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2.2." sheetId="28" r:id="rId1"/>
    <sheet name="9пр (2)" sheetId="23" state="hidden" r:id="rId2"/>
    <sheet name="_2_" sheetId="22" r:id="rId3"/>
    <sheet name="6" sheetId="11" state="hidden" r:id="rId4"/>
    <sheet name="9пр" sheetId="17" state="hidden" r:id="rId5"/>
    <sheet name="9" sheetId="13" state="hidden" r:id="rId6"/>
    <sheet name="7" sheetId="8" state="hidden" r:id="rId7"/>
    <sheet name="2.2" sheetId="14" state="hidden" r:id="rId8"/>
    <sheet name="2" sheetId="15" state="hidden" r:id="rId9"/>
    <sheet name="6 (3)" sheetId="19" state="hidden" r:id="rId10"/>
  </sheets>
  <externalReferences>
    <externalReference r:id="rId11"/>
    <externalReference r:id="rId12"/>
    <externalReference r:id="rId13"/>
  </externalReferences>
  <definedNames>
    <definedName name="_xlnm.Print_Area" localSheetId="2">_2_!$A$1:$H$95</definedName>
    <definedName name="_xlnm.Print_Area" localSheetId="8">'2'!$A$1:$H$95</definedName>
    <definedName name="_xlnm.Print_Area" localSheetId="7">'2.2'!$A$1:$O$38</definedName>
    <definedName name="_xlnm.Print_Area" localSheetId="0">'2.2.'!$A$1:$M$39</definedName>
    <definedName name="_xlnm.Print_Area" localSheetId="3">'6'!$A$1:$CF$66</definedName>
    <definedName name="_xlnm.Print_Area" localSheetId="9">'6 (3)'!$A$1:$CJ$66</definedName>
    <definedName name="_xlnm.Print_Area" localSheetId="6">'7'!$A$1:$S$245</definedName>
    <definedName name="_xlnm.Print_Area" localSheetId="5">'9'!$A$1:$CQ$140</definedName>
  </definedNames>
  <calcPr calcId="124519"/>
  <fileRecoveryPr autoRecover="0"/>
</workbook>
</file>

<file path=xl/calcChain.xml><?xml version="1.0" encoding="utf-8"?>
<calcChain xmlns="http://schemas.openxmlformats.org/spreadsheetml/2006/main">
  <c r="F88" i="22"/>
  <c r="F89"/>
  <c r="F57" l="1"/>
  <c r="F91"/>
  <c r="H64"/>
  <c r="F20" l="1"/>
  <c r="G85" l="1"/>
  <c r="H85"/>
  <c r="H62"/>
  <c r="G62"/>
  <c r="H89"/>
  <c r="G89"/>
  <c r="G64"/>
  <c r="H63"/>
  <c r="G63"/>
  <c r="D63"/>
  <c r="N37" i="28" l="1"/>
  <c r="L37"/>
  <c r="K37"/>
  <c r="E37"/>
  <c r="F37" s="1"/>
  <c r="N36"/>
  <c r="L36"/>
  <c r="F36"/>
  <c r="N35"/>
  <c r="L35"/>
  <c r="K35"/>
  <c r="E35"/>
  <c r="F35" s="1"/>
  <c r="K34"/>
  <c r="N34" s="1"/>
  <c r="E34"/>
  <c r="H34" s="1"/>
  <c r="K33"/>
  <c r="N33" s="1"/>
  <c r="E33"/>
  <c r="H33" s="1"/>
  <c r="N32"/>
  <c r="L32"/>
  <c r="H32"/>
  <c r="F32"/>
  <c r="O31"/>
  <c r="K31"/>
  <c r="L31" s="1"/>
  <c r="J31"/>
  <c r="I31"/>
  <c r="H31"/>
  <c r="E31"/>
  <c r="F31" s="1"/>
  <c r="D31"/>
  <c r="G31" s="1"/>
  <c r="C31"/>
  <c r="B31"/>
  <c r="N30"/>
  <c r="M30"/>
  <c r="L30"/>
  <c r="F30"/>
  <c r="E30"/>
  <c r="G30" s="1"/>
  <c r="N29"/>
  <c r="M29"/>
  <c r="L29"/>
  <c r="H29"/>
  <c r="G29"/>
  <c r="F29"/>
  <c r="O28"/>
  <c r="L28"/>
  <c r="K28"/>
  <c r="N28" s="1"/>
  <c r="J28"/>
  <c r="I28"/>
  <c r="D28"/>
  <c r="D22" s="1"/>
  <c r="C28"/>
  <c r="L27"/>
  <c r="K27"/>
  <c r="N27" s="1"/>
  <c r="F27"/>
  <c r="E27"/>
  <c r="H27" s="1"/>
  <c r="O26"/>
  <c r="J26"/>
  <c r="I26"/>
  <c r="E26"/>
  <c r="G26" s="1"/>
  <c r="D26"/>
  <c r="C26"/>
  <c r="B26"/>
  <c r="N25"/>
  <c r="M25"/>
  <c r="L25"/>
  <c r="K25"/>
  <c r="H25"/>
  <c r="G25"/>
  <c r="F25"/>
  <c r="E25"/>
  <c r="N24"/>
  <c r="M24"/>
  <c r="L24"/>
  <c r="K24"/>
  <c r="H24"/>
  <c r="H23" s="1"/>
  <c r="G24"/>
  <c r="F24"/>
  <c r="E24"/>
  <c r="O23"/>
  <c r="O22" s="1"/>
  <c r="K23"/>
  <c r="M23" s="1"/>
  <c r="J23"/>
  <c r="J22" s="1"/>
  <c r="I23"/>
  <c r="G23"/>
  <c r="F23"/>
  <c r="E23"/>
  <c r="D23"/>
  <c r="C23"/>
  <c r="C22" s="1"/>
  <c r="B23"/>
  <c r="B22" s="1"/>
  <c r="I22"/>
  <c r="N21"/>
  <c r="M21"/>
  <c r="L21"/>
  <c r="K21"/>
  <c r="H21"/>
  <c r="G21"/>
  <c r="F21"/>
  <c r="E21"/>
  <c r="N20"/>
  <c r="M20"/>
  <c r="L20"/>
  <c r="K20"/>
  <c r="H20"/>
  <c r="G20"/>
  <c r="F20"/>
  <c r="E20"/>
  <c r="N19"/>
  <c r="M19"/>
  <c r="L19"/>
  <c r="L18" s="1"/>
  <c r="K19"/>
  <c r="H19"/>
  <c r="G19"/>
  <c r="F19"/>
  <c r="E19"/>
  <c r="C19"/>
  <c r="K18"/>
  <c r="M18" s="1"/>
  <c r="J18"/>
  <c r="I18"/>
  <c r="G18"/>
  <c r="F18"/>
  <c r="E18"/>
  <c r="H18" s="1"/>
  <c r="D18"/>
  <c r="C18"/>
  <c r="B18"/>
  <c r="L17"/>
  <c r="K17"/>
  <c r="N17" s="1"/>
  <c r="F17"/>
  <c r="E17"/>
  <c r="H17" s="1"/>
  <c r="C17"/>
  <c r="C16" s="1"/>
  <c r="O16"/>
  <c r="J16"/>
  <c r="I16"/>
  <c r="F16"/>
  <c r="E16"/>
  <c r="H16" s="1"/>
  <c r="D16"/>
  <c r="B16"/>
  <c r="N15"/>
  <c r="L15"/>
  <c r="G15"/>
  <c r="F15"/>
  <c r="E15"/>
  <c r="H15" s="1"/>
  <c r="M14"/>
  <c r="L14"/>
  <c r="K14"/>
  <c r="N14" s="1"/>
  <c r="G14"/>
  <c r="F14"/>
  <c r="E14"/>
  <c r="H14" s="1"/>
  <c r="C14"/>
  <c r="N13"/>
  <c r="M13"/>
  <c r="L13"/>
  <c r="G13"/>
  <c r="F13"/>
  <c r="E13"/>
  <c r="H13" s="1"/>
  <c r="C13"/>
  <c r="O12"/>
  <c r="K12"/>
  <c r="M12" s="1"/>
  <c r="J12"/>
  <c r="I12"/>
  <c r="G12"/>
  <c r="F12"/>
  <c r="E12"/>
  <c r="H12" s="1"/>
  <c r="D12"/>
  <c r="C12"/>
  <c r="B12"/>
  <c r="L11"/>
  <c r="K11"/>
  <c r="N11" s="1"/>
  <c r="F11"/>
  <c r="E11"/>
  <c r="H11" s="1"/>
  <c r="C11"/>
  <c r="M10"/>
  <c r="L10"/>
  <c r="K10"/>
  <c r="N10" s="1"/>
  <c r="G10"/>
  <c r="F10"/>
  <c r="E10"/>
  <c r="H10" s="1"/>
  <c r="C10"/>
  <c r="O9"/>
  <c r="O8" s="1"/>
  <c r="O38" s="1"/>
  <c r="K9"/>
  <c r="M9" s="1"/>
  <c r="J9"/>
  <c r="J8" s="1"/>
  <c r="J38" s="1"/>
  <c r="I9"/>
  <c r="G9"/>
  <c r="F9"/>
  <c r="F8" s="1"/>
  <c r="E9"/>
  <c r="H9" s="1"/>
  <c r="D9"/>
  <c r="C9"/>
  <c r="C8" s="1"/>
  <c r="B9"/>
  <c r="B8" s="1"/>
  <c r="I8"/>
  <c r="I38" s="1"/>
  <c r="E8"/>
  <c r="G8" s="1"/>
  <c r="D8"/>
  <c r="D38" s="1"/>
  <c r="E65" i="22"/>
  <c r="E88"/>
  <c r="E91"/>
  <c r="H93"/>
  <c r="C65"/>
  <c r="H92"/>
  <c r="G92"/>
  <c r="B38" i="28" l="1"/>
  <c r="C38"/>
  <c r="L9"/>
  <c r="G11"/>
  <c r="M11"/>
  <c r="L12"/>
  <c r="G16"/>
  <c r="K16"/>
  <c r="G17"/>
  <c r="M17"/>
  <c r="L23"/>
  <c r="F26"/>
  <c r="G27"/>
  <c r="M27"/>
  <c r="E28"/>
  <c r="M28"/>
  <c r="H30"/>
  <c r="N31"/>
  <c r="G33"/>
  <c r="M33"/>
  <c r="G34"/>
  <c r="M34"/>
  <c r="M31"/>
  <c r="F33"/>
  <c r="L33"/>
  <c r="F34"/>
  <c r="L34"/>
  <c r="H8"/>
  <c r="N9"/>
  <c r="N12"/>
  <c r="N18"/>
  <c r="N23"/>
  <c r="H26"/>
  <c r="K8"/>
  <c r="K22"/>
  <c r="K26"/>
  <c r="F28" l="1"/>
  <c r="G28"/>
  <c r="H28"/>
  <c r="E22"/>
  <c r="L22"/>
  <c r="M22"/>
  <c r="N22"/>
  <c r="L16"/>
  <c r="M16"/>
  <c r="N16"/>
  <c r="L26"/>
  <c r="M26"/>
  <c r="N26"/>
  <c r="L8"/>
  <c r="M8"/>
  <c r="K38"/>
  <c r="N8"/>
  <c r="L38" l="1"/>
  <c r="M38"/>
  <c r="N38"/>
  <c r="G22"/>
  <c r="H22"/>
  <c r="F22"/>
  <c r="E38"/>
  <c r="H38" l="1"/>
  <c r="F38"/>
  <c r="G38"/>
  <c r="H60" i="22" l="1"/>
  <c r="H59"/>
  <c r="G39"/>
  <c r="G40"/>
  <c r="G41"/>
  <c r="G42"/>
  <c r="G43"/>
  <c r="G44"/>
  <c r="G45"/>
  <c r="G46"/>
  <c r="G47"/>
  <c r="G48"/>
  <c r="G49"/>
  <c r="G50"/>
  <c r="H88"/>
  <c r="H90"/>
  <c r="D90"/>
  <c r="D88"/>
  <c r="G88"/>
  <c r="G60"/>
  <c r="H87" l="1"/>
  <c r="G87"/>
  <c r="D87"/>
  <c r="C17" l="1"/>
  <c r="G7" l="1"/>
  <c r="G9"/>
  <c r="G10"/>
  <c r="G12"/>
  <c r="G13"/>
  <c r="G14"/>
  <c r="G16"/>
  <c r="G18"/>
  <c r="G19"/>
  <c r="G22"/>
  <c r="G23"/>
  <c r="G24"/>
  <c r="G28"/>
  <c r="G30"/>
  <c r="G32"/>
  <c r="G34"/>
  <c r="G36"/>
  <c r="G37"/>
  <c r="G38"/>
  <c r="G52"/>
  <c r="G55"/>
  <c r="G56"/>
  <c r="G58"/>
  <c r="G61"/>
  <c r="G66"/>
  <c r="G67"/>
  <c r="G68"/>
  <c r="G69"/>
  <c r="G70"/>
  <c r="G71"/>
  <c r="G72"/>
  <c r="G73"/>
  <c r="G74"/>
  <c r="G76"/>
  <c r="G77"/>
  <c r="G78"/>
  <c r="G79"/>
  <c r="G80"/>
  <c r="G81"/>
  <c r="G82"/>
  <c r="G83"/>
  <c r="G84"/>
  <c r="G86"/>
  <c r="E57"/>
  <c r="D71" l="1"/>
  <c r="H71"/>
  <c r="H80" l="1"/>
  <c r="E20" l="1"/>
  <c r="G20" s="1"/>
  <c r="E8"/>
  <c r="H76"/>
  <c r="D76"/>
  <c r="G39" i="23" l="1"/>
  <c r="H39"/>
  <c r="I39"/>
  <c r="G38"/>
  <c r="H38"/>
  <c r="I38"/>
  <c r="I6"/>
  <c r="H6"/>
  <c r="L147"/>
  <c r="L148"/>
  <c r="L133"/>
  <c r="L134"/>
  <c r="K133"/>
  <c r="L128"/>
  <c r="L129"/>
  <c r="K128"/>
  <c r="L54"/>
  <c r="L7" l="1"/>
  <c r="J13"/>
  <c r="L13"/>
  <c r="L8" l="1"/>
  <c r="L9"/>
  <c r="L10"/>
  <c r="L11"/>
  <c r="L12"/>
  <c r="L14"/>
  <c r="L15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81"/>
  <c r="L86"/>
  <c r="L87"/>
  <c r="L88"/>
  <c r="L89"/>
  <c r="L90"/>
  <c r="L91"/>
  <c r="L92"/>
  <c r="L93"/>
  <c r="L94"/>
  <c r="L95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30"/>
  <c r="L131"/>
  <c r="L132"/>
  <c r="L135"/>
  <c r="L136"/>
  <c r="L137"/>
  <c r="L138"/>
  <c r="L139"/>
  <c r="L140"/>
  <c r="L141"/>
  <c r="L142"/>
  <c r="L143"/>
  <c r="L144"/>
  <c r="L145"/>
  <c r="L146"/>
  <c r="L149"/>
  <c r="L151"/>
  <c r="L153"/>
  <c r="L154"/>
  <c r="K8"/>
  <c r="K9"/>
  <c r="K10"/>
  <c r="K11"/>
  <c r="K12"/>
  <c r="K14"/>
  <c r="K15"/>
  <c r="K16"/>
  <c r="K17"/>
  <c r="K18"/>
  <c r="K19"/>
  <c r="K22"/>
  <c r="K23"/>
  <c r="K24"/>
  <c r="K29"/>
  <c r="K30"/>
  <c r="K31"/>
  <c r="K32"/>
  <c r="K33"/>
  <c r="K34"/>
  <c r="K35"/>
  <c r="K36"/>
  <c r="K37"/>
  <c r="K40"/>
  <c r="K41"/>
  <c r="K42"/>
  <c r="K43"/>
  <c r="K44"/>
  <c r="K45"/>
  <c r="K48"/>
  <c r="K49"/>
  <c r="K50"/>
  <c r="K51"/>
  <c r="K52"/>
  <c r="K55"/>
  <c r="K56"/>
  <c r="K57"/>
  <c r="K58"/>
  <c r="K59"/>
  <c r="K60"/>
  <c r="K61"/>
  <c r="K62"/>
  <c r="K63"/>
  <c r="K64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6"/>
  <c r="K87"/>
  <c r="K88"/>
  <c r="K89"/>
  <c r="K91"/>
  <c r="K92"/>
  <c r="K94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7"/>
  <c r="K118"/>
  <c r="K119"/>
  <c r="K120"/>
  <c r="K121"/>
  <c r="K123"/>
  <c r="K125"/>
  <c r="K127"/>
  <c r="K130"/>
  <c r="K132"/>
  <c r="K135"/>
  <c r="K136"/>
  <c r="K138"/>
  <c r="K139"/>
  <c r="K140"/>
  <c r="K141"/>
  <c r="K142"/>
  <c r="K143"/>
  <c r="K144"/>
  <c r="K145"/>
  <c r="K150"/>
  <c r="K151"/>
  <c r="K153"/>
  <c r="K154"/>
  <c r="H150"/>
  <c r="J150" s="1"/>
  <c r="J103"/>
  <c r="G96"/>
  <c r="G85"/>
  <c r="G20"/>
  <c r="G6"/>
  <c r="F96"/>
  <c r="F85"/>
  <c r="F39"/>
  <c r="F38"/>
  <c r="J38" s="1"/>
  <c r="F20"/>
  <c r="F6"/>
  <c r="J154"/>
  <c r="J153"/>
  <c r="J151"/>
  <c r="J145"/>
  <c r="J144"/>
  <c r="J143"/>
  <c r="J142"/>
  <c r="J141"/>
  <c r="J140"/>
  <c r="J139"/>
  <c r="J138"/>
  <c r="J137"/>
  <c r="J136"/>
  <c r="J135"/>
  <c r="J133"/>
  <c r="J132"/>
  <c r="J131"/>
  <c r="J130"/>
  <c r="J128"/>
  <c r="J127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2"/>
  <c r="J101"/>
  <c r="J100"/>
  <c r="J99"/>
  <c r="J98"/>
  <c r="J97"/>
  <c r="I96"/>
  <c r="E96"/>
  <c r="D96"/>
  <c r="J95"/>
  <c r="J94"/>
  <c r="J92"/>
  <c r="J91"/>
  <c r="J90"/>
  <c r="J89"/>
  <c r="J88"/>
  <c r="J87"/>
  <c r="J86"/>
  <c r="I85"/>
  <c r="H85"/>
  <c r="E85"/>
  <c r="D85"/>
  <c r="H84"/>
  <c r="L84" s="1"/>
  <c r="H83"/>
  <c r="L83" s="1"/>
  <c r="H82"/>
  <c r="L82" s="1"/>
  <c r="H81"/>
  <c r="H80"/>
  <c r="L80" s="1"/>
  <c r="H79"/>
  <c r="H78"/>
  <c r="L78" s="1"/>
  <c r="E77"/>
  <c r="D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3"/>
  <c r="J52"/>
  <c r="J51"/>
  <c r="J50"/>
  <c r="J49"/>
  <c r="J48"/>
  <c r="J47"/>
  <c r="J46"/>
  <c r="J45"/>
  <c r="J44"/>
  <c r="J43"/>
  <c r="J42"/>
  <c r="J41"/>
  <c r="J40"/>
  <c r="E39"/>
  <c r="D39"/>
  <c r="E38"/>
  <c r="D38"/>
  <c r="J37"/>
  <c r="J36"/>
  <c r="J35"/>
  <c r="J34"/>
  <c r="J33"/>
  <c r="J32"/>
  <c r="J31"/>
  <c r="J30"/>
  <c r="J29"/>
  <c r="J28"/>
  <c r="J27"/>
  <c r="J26"/>
  <c r="J25"/>
  <c r="J24"/>
  <c r="J23"/>
  <c r="J22"/>
  <c r="J21"/>
  <c r="I20"/>
  <c r="L20" s="1"/>
  <c r="H20"/>
  <c r="J20" s="1"/>
  <c r="E20"/>
  <c r="D20"/>
  <c r="J19"/>
  <c r="J18"/>
  <c r="J17"/>
  <c r="J16"/>
  <c r="J15"/>
  <c r="J14"/>
  <c r="J12"/>
  <c r="J11"/>
  <c r="J10"/>
  <c r="J9"/>
  <c r="J8"/>
  <c r="E6"/>
  <c r="D6"/>
  <c r="L85" l="1"/>
  <c r="J85"/>
  <c r="K96"/>
  <c r="E152"/>
  <c r="E155" s="1"/>
  <c r="K39"/>
  <c r="L38"/>
  <c r="F81"/>
  <c r="K20"/>
  <c r="H96"/>
  <c r="J96" s="1"/>
  <c r="K85"/>
  <c r="L39"/>
  <c r="K38"/>
  <c r="L150"/>
  <c r="F78"/>
  <c r="J78" s="1"/>
  <c r="F82"/>
  <c r="J82" s="1"/>
  <c r="L79"/>
  <c r="F79" s="1"/>
  <c r="J79" s="1"/>
  <c r="F83"/>
  <c r="J83" s="1"/>
  <c r="G152"/>
  <c r="G155" s="1"/>
  <c r="J39"/>
  <c r="D152"/>
  <c r="D155" s="1"/>
  <c r="I152"/>
  <c r="J81"/>
  <c r="F80"/>
  <c r="J80" s="1"/>
  <c r="L6"/>
  <c r="J6"/>
  <c r="H77"/>
  <c r="L77" s="1"/>
  <c r="L96" l="1"/>
  <c r="H152"/>
  <c r="L152" s="1"/>
  <c r="I155"/>
  <c r="K155" s="1"/>
  <c r="K152"/>
  <c r="F84"/>
  <c r="F77" s="1"/>
  <c r="F152" s="1"/>
  <c r="F155" s="1"/>
  <c r="J84" l="1"/>
  <c r="H155"/>
  <c r="L155" s="1"/>
  <c r="J152"/>
  <c r="J77"/>
  <c r="J155" l="1"/>
  <c r="D28" i="22" l="1"/>
  <c r="H28"/>
  <c r="D58"/>
  <c r="H58"/>
  <c r="D7" l="1"/>
  <c r="H7"/>
  <c r="C8"/>
  <c r="C6" s="1"/>
  <c r="E6"/>
  <c r="F8"/>
  <c r="G8" s="1"/>
  <c r="D9"/>
  <c r="H9"/>
  <c r="D10"/>
  <c r="H10"/>
  <c r="C11"/>
  <c r="E11"/>
  <c r="F11"/>
  <c r="D12"/>
  <c r="H12"/>
  <c r="D13"/>
  <c r="H13"/>
  <c r="D14"/>
  <c r="H14"/>
  <c r="D16"/>
  <c r="H16"/>
  <c r="C15"/>
  <c r="E17"/>
  <c r="E15" s="1"/>
  <c r="F17"/>
  <c r="D18"/>
  <c r="H18"/>
  <c r="D19"/>
  <c r="H19"/>
  <c r="C21"/>
  <c r="E21"/>
  <c r="F21"/>
  <c r="D22"/>
  <c r="H22"/>
  <c r="D23"/>
  <c r="H23"/>
  <c r="D24"/>
  <c r="H24"/>
  <c r="C27"/>
  <c r="E27"/>
  <c r="F27"/>
  <c r="C29"/>
  <c r="E29"/>
  <c r="F29"/>
  <c r="D30"/>
  <c r="H30"/>
  <c r="C31"/>
  <c r="E31"/>
  <c r="F31"/>
  <c r="D32"/>
  <c r="H32"/>
  <c r="C33"/>
  <c r="E33"/>
  <c r="F33"/>
  <c r="D34"/>
  <c r="H34"/>
  <c r="C35"/>
  <c r="E35"/>
  <c r="F35"/>
  <c r="D36"/>
  <c r="H36"/>
  <c r="D37"/>
  <c r="H37"/>
  <c r="D38"/>
  <c r="H38"/>
  <c r="D39"/>
  <c r="H39"/>
  <c r="D40"/>
  <c r="H40"/>
  <c r="D41"/>
  <c r="H41"/>
  <c r="D42"/>
  <c r="H42"/>
  <c r="D43"/>
  <c r="H43"/>
  <c r="D44"/>
  <c r="H44"/>
  <c r="D45"/>
  <c r="H45"/>
  <c r="D46"/>
  <c r="H46"/>
  <c r="D47"/>
  <c r="H47"/>
  <c r="D48"/>
  <c r="H48"/>
  <c r="D49"/>
  <c r="H49"/>
  <c r="D50"/>
  <c r="H50"/>
  <c r="D51"/>
  <c r="H51"/>
  <c r="D52"/>
  <c r="H52"/>
  <c r="C54"/>
  <c r="D54"/>
  <c r="E54"/>
  <c r="E94" s="1"/>
  <c r="H56"/>
  <c r="C57"/>
  <c r="G57"/>
  <c r="D59"/>
  <c r="D61"/>
  <c r="H61"/>
  <c r="D66"/>
  <c r="H66"/>
  <c r="D67"/>
  <c r="H67"/>
  <c r="D68"/>
  <c r="H68"/>
  <c r="D69"/>
  <c r="H69"/>
  <c r="D70"/>
  <c r="H70"/>
  <c r="D72"/>
  <c r="H72"/>
  <c r="D73"/>
  <c r="H73"/>
  <c r="D74"/>
  <c r="H74"/>
  <c r="D75"/>
  <c r="H75"/>
  <c r="D77"/>
  <c r="H77"/>
  <c r="D78"/>
  <c r="H78"/>
  <c r="D79"/>
  <c r="H79"/>
  <c r="D81"/>
  <c r="H81"/>
  <c r="D82"/>
  <c r="H82"/>
  <c r="D83"/>
  <c r="H83"/>
  <c r="D84"/>
  <c r="H84"/>
  <c r="D86"/>
  <c r="H86"/>
  <c r="G29" l="1"/>
  <c r="G21"/>
  <c r="C94"/>
  <c r="D65"/>
  <c r="G35"/>
  <c r="F65"/>
  <c r="G31"/>
  <c r="G27"/>
  <c r="G17"/>
  <c r="G33"/>
  <c r="G11"/>
  <c r="C20"/>
  <c r="C5" s="1"/>
  <c r="H33"/>
  <c r="F26"/>
  <c r="D35"/>
  <c r="H35"/>
  <c r="D33"/>
  <c r="E26"/>
  <c r="E25" s="1"/>
  <c r="H27"/>
  <c r="D27"/>
  <c r="D31"/>
  <c r="D29"/>
  <c r="D21"/>
  <c r="D17"/>
  <c r="D15" s="1"/>
  <c r="D11"/>
  <c r="C26"/>
  <c r="C25" s="1"/>
  <c r="H57"/>
  <c r="D57"/>
  <c r="D6"/>
  <c r="E5"/>
  <c r="H29"/>
  <c r="H21"/>
  <c r="H17"/>
  <c r="H11"/>
  <c r="H8"/>
  <c r="D8"/>
  <c r="H31"/>
  <c r="F15"/>
  <c r="F6"/>
  <c r="G6" s="1"/>
  <c r="G65" l="1"/>
  <c r="G26"/>
  <c r="F5"/>
  <c r="G15"/>
  <c r="D20"/>
  <c r="H65"/>
  <c r="H26"/>
  <c r="F25"/>
  <c r="G25" s="1"/>
  <c r="D26"/>
  <c r="C53"/>
  <c r="C95" s="1"/>
  <c r="D25"/>
  <c r="D94"/>
  <c r="E53"/>
  <c r="E95" s="1"/>
  <c r="D5"/>
  <c r="H15"/>
  <c r="H6"/>
  <c r="H20"/>
  <c r="H25" l="1"/>
  <c r="H5"/>
  <c r="G5"/>
  <c r="F53"/>
  <c r="G53" s="1"/>
  <c r="D53"/>
  <c r="D95"/>
  <c r="H53" l="1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E140" i="13" l="1"/>
  <c r="F137"/>
  <c r="G137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G140" i="13" l="1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E57" i="15"/>
  <c r="F57"/>
  <c r="C57"/>
  <c r="H18" i="14" l="1"/>
  <c r="G18"/>
  <c r="F18"/>
  <c r="L38"/>
  <c r="M38"/>
  <c r="E16"/>
  <c r="G16" l="1"/>
  <c r="G8" s="1"/>
  <c r="F16"/>
  <c r="F8" s="1"/>
  <c r="E8"/>
  <c r="E38" s="1"/>
  <c r="H16"/>
  <c r="H8" s="1"/>
  <c r="H38" l="1"/>
  <c r="G38"/>
  <c r="F38"/>
  <c r="N34" l="1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N37" i="14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C115" s="1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C113" s="1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J101" s="1"/>
  <c r="I102"/>
  <c r="H102"/>
  <c r="G102"/>
  <c r="F102"/>
  <c r="F101" s="1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7" i="8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H21" i="15"/>
  <c r="G21"/>
  <c r="I82" i="17"/>
  <c r="I38"/>
  <c r="K19"/>
  <c r="F140"/>
  <c r="F143" s="1"/>
  <c r="I19"/>
  <c r="H26" i="15"/>
  <c r="G26"/>
  <c r="E25"/>
  <c r="H54"/>
  <c r="D67"/>
  <c r="C165" i="8" l="1"/>
  <c r="C169"/>
  <c r="C217"/>
  <c r="S217" s="1"/>
  <c r="F223"/>
  <c r="D130"/>
  <c r="C170"/>
  <c r="S170" s="1"/>
  <c r="C17"/>
  <c r="C219"/>
  <c r="S219" s="1"/>
  <c r="C207"/>
  <c r="C221"/>
  <c r="S221" s="1"/>
  <c r="D15"/>
  <c r="N130"/>
  <c r="N128" s="1"/>
  <c r="C164"/>
  <c r="C172"/>
  <c r="S172" s="1"/>
  <c r="C174"/>
  <c r="S174" s="1"/>
  <c r="C179"/>
  <c r="C161"/>
  <c r="E8"/>
  <c r="E6" s="1"/>
  <c r="C189"/>
  <c r="S189" s="1"/>
  <c r="C191"/>
  <c r="S191" s="1"/>
  <c r="D193"/>
  <c r="C196"/>
  <c r="S196" s="1"/>
  <c r="C210"/>
  <c r="S210" s="1"/>
  <c r="C213"/>
  <c r="S213" s="1"/>
  <c r="C181"/>
  <c r="C186"/>
  <c r="S186" s="1"/>
  <c r="C190"/>
  <c r="S190" s="1"/>
  <c r="C203"/>
  <c r="S203" s="1"/>
  <c r="D201"/>
  <c r="C227"/>
  <c r="S227" s="1"/>
  <c r="C233"/>
  <c r="S233" s="1"/>
  <c r="C237"/>
  <c r="S237" s="1"/>
  <c r="E79"/>
  <c r="C204"/>
  <c r="S204" s="1"/>
  <c r="J201"/>
  <c r="C211"/>
  <c r="S211" s="1"/>
  <c r="Q101"/>
  <c r="M206"/>
  <c r="E201"/>
  <c r="C201" s="1"/>
  <c r="R101"/>
  <c r="D128"/>
  <c r="C133"/>
  <c r="S133" s="1"/>
  <c r="G137"/>
  <c r="Q137"/>
  <c r="I140"/>
  <c r="C150"/>
  <c r="S150" s="1"/>
  <c r="C152"/>
  <c r="C142"/>
  <c r="S142" s="1"/>
  <c r="C153"/>
  <c r="S153" s="1"/>
  <c r="L137"/>
  <c r="C162"/>
  <c r="S162" s="1"/>
  <c r="C182"/>
  <c r="S182" s="1"/>
  <c r="M201"/>
  <c r="L206"/>
  <c r="E23"/>
  <c r="S113"/>
  <c r="S115"/>
  <c r="C7"/>
  <c r="S7" s="1"/>
  <c r="F8"/>
  <c r="F6" s="1"/>
  <c r="O8"/>
  <c r="O6" s="1"/>
  <c r="E15"/>
  <c r="C15" s="1"/>
  <c r="C37"/>
  <c r="S37" s="1"/>
  <c r="C72"/>
  <c r="S72" s="1"/>
  <c r="C102"/>
  <c r="S102" s="1"/>
  <c r="C104"/>
  <c r="S104" s="1"/>
  <c r="C106"/>
  <c r="S106" s="1"/>
  <c r="C108"/>
  <c r="S108" s="1"/>
  <c r="C110"/>
  <c r="S110" s="1"/>
  <c r="C112"/>
  <c r="S112" s="1"/>
  <c r="J223"/>
  <c r="G101"/>
  <c r="G118" s="1"/>
  <c r="G120" s="1"/>
  <c r="K101"/>
  <c r="O101"/>
  <c r="C159"/>
  <c r="S159" s="1"/>
  <c r="C205"/>
  <c r="S205" s="1"/>
  <c r="R201"/>
  <c r="C209"/>
  <c r="S209" s="1"/>
  <c r="C129"/>
  <c r="S129" s="1"/>
  <c r="U7" s="1"/>
  <c r="C132"/>
  <c r="S132" s="1"/>
  <c r="S136"/>
  <c r="N137"/>
  <c r="C143"/>
  <c r="S143" s="1"/>
  <c r="C155"/>
  <c r="S155" s="1"/>
  <c r="C212"/>
  <c r="S212" s="1"/>
  <c r="Q156"/>
  <c r="G193"/>
  <c r="I223"/>
  <c r="C144"/>
  <c r="S144" s="1"/>
  <c r="F130"/>
  <c r="F128" s="1"/>
  <c r="K130"/>
  <c r="K128" s="1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S63" s="1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S165"/>
  <c r="S161"/>
  <c r="C160"/>
  <c r="S160" s="1"/>
  <c r="L156"/>
  <c r="C166"/>
  <c r="S166" s="1"/>
  <c r="C168"/>
  <c r="S168" s="1"/>
  <c r="C171"/>
  <c r="S171" s="1"/>
  <c r="C176"/>
  <c r="S176" s="1"/>
  <c r="S179"/>
  <c r="S18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O145"/>
  <c r="K145"/>
  <c r="I156"/>
  <c r="F156"/>
  <c r="C225"/>
  <c r="S225" s="1"/>
  <c r="C21"/>
  <c r="S21" s="1"/>
  <c r="S169"/>
  <c r="D145"/>
  <c r="D206"/>
  <c r="E193"/>
  <c r="C193" s="1"/>
  <c r="C238"/>
  <c r="S238" s="1"/>
  <c r="L8"/>
  <c r="L6" s="1"/>
  <c r="Q8"/>
  <c r="Q6" s="1"/>
  <c r="K15"/>
  <c r="R18"/>
  <c r="C49"/>
  <c r="S49" s="1"/>
  <c r="S80"/>
  <c r="J79"/>
  <c r="C81"/>
  <c r="S81" s="1"/>
  <c r="D84"/>
  <c r="S207"/>
  <c r="S187"/>
  <c r="L145"/>
  <c r="K156"/>
  <c r="E206"/>
  <c r="N206"/>
  <c r="O223"/>
  <c r="R79"/>
  <c r="H101"/>
  <c r="H118" s="1"/>
  <c r="H120" s="1"/>
  <c r="L101"/>
  <c r="C114"/>
  <c r="S114" s="1"/>
  <c r="S17"/>
  <c r="E156"/>
  <c r="J156"/>
  <c r="N193"/>
  <c r="C33"/>
  <c r="S33" s="1"/>
  <c r="C62"/>
  <c r="S62" s="1"/>
  <c r="C64"/>
  <c r="S64" s="1"/>
  <c r="C65"/>
  <c r="S65" s="1"/>
  <c r="H34"/>
  <c r="C39"/>
  <c r="E130"/>
  <c r="E128" s="1"/>
  <c r="K137"/>
  <c r="O137"/>
  <c r="G140"/>
  <c r="L140"/>
  <c r="G206"/>
  <c r="H223"/>
  <c r="H240" s="1"/>
  <c r="H242" s="1"/>
  <c r="I8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C79" s="1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S39"/>
  <c r="C42"/>
  <c r="S42" s="1"/>
  <c r="F79"/>
  <c r="J84"/>
  <c r="C116"/>
  <c r="S116" s="1"/>
  <c r="K37" i="17"/>
  <c r="G15" i="8"/>
  <c r="O23"/>
  <c r="C57"/>
  <c r="S57" s="1"/>
  <c r="C141"/>
  <c r="S141" s="1"/>
  <c r="I6"/>
  <c r="S14"/>
  <c r="L23"/>
  <c r="D101"/>
  <c r="J18"/>
  <c r="I18"/>
  <c r="C29"/>
  <c r="S29" s="1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C230"/>
  <c r="S230" s="1"/>
  <c r="C232"/>
  <c r="S232" s="1"/>
  <c r="D23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D57" i="15"/>
  <c r="J92" i="17"/>
  <c r="J82"/>
  <c r="J37"/>
  <c r="J38"/>
  <c r="J19"/>
  <c r="J6"/>
  <c r="E74"/>
  <c r="I74" s="1"/>
  <c r="I75"/>
  <c r="G140"/>
  <c r="G143" s="1"/>
  <c r="D137" i="8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C66"/>
  <c r="S66" s="1"/>
  <c r="C68"/>
  <c r="S68" s="1"/>
  <c r="C70"/>
  <c r="S70" s="1"/>
  <c r="C85"/>
  <c r="S85" s="1"/>
  <c r="C89"/>
  <c r="S89" s="1"/>
  <c r="S98"/>
  <c r="M156"/>
  <c r="S164"/>
  <c r="C194"/>
  <c r="S194" s="1"/>
  <c r="F201"/>
  <c r="K201"/>
  <c r="E223"/>
  <c r="S226"/>
  <c r="E18"/>
  <c r="C53"/>
  <c r="S53" s="1"/>
  <c r="L71"/>
  <c r="N71" s="1"/>
  <c r="F84"/>
  <c r="M84"/>
  <c r="C93"/>
  <c r="S93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C94" i="15"/>
  <c r="H91"/>
  <c r="E94"/>
  <c r="G57"/>
  <c r="H57"/>
  <c r="H31"/>
  <c r="G25"/>
  <c r="H17"/>
  <c r="F5"/>
  <c r="F53" s="1"/>
  <c r="F95" s="1"/>
  <c r="S152" i="8"/>
  <c r="N145"/>
  <c r="S180"/>
  <c r="S177"/>
  <c r="N156"/>
  <c r="D8"/>
  <c r="D33" i="15"/>
  <c r="H25"/>
  <c r="D20"/>
  <c r="H20"/>
  <c r="G20"/>
  <c r="D17"/>
  <c r="D15" s="1"/>
  <c r="G17"/>
  <c r="E15"/>
  <c r="E5" s="1"/>
  <c r="G6"/>
  <c r="H6"/>
  <c r="C25"/>
  <c r="D25" s="1"/>
  <c r="D6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C156" i="8" l="1"/>
  <c r="C128"/>
  <c r="S128" s="1"/>
  <c r="C137"/>
  <c r="C23"/>
  <c r="S23" s="1"/>
  <c r="R134"/>
  <c r="R127" s="1"/>
  <c r="R240" s="1"/>
  <c r="R242" s="1"/>
  <c r="I134"/>
  <c r="I127" s="1"/>
  <c r="I240" s="1"/>
  <c r="I242" s="1"/>
  <c r="C206"/>
  <c r="S206" s="1"/>
  <c r="U84" s="1"/>
  <c r="N223"/>
  <c r="K134"/>
  <c r="K127" s="1"/>
  <c r="K240" s="1"/>
  <c r="K242" s="1"/>
  <c r="N201"/>
  <c r="S201" s="1"/>
  <c r="N140"/>
  <c r="N134" s="1"/>
  <c r="C130"/>
  <c r="S130" s="1"/>
  <c r="C71"/>
  <c r="S71" s="1"/>
  <c r="C84"/>
  <c r="S84" s="1"/>
  <c r="G12"/>
  <c r="N79"/>
  <c r="S79" s="1"/>
  <c r="H134"/>
  <c r="L12"/>
  <c r="L5" s="1"/>
  <c r="L118" s="1"/>
  <c r="L120" s="1"/>
  <c r="H12"/>
  <c r="L134"/>
  <c r="L127" s="1"/>
  <c r="L240" s="1"/>
  <c r="L242" s="1"/>
  <c r="F134"/>
  <c r="F127" s="1"/>
  <c r="F240" s="1"/>
  <c r="F242" s="1"/>
  <c r="J12"/>
  <c r="J5" s="1"/>
  <c r="J118" s="1"/>
  <c r="J120" s="1"/>
  <c r="O134"/>
  <c r="O127" s="1"/>
  <c r="O240" s="1"/>
  <c r="O242" s="1"/>
  <c r="J134"/>
  <c r="J127" s="1"/>
  <c r="J240" s="1"/>
  <c r="J242" s="1"/>
  <c r="I12"/>
  <c r="I5" s="1"/>
  <c r="I118" s="1"/>
  <c r="I120" s="1"/>
  <c r="N101"/>
  <c r="R12"/>
  <c r="R5" s="1"/>
  <c r="R118" s="1"/>
  <c r="R120" s="1"/>
  <c r="C101"/>
  <c r="S156"/>
  <c r="U34" s="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S193"/>
  <c r="M134"/>
  <c r="M127" s="1"/>
  <c r="G134"/>
  <c r="C34"/>
  <c r="S34" s="1"/>
  <c r="K12"/>
  <c r="K5" s="1"/>
  <c r="K118" s="1"/>
  <c r="K120" s="1"/>
  <c r="E12"/>
  <c r="E5" s="1"/>
  <c r="E118" s="1"/>
  <c r="E120" s="1"/>
  <c r="S15"/>
  <c r="E134"/>
  <c r="E127" s="1"/>
  <c r="E240" s="1"/>
  <c r="E242" s="1"/>
  <c r="E140" i="17"/>
  <c r="I140" s="1"/>
  <c r="C140" i="8"/>
  <c r="C18"/>
  <c r="Q12"/>
  <c r="Q5" s="1"/>
  <c r="Q118" s="1"/>
  <c r="Q120" s="1"/>
  <c r="S137"/>
  <c r="C223"/>
  <c r="S223" s="1"/>
  <c r="U101" s="1"/>
  <c r="D12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C8" i="8"/>
  <c r="S8" s="1"/>
  <c r="D6"/>
  <c r="H15" i="15"/>
  <c r="G15"/>
  <c r="G5"/>
  <c r="E53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140" i="8" l="1"/>
  <c r="N127"/>
  <c r="N240" s="1"/>
  <c r="N242" s="1"/>
  <c r="S101"/>
  <c r="C12"/>
  <c r="S12" s="1"/>
  <c r="M240"/>
  <c r="M242" s="1"/>
  <c r="S18"/>
  <c r="N5"/>
  <c r="N118" s="1"/>
  <c r="N120" s="1"/>
  <c r="E143" i="17"/>
  <c r="I143" s="1"/>
  <c r="C134" i="8"/>
  <c r="S134" s="1"/>
  <c r="D127"/>
  <c r="N16" i="14"/>
  <c r="P16"/>
  <c r="N20"/>
  <c r="O20"/>
  <c r="N8"/>
  <c r="P8" s="1"/>
  <c r="C6" i="8"/>
  <c r="S6" s="1"/>
  <c r="D5"/>
  <c r="E95" i="15"/>
  <c r="H53"/>
  <c r="G53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O16" i="14"/>
  <c r="P36"/>
  <c r="N36"/>
  <c r="O8"/>
  <c r="O38" s="1"/>
  <c r="N38" s="1"/>
  <c r="P20"/>
  <c r="C5" i="8"/>
  <c r="D118"/>
  <c r="D120" s="1"/>
  <c r="G95" i="15"/>
  <c r="H95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O36" i="14"/>
  <c r="C118" i="8"/>
  <c r="C120" s="1"/>
  <c r="S5"/>
  <c r="S118" s="1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  <c r="H55" i="22" l="1"/>
  <c r="F54" l="1"/>
  <c r="F94" s="1"/>
  <c r="F95" s="1"/>
  <c r="G54" l="1"/>
  <c r="G94"/>
  <c r="H54"/>
  <c r="G95" l="1"/>
  <c r="H94"/>
  <c r="H95" l="1"/>
</calcChain>
</file>

<file path=xl/sharedStrings.xml><?xml version="1.0" encoding="utf-8"?>
<sst xmlns="http://schemas.openxmlformats.org/spreadsheetml/2006/main" count="1745" uniqueCount="787">
  <si>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</si>
  <si>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</si>
  <si>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</si>
  <si>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</si>
  <si>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</si>
  <si>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</si>
  <si>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</si>
  <si>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</si>
  <si>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</si>
  <si>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</si>
  <si>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</si>
  <si>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</si>
  <si>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</si>
  <si>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</si>
  <si>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</si>
  <si>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</si>
  <si>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</si>
  <si>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</si>
  <si>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</si>
  <si>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</si>
  <si>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</si>
  <si>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</si>
  <si>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</si>
  <si>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</si>
  <si>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</si>
  <si>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</si>
  <si>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</si>
  <si>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</si>
  <si>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</si>
  <si>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</si>
  <si>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</si>
  <si>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</si>
  <si>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</si>
  <si>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</si>
  <si>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</si>
  <si>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</si>
  <si>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</si>
  <si>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</si>
  <si>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</si>
  <si>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</si>
  <si>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</si>
  <si>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</si>
  <si>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</si>
  <si>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</si>
  <si>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</si>
  <si>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</si>
  <si>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</si>
  <si>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</si>
  <si>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</si>
  <si>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</si>
  <si>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</si>
  <si>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</si>
  <si>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</si>
  <si>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</si>
  <si>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</si>
  <si>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</si>
  <si>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</si>
  <si>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</si>
  <si>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</si>
  <si>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</si>
  <si>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</si>
  <si>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</si>
  <si>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</si>
  <si>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</si>
  <si>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</si>
  <si>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</si>
  <si>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</si>
  <si>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</si>
  <si>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</si>
  <si>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</si>
  <si>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</si>
  <si>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</si>
  <si>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</si>
  <si>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</si>
  <si>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</si>
  <si>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</si>
  <si>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</si>
  <si>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</si>
  <si>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</si>
  <si>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</si>
  <si>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</si>
  <si>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</si>
  <si>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</si>
  <si>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</si>
  <si>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</si>
  <si>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</si>
  <si>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</si>
  <si>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</si>
  <si>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</si>
  <si>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</si>
  <si>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</si>
  <si>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</si>
  <si>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</si>
  <si>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</si>
  <si>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</si>
  <si>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</si>
  <si>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</si>
  <si>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</si>
  <si>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</si>
  <si>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</si>
  <si>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</si>
  <si>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</si>
  <si>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</si>
  <si>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</si>
  <si>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</si>
  <si>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</si>
  <si>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</si>
  <si>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</si>
  <si>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</si>
  <si>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</si>
  <si>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</si>
  <si>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</si>
  <si>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</si>
  <si>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</si>
  <si>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</si>
  <si>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</si>
  <si>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</si>
  <si>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</si>
  <si>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</si>
  <si>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</si>
  <si>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</si>
  <si>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</si>
  <si>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</si>
  <si>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</si>
  <si>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</si>
  <si>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</si>
  <si>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</si>
  <si>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</si>
  <si>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</si>
  <si>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</si>
  <si>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</si>
  <si>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</si>
  <si>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</si>
  <si>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</si>
  <si>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</si>
  <si>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</si>
  <si>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</si>
  <si>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</si>
  <si>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</si>
  <si>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</si>
  <si>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</si>
  <si>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</si>
  <si>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</si>
  <si>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</si>
  <si>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</si>
  <si>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</si>
  <si>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</si>
  <si>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</si>
  <si>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</si>
  <si>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</si>
  <si>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</si>
  <si>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</si>
  <si>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</si>
  <si>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</si>
  <si>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</si>
  <si>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</si>
  <si>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</si>
  <si>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</si>
  <si>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</si>
  <si>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</si>
  <si>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</si>
  <si>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</si>
  <si>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</si>
  <si>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</si>
  <si>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</si>
  <si>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</si>
  <si>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</si>
  <si>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</si>
  <si>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</si>
  <si>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</si>
  <si>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</si>
  <si>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</si>
  <si>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</si>
  <si>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</si>
  <si>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</si>
  <si>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</si>
  <si>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</si>
  <si>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</si>
  <si>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</si>
  <si>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</si>
  <si>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</si>
  <si>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</si>
  <si>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</si>
  <si>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</si>
  <si>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</si>
  <si>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</si>
  <si>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</si>
  <si>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</si>
  <si>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</si>
  <si>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</si>
  <si>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</si>
  <si>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</si>
  <si>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</si>
  <si>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</si>
  <si>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</si>
  <si>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</si>
  <si>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</si>
  <si>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</si>
  <si>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</si>
  <si>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</si>
  <si>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</si>
  <si>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</si>
  <si>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</si>
  <si>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</si>
  <si>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</si>
  <si>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</si>
  <si>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</si>
  <si>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</si>
  <si>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</si>
  <si>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</si>
  <si>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</si>
  <si>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</si>
  <si>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</si>
  <si>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</si>
  <si>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</si>
  <si>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</si>
  <si>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</si>
  <si>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</si>
  <si>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</si>
  <si>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</si>
  <si>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</si>
  <si>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</si>
  <si>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</si>
  <si>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</si>
  <si>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</si>
  <si>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</si>
  <si>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</si>
  <si>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</si>
  <si>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</si>
  <si>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</si>
  <si>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</si>
  <si>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</si>
  <si>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</si>
  <si>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</si>
  <si>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</si>
  <si>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</si>
  <si>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</si>
  <si>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</si>
  <si>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</si>
  <si>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</si>
  <si>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</si>
  <si>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</si>
  <si>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</si>
  <si>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</si>
  <si>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</si>
  <si>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</si>
  <si>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</si>
  <si>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</si>
  <si>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</si>
  <si>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</si>
  <si>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</si>
  <si>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</si>
  <si>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</si>
  <si>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</si>
  <si>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</si>
  <si>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</si>
  <si>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</si>
  <si>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</si>
  <si>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</si>
  <si>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</si>
  <si>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</si>
  <si>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</si>
  <si>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</si>
  <si>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</si>
  <si>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</si>
  <si>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</si>
  <si>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</si>
  <si>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</si>
  <si>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</si>
  <si>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</si>
  <si>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</si>
  <si>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</si>
  <si>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</si>
  <si>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</si>
  <si>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</si>
  <si>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</si>
  <si>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</si>
  <si>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</si>
  <si>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</si>
  <si>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</si>
  <si>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</si>
  <si>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</si>
  <si>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</si>
  <si>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</si>
  <si>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</si>
  <si>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</si>
  <si>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</si>
  <si>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</si>
  <si>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</si>
  <si>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</si>
  <si>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</si>
  <si>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</si>
  <si>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</si>
  <si>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</si>
  <si>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</si>
  <si>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</si>
  <si>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</si>
  <si>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</si>
  <si>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</si>
  <si>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</si>
  <si>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</si>
  <si>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</si>
  <si>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</si>
  <si>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</si>
  <si>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</si>
  <si>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</si>
  <si>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</si>
  <si>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</si>
  <si>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</si>
  <si>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</si>
  <si>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</si>
  <si>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</si>
  <si>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</si>
  <si>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</si>
  <si>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</si>
  <si>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</si>
  <si>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</si>
  <si>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</si>
  <si>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</si>
  <si>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</si>
  <si>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</si>
  <si>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</si>
  <si>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</si>
  <si>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</si>
  <si>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</si>
  <si>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</si>
  <si>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</si>
  <si>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</si>
  <si>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</si>
  <si>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</si>
  <si>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</si>
  <si>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</si>
  <si>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</si>
  <si>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</si>
  <si>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</si>
  <si>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</si>
  <si>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</si>
  <si>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</si>
  <si>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</si>
  <si>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</si>
  <si>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</si>
  <si>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</si>
  <si>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</si>
  <si>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</si>
  <si>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</si>
  <si>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</si>
  <si>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</si>
  <si>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</si>
  <si>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</si>
  <si>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</si>
  <si>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</si>
  <si>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</si>
  <si>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</si>
  <si>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</si>
  <si>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</si>
  <si>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</si>
  <si>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</si>
  <si>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</si>
  <si>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</si>
  <si>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</si>
  <si>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</si>
  <si>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</si>
  <si>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</si>
  <si>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</si>
  <si>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</si>
  <si>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</si>
  <si>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</si>
  <si>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</si>
  <si>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</si>
  <si>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</si>
  <si>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</si>
  <si>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</si>
  <si>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</si>
  <si>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</si>
  <si>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</si>
  <si>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</si>
  <si>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</si>
  <si>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</si>
  <si>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</si>
  <si>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</si>
  <si>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</si>
  <si>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</si>
  <si>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</si>
  <si>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</si>
  <si>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</si>
  <si>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</si>
  <si>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</si>
  <si>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</si>
  <si>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</si>
  <si>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</si>
  <si>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</si>
  <si>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</si>
  <si>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</si>
  <si>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</si>
  <si>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</si>
  <si>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</si>
  <si>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</si>
  <si>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</si>
  <si>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</si>
  <si>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</si>
  <si>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</si>
  <si>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</si>
  <si>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</si>
  <si>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</si>
  <si>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</si>
  <si>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</si>
  <si>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</si>
  <si>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</si>
  <si>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</si>
  <si>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</si>
  <si>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</si>
  <si>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</si>
  <si>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</si>
  <si>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</si>
  <si>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</si>
  <si>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</si>
  <si>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</si>
  <si>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</si>
  <si>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</si>
  <si>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</si>
  <si>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</si>
  <si>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</si>
  <si>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</si>
  <si>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</si>
  <si>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</si>
  <si>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</si>
  <si>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</si>
  <si>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</si>
  <si>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</si>
  <si>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</si>
  <si>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</si>
  <si>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</si>
  <si>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</si>
  <si>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</si>
  <si>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</si>
  <si>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</si>
  <si>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</si>
  <si>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</si>
  <si>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</si>
  <si>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</si>
  <si>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</si>
  <si>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</si>
  <si>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</si>
  <si>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</si>
  <si>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</si>
  <si>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</si>
  <si>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</si>
  <si>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</si>
  <si>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</si>
  <si>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</si>
  <si>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</si>
  <si>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</si>
  <si>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</si>
  <si>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</si>
  <si>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</si>
  <si>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</si>
  <si>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</si>
  <si>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</si>
  <si>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</si>
  <si>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</si>
  <si>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</si>
  <si>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</si>
  <si>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</si>
  <si>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</si>
  <si>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</si>
  <si>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</si>
  <si>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</si>
  <si>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</si>
  <si>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</si>
  <si>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</si>
  <si>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</si>
  <si>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</si>
  <si>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</si>
  <si>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</si>
  <si>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</si>
  <si>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</si>
  <si>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</si>
  <si>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</si>
  <si>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</si>
  <si>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</si>
  <si>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</si>
  <si>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</si>
  <si>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</si>
  <si>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</si>
  <si>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</si>
  <si>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</si>
  <si>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</si>
  <si>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</si>
  <si>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</si>
  <si>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</si>
  <si>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</si>
  <si>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</si>
  <si>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</si>
  <si>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</si>
  <si>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</si>
  <si>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</si>
  <si>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</si>
  <si>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</si>
  <si>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</si>
  <si>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</si>
  <si>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</si>
  <si>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</si>
  <si>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</si>
  <si>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</si>
  <si>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</si>
  <si>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</si>
  <si>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</si>
  <si>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</si>
  <si>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</si>
  <si>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</si>
  <si>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</si>
  <si>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</si>
  <si>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</si>
  <si>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</si>
  <si>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</si>
  <si>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</si>
  <si>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</si>
  <si>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</si>
  <si>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</si>
  <si>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</si>
  <si>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</si>
  <si>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</si>
  <si>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</si>
  <si>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</si>
  <si>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</si>
  <si>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</si>
  <si>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</si>
  <si>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</si>
  <si>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</si>
  <si>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</si>
  <si>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</si>
  <si>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</si>
  <si>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</si>
  <si>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</si>
  <si>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</si>
  <si>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</si>
  <si>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</si>
  <si>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</si>
  <si>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</si>
  <si>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</si>
  <si>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</si>
  <si>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</si>
  <si>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</si>
  <si>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</si>
  <si>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</si>
  <si>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</si>
  <si>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</si>
  <si>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</si>
  <si>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</si>
  <si>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</si>
  <si>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</si>
  <si>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</si>
  <si>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</si>
  <si>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</si>
  <si>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</si>
  <si>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</si>
  <si>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</si>
  <si>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</si>
  <si>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</si>
  <si>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</si>
  <si>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</si>
  <si>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</si>
  <si>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</si>
  <si>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</si>
  <si>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</si>
  <si>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</si>
  <si>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</si>
  <si>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</si>
  <si>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</si>
  <si>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</si>
  <si>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</si>
  <si>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</si>
  <si>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</si>
  <si>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</si>
  <si>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</si>
  <si>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</si>
  <si>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</si>
  <si>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</si>
  <si>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</si>
  <si>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</si>
  <si>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</si>
  <si>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</si>
  <si>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</si>
  <si>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</si>
  <si>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</si>
  <si>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</si>
  <si>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</si>
  <si>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</si>
  <si>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</si>
  <si>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</si>
  <si>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</si>
  <si>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</si>
  <si>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</si>
  <si>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</si>
  <si>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</si>
  <si>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</si>
  <si>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</si>
  <si>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</si>
  <si>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</si>
  <si>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</si>
  <si>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</si>
  <si>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</si>
  <si>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</si>
  <si>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</si>
  <si>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</si>
  <si>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</si>
  <si>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</si>
  <si>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</si>
  <si>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</si>
  <si>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</si>
  <si>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</si>
  <si>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</si>
  <si>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</si>
  <si>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</si>
  <si>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</si>
  <si>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</si>
  <si>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</si>
  <si>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</si>
  <si>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</si>
  <si>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</si>
  <si>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</si>
  <si>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</si>
  <si>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</si>
  <si>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</si>
  <si>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</si>
  <si>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</si>
  <si>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</si>
  <si>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</si>
  <si>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</si>
  <si>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</si>
  <si>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</si>
  <si>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</si>
  <si>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</si>
  <si>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</si>
  <si>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</si>
  <si>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</si>
  <si>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</si>
  <si>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</si>
  <si>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</si>
  <si>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</si>
  <si>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</si>
  <si>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</si>
  <si>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</si>
  <si>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</si>
  <si>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</si>
  <si>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</si>
  <si>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</si>
  <si>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</si>
  <si>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</si>
  <si>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</si>
  <si>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</si>
  <si>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</si>
  <si>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</si>
  <si>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</si>
  <si>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</si>
  <si>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</si>
  <si>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</si>
  <si>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</si>
  <si>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</si>
  <si>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</si>
  <si>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</si>
  <si>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</si>
  <si>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</si>
  <si>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</si>
  <si>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</si>
  <si>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</si>
  <si>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</si>
  <si>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</si>
  <si>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</si>
  <si>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</si>
  <si>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</si>
  <si>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</si>
  <si>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</si>
  <si>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</si>
  <si>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</si>
  <si>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</si>
  <si>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</si>
  <si>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</si>
  <si>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</si>
  <si>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</si>
  <si>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</si>
  <si>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</si>
  <si>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</si>
  <si>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</si>
  <si>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</si>
  <si>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</si>
  <si>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</si>
  <si>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</si>
  <si>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</si>
  <si>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</si>
  <si>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</si>
  <si>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</si>
  <si>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</si>
  <si>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</si>
  <si>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</si>
  <si>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</si>
  <si>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</si>
  <si>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</si>
  <si>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</si>
  <si>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</si>
  <si>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</si>
  <si>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</si>
  <si>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01.04. 2019</t>
  </si>
  <si>
    <t>ФКУ ГУ ВО Минфин России 2547</t>
  </si>
  <si>
    <t>Вечерняя школа             570</t>
  </si>
  <si>
    <t>МОУ МУК г.Ак-Довурака  605</t>
  </si>
  <si>
    <t>ООО "Ной"</t>
  </si>
  <si>
    <t>Монтажный участок №1 А-Д</t>
  </si>
  <si>
    <t>Динамика    изменения   недоимки   по  налогам  на 01.04. 2020 год                                                                 г.Ак-Довурак ( тыс. рублей)</t>
  </si>
  <si>
    <t>01.04. 2020</t>
  </si>
  <si>
    <t>ТСЖ "Энергетиков"</t>
  </si>
  <si>
    <t>ООО "Енисейлес"</t>
  </si>
  <si>
    <t>ООО ГОК "Туваасбест" 997,2461</t>
  </si>
  <si>
    <t>ООО "Аас-кежик"</t>
  </si>
  <si>
    <t>Благ.фонд "Подари солнце"</t>
  </si>
  <si>
    <t>ПАО "ФСК"</t>
  </si>
  <si>
    <t>Коэф.роста к 2019 году</t>
  </si>
  <si>
    <t>Откл.с 01.04.20 на 01.01.20</t>
  </si>
  <si>
    <t>ФГКУ1 отряд ФПС 2113</t>
  </si>
  <si>
    <t>ИНН</t>
  </si>
  <si>
    <t>1701052697</t>
  </si>
  <si>
    <t>Мин труда и соц.политика РТ</t>
  </si>
  <si>
    <t>1701059340</t>
  </si>
  <si>
    <t>1718000922</t>
  </si>
  <si>
    <t>1718001637</t>
  </si>
  <si>
    <t>1718001877</t>
  </si>
  <si>
    <t>1718001901</t>
  </si>
  <si>
    <t>1718001926</t>
  </si>
  <si>
    <t>1718002020</t>
  </si>
  <si>
    <t>1718002060</t>
  </si>
  <si>
    <t>1718002084</t>
  </si>
  <si>
    <t>1718002091</t>
  </si>
  <si>
    <t>1718002126</t>
  </si>
  <si>
    <t>1718002246</t>
  </si>
  <si>
    <t>1718002292</t>
  </si>
  <si>
    <t>1718002334</t>
  </si>
  <si>
    <t>1718002341</t>
  </si>
  <si>
    <t>1718002366</t>
  </si>
  <si>
    <t>1718002373</t>
  </si>
  <si>
    <t>1718002398</t>
  </si>
  <si>
    <t>1718002422</t>
  </si>
  <si>
    <t>ООО "Амбащ"</t>
  </si>
  <si>
    <t>ООО "Ника"</t>
  </si>
  <si>
    <t>ООО "ДОМ.РФ УПРАВЛЕНИЕ ПРОЕКТАМИ"</t>
  </si>
  <si>
    <t>ООО "Т2 МОБАЙЛ"</t>
  </si>
  <si>
    <t>Коэфф. роста 2020г. к 2019 г. (Гр.4/Гр.1)</t>
  </si>
  <si>
    <t xml:space="preserve">Субвенции бюджетам городских округов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</si>
  <si>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Субвенции бюджетам городских округов на организацию отдыха и оздоровления детей</t>
  </si>
  <si>
    <t>1 2 02 30024 04 0000 150</t>
  </si>
  <si>
    <t>Субвенции на осуществление переданных государственных полномочий по организации  мероприятий при осуществлении деятельности по обращению с животными без владельцев</t>
  </si>
  <si>
    <t xml:space="preserve"> за  2020 год</t>
  </si>
  <si>
    <t>Наименование доходов</t>
  </si>
  <si>
    <t>Первоначальный план на 2020 г.</t>
  </si>
  <si>
    <t>000 2 02 45303 04 0000 150</t>
  </si>
  <si>
    <t>000 2 02 35302 04 0000 150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</si>
  <si>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</si>
  <si>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000 2 19 35250 04 0000150</t>
  </si>
  <si>
    <t xml:space="preserve">иные межбюджетные трансферты </t>
  </si>
  <si>
    <t>000 2 02 45160 04 0000 150</t>
  </si>
  <si>
    <t>по сост.на 01.01.2021г</t>
  </si>
  <si>
    <t>Факт январь-декабрь 2019г.</t>
  </si>
  <si>
    <t>Первонаачальный план на 2020 г.</t>
  </si>
  <si>
    <t>январь-декабрь  2020г.</t>
  </si>
  <si>
    <t>Факт декабрь 2019г.</t>
  </si>
  <si>
    <t>декабрь</t>
  </si>
  <si>
    <t>Уточненный план</t>
  </si>
  <si>
    <t xml:space="preserve">                                                                                  Информация о  выполнении плана                                                                  Приложение №2.2.</t>
  </si>
  <si>
    <t xml:space="preserve"> за 2020 год</t>
  </si>
  <si>
    <t>Факт на 01.01.2021 год</t>
  </si>
  <si>
    <t>Субсидии на частичную компенсацию дополнительных расходов на повышение оплаты труда работников бюджетной сферы и иные цели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</si>
  <si>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соотв. с ФЗ от 19 мая 1995 года №81-ФЗ "О гос.пособиях гражданам, имеющим детей" за счет средств резервного фонда Правительства РФ</t>
  </si>
  <si>
    <t>000 2 02 25304 04 0000 150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</si>
  <si>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</si>
  <si>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</si>
  <si>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</si>
  <si>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</si>
  <si>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</si>
  <si>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</si>
  <si>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</si>
  <si>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</si>
  <si>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</si>
  <si>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</si>
  <si>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городских округов на осуществление ежемесячных выплат на детей в возрасте от трех до семи лет включительно</t>
  </si>
  <si>
    <t>Субвенции бюджетам городских округов на осуществление ежемесячных выплат на детей в возрасте от трех до семи лет включительно, за счет средств резервного фонда Правительства Российской Федерации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</si>
  <si>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</si>
  <si>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</si>
  <si>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Субвенции на реализацию Закона Республики Тыва "О мерах социальной поддержки ветеранов труда и труженников тыла"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</si>
</sst>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</numFmts>
  <fonts count="40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2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8" applyNumberFormat="0">
      <alignment horizontal="right" vertical="top"/>
    </xf>
    <xf numFmtId="0" fontId="19" fillId="0" borderId="28" applyNumberFormat="0">
      <alignment horizontal="right" vertical="top"/>
    </xf>
    <xf numFmtId="0" fontId="19" fillId="9" borderId="28" applyNumberFormat="0">
      <alignment horizontal="right" vertical="top"/>
    </xf>
    <xf numFmtId="49" fontId="19" fillId="10" borderId="28">
      <alignment horizontal="left" vertical="top"/>
    </xf>
    <xf numFmtId="49" fontId="34" fillId="0" borderId="28">
      <alignment horizontal="left" vertical="top"/>
    </xf>
    <xf numFmtId="0" fontId="19" fillId="11" borderId="28">
      <alignment horizontal="left" vertical="top" wrapText="1"/>
    </xf>
    <xf numFmtId="0" fontId="34" fillId="0" borderId="28">
      <alignment horizontal="left" vertical="top" wrapText="1"/>
    </xf>
    <xf numFmtId="0" fontId="19" fillId="12" borderId="28">
      <alignment horizontal="left" vertical="top" wrapText="1"/>
    </xf>
    <xf numFmtId="0" fontId="19" fillId="13" borderId="28">
      <alignment horizontal="left" vertical="top" wrapText="1"/>
    </xf>
    <xf numFmtId="0" fontId="19" fillId="14" borderId="28">
      <alignment horizontal="left" vertical="top" wrapText="1"/>
    </xf>
    <xf numFmtId="0" fontId="19" fillId="15" borderId="28">
      <alignment horizontal="left" vertical="top" wrapText="1"/>
    </xf>
    <xf numFmtId="0" fontId="19" fillId="0" borderId="28">
      <alignment horizontal="left" vertical="top" wrapText="1"/>
    </xf>
    <xf numFmtId="0" fontId="35" fillId="0" borderId="0">
      <alignment horizontal="left" vertical="top"/>
    </xf>
    <xf numFmtId="0" fontId="19" fillId="11" borderId="29" applyNumberFormat="0">
      <alignment horizontal="right" vertical="top"/>
    </xf>
    <xf numFmtId="0" fontId="19" fillId="12" borderId="29" applyNumberFormat="0">
      <alignment horizontal="right" vertical="top"/>
    </xf>
    <xf numFmtId="0" fontId="19" fillId="0" borderId="28" applyNumberFormat="0">
      <alignment horizontal="right" vertical="top"/>
    </xf>
    <xf numFmtId="0" fontId="19" fillId="0" borderId="28" applyNumberFormat="0">
      <alignment horizontal="right" vertical="top"/>
    </xf>
    <xf numFmtId="0" fontId="19" fillId="13" borderId="29" applyNumberFormat="0">
      <alignment horizontal="right" vertical="top"/>
    </xf>
    <xf numFmtId="0" fontId="19" fillId="0" borderId="28" applyNumberFormat="0">
      <alignment horizontal="right" vertical="top"/>
    </xf>
    <xf numFmtId="49" fontId="36" fillId="16" borderId="28">
      <alignment horizontal="left" vertical="top" wrapText="1"/>
    </xf>
    <xf numFmtId="49" fontId="19" fillId="0" borderId="28">
      <alignment horizontal="left" vertical="top" wrapText="1"/>
    </xf>
    <xf numFmtId="0" fontId="19" fillId="15" borderId="28">
      <alignment horizontal="left" vertical="top" wrapText="1"/>
    </xf>
    <xf numFmtId="0" fontId="19" fillId="0" borderId="28">
      <alignment horizontal="left" vertical="top" wrapText="1"/>
    </xf>
  </cellStyleXfs>
  <cellXfs count="671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2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165" fontId="27" fillId="4" borderId="1" xfId="3" applyNumberFormat="1" applyFont="1" applyFill="1" applyBorder="1" applyAlignment="1">
      <alignment horizontal="center"/>
    </xf>
    <xf numFmtId="165" fontId="28" fillId="0" borderId="1" xfId="3" applyNumberFormat="1" applyFont="1" applyFill="1" applyBorder="1"/>
    <xf numFmtId="0" fontId="4" fillId="0" borderId="0" xfId="3" applyFont="1" applyFill="1"/>
    <xf numFmtId="0" fontId="27" fillId="0" borderId="0" xfId="3" applyFont="1" applyFill="1"/>
    <xf numFmtId="0" fontId="1" fillId="0" borderId="0" xfId="3"/>
    <xf numFmtId="165" fontId="18" fillId="0" borderId="1" xfId="1" applyNumberFormat="1" applyFont="1" applyFill="1" applyBorder="1" applyAlignment="1">
      <alignment horizontal="center" vertical="center"/>
    </xf>
    <xf numFmtId="167" fontId="12" fillId="4" borderId="22" xfId="1" applyNumberFormat="1" applyFont="1" applyFill="1" applyBorder="1" applyAlignment="1">
      <alignment horizontal="center" vertical="center"/>
    </xf>
    <xf numFmtId="165" fontId="32" fillId="5" borderId="1" xfId="1" applyNumberFormat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4" fillId="0" borderId="0" xfId="3" applyFont="1"/>
    <xf numFmtId="0" fontId="10" fillId="0" borderId="0" xfId="3" applyFont="1" applyAlignment="1">
      <alignment horizontal="left"/>
    </xf>
    <xf numFmtId="0" fontId="5" fillId="0" borderId="0" xfId="3" applyFont="1"/>
    <xf numFmtId="165" fontId="4" fillId="0" borderId="0" xfId="3" applyNumberFormat="1" applyFont="1"/>
    <xf numFmtId="0" fontId="7" fillId="0" borderId="0" xfId="3" applyFont="1"/>
    <xf numFmtId="1" fontId="7" fillId="8" borderId="1" xfId="3" applyNumberFormat="1" applyFont="1" applyFill="1" applyBorder="1" applyAlignment="1">
      <alignment horizontal="center" vertical="center"/>
    </xf>
    <xf numFmtId="0" fontId="8" fillId="8" borderId="1" xfId="3" applyFont="1" applyFill="1" applyBorder="1" applyAlignment="1">
      <alignment horizontal="left" vertical="center" wrapText="1"/>
    </xf>
    <xf numFmtId="0" fontId="6" fillId="8" borderId="1" xfId="3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1" fontId="7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27" fillId="0" borderId="1" xfId="3" applyNumberFormat="1" applyFont="1" applyFill="1" applyBorder="1" applyAlignment="1">
      <alignment horizontal="center" vertical="center"/>
    </xf>
    <xf numFmtId="167" fontId="27" fillId="0" borderId="1" xfId="3" applyNumberFormat="1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 applyFill="1"/>
    <xf numFmtId="1" fontId="28" fillId="0" borderId="1" xfId="3" applyNumberFormat="1" applyFont="1" applyFill="1" applyBorder="1" applyAlignment="1">
      <alignment horizontal="center" vertical="center"/>
    </xf>
    <xf numFmtId="49" fontId="30" fillId="0" borderId="1" xfId="3" applyNumberFormat="1" applyFont="1" applyFill="1" applyBorder="1" applyAlignment="1">
      <alignment horizontal="center" vertical="center" wrapText="1"/>
    </xf>
    <xf numFmtId="165" fontId="7" fillId="8" borderId="4" xfId="3" applyNumberFormat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4" fillId="0" borderId="3" xfId="3" applyFont="1" applyBorder="1" applyAlignment="1"/>
    <xf numFmtId="0" fontId="26" fillId="0" borderId="0" xfId="3" applyFont="1" applyAlignment="1"/>
    <xf numFmtId="49" fontId="27" fillId="3" borderId="1" xfId="3" applyNumberFormat="1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wrapText="1"/>
    </xf>
    <xf numFmtId="165" fontId="28" fillId="3" borderId="1" xfId="3" applyNumberFormat="1" applyFont="1" applyFill="1" applyBorder="1" applyAlignment="1">
      <alignment horizontal="center"/>
    </xf>
    <xf numFmtId="165" fontId="28" fillId="3" borderId="1" xfId="3" applyNumberFormat="1" applyFont="1" applyFill="1" applyBorder="1"/>
    <xf numFmtId="165" fontId="28" fillId="3" borderId="1" xfId="3" applyNumberFormat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7" fillId="3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vertical="top" wrapText="1"/>
    </xf>
    <xf numFmtId="1" fontId="7" fillId="3" borderId="1" xfId="3" applyNumberFormat="1" applyFont="1" applyFill="1" applyBorder="1" applyAlignment="1">
      <alignment horizontal="center"/>
    </xf>
    <xf numFmtId="1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left"/>
    </xf>
    <xf numFmtId="0" fontId="28" fillId="3" borderId="1" xfId="3" applyFont="1" applyFill="1" applyBorder="1"/>
    <xf numFmtId="0" fontId="28" fillId="3" borderId="1" xfId="3" applyFont="1" applyFill="1" applyBorder="1" applyAlignment="1">
      <alignment horizontal="center"/>
    </xf>
    <xf numFmtId="165" fontId="28" fillId="0" borderId="1" xfId="3" applyNumberFormat="1" applyFont="1" applyFill="1" applyBorder="1" applyAlignment="1">
      <alignment horizontal="center" vertical="center"/>
    </xf>
    <xf numFmtId="0" fontId="27" fillId="3" borderId="17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38" fillId="0" borderId="1" xfId="0" applyNumberFormat="1" applyFont="1" applyBorder="1"/>
    <xf numFmtId="0" fontId="28" fillId="0" borderId="1" xfId="3" applyFont="1" applyFill="1" applyBorder="1" applyAlignment="1">
      <alignment horizontal="center" vertical="center"/>
    </xf>
    <xf numFmtId="0" fontId="38" fillId="0" borderId="1" xfId="0" applyNumberFormat="1" applyFont="1" applyFill="1" applyBorder="1"/>
    <xf numFmtId="165" fontId="28" fillId="0" borderId="1" xfId="3" applyNumberFormat="1" applyFont="1" applyFill="1" applyBorder="1" applyAlignment="1">
      <alignment horizontal="center"/>
    </xf>
    <xf numFmtId="0" fontId="10" fillId="0" borderId="1" xfId="0" applyNumberFormat="1" applyFont="1" applyBorder="1"/>
    <xf numFmtId="167" fontId="39" fillId="5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3" fontId="32" fillId="5" borderId="1" xfId="1" applyNumberFormat="1" applyFont="1" applyFill="1" applyBorder="1" applyAlignment="1">
      <alignment horizontal="center" vertical="center"/>
    </xf>
    <xf numFmtId="167" fontId="12" fillId="5" borderId="4" xfId="1" applyNumberFormat="1" applyFont="1" applyFill="1" applyBorder="1" applyAlignment="1">
      <alignment horizontal="center" vertical="center"/>
    </xf>
    <xf numFmtId="167" fontId="32" fillId="5" borderId="0" xfId="1" applyNumberFormat="1" applyFont="1" applyFill="1" applyBorder="1" applyAlignment="1">
      <alignment horizontal="center" vertical="center"/>
    </xf>
    <xf numFmtId="168" fontId="32" fillId="5" borderId="0" xfId="1" applyNumberFormat="1" applyFont="1" applyFill="1" applyBorder="1" applyAlignment="1">
      <alignment horizontal="center" vertical="center"/>
    </xf>
    <xf numFmtId="3" fontId="17" fillId="4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7" fontId="17" fillId="4" borderId="4" xfId="1" applyNumberFormat="1" applyFont="1" applyFill="1" applyBorder="1" applyAlignment="1">
      <alignment horizontal="center" vertical="center"/>
    </xf>
    <xf numFmtId="168" fontId="17" fillId="4" borderId="0" xfId="1" applyNumberFormat="1" applyFont="1" applyFill="1" applyBorder="1" applyAlignment="1">
      <alignment horizontal="center" vertical="center"/>
    </xf>
    <xf numFmtId="3" fontId="18" fillId="4" borderId="1" xfId="1" applyNumberFormat="1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167" fontId="18" fillId="4" borderId="4" xfId="1" applyNumberFormat="1" applyFont="1" applyFill="1" applyBorder="1" applyAlignment="1">
      <alignment horizontal="center" vertical="center"/>
    </xf>
    <xf numFmtId="165" fontId="18" fillId="4" borderId="1" xfId="1" applyNumberFormat="1" applyFont="1" applyFill="1" applyBorder="1" applyAlignment="1">
      <alignment horizontal="center" vertical="center"/>
    </xf>
    <xf numFmtId="168" fontId="18" fillId="4" borderId="0" xfId="1" applyNumberFormat="1" applyFont="1" applyFill="1" applyBorder="1" applyAlignment="1">
      <alignment horizontal="center" vertical="center"/>
    </xf>
    <xf numFmtId="167" fontId="17" fillId="0" borderId="4" xfId="1" applyNumberFormat="1" applyFont="1" applyFill="1" applyBorder="1" applyAlignment="1">
      <alignment horizontal="center" vertical="center"/>
    </xf>
    <xf numFmtId="168" fontId="17" fillId="0" borderId="0" xfId="1" applyNumberFormat="1" applyFont="1" applyFill="1" applyBorder="1" applyAlignment="1">
      <alignment horizontal="center" vertical="center"/>
    </xf>
    <xf numFmtId="167" fontId="18" fillId="0" borderId="4" xfId="1" applyNumberFormat="1" applyFont="1" applyFill="1" applyBorder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5" fontId="22" fillId="0" borderId="0" xfId="1" applyNumberFormat="1" applyFont="1" applyBorder="1" applyAlignment="1">
      <alignment vertical="center"/>
    </xf>
    <xf numFmtId="0" fontId="0" fillId="0" borderId="0" xfId="0" applyBorder="1"/>
    <xf numFmtId="165" fontId="18" fillId="4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7" fontId="17" fillId="4" borderId="4" xfId="0" applyNumberFormat="1" applyFont="1" applyFill="1" applyBorder="1" applyAlignment="1">
      <alignment horizontal="center" vertical="center" wrapText="1"/>
    </xf>
    <xf numFmtId="168" fontId="18" fillId="4" borderId="0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 wrapText="1"/>
    </xf>
    <xf numFmtId="167" fontId="18" fillId="4" borderId="4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167" fontId="18" fillId="0" borderId="4" xfId="0" applyNumberFormat="1" applyFont="1" applyFill="1" applyBorder="1" applyAlignment="1">
      <alignment horizontal="center" vertical="center" wrapText="1"/>
    </xf>
    <xf numFmtId="168" fontId="18" fillId="0" borderId="0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/>
    <xf numFmtId="14" fontId="12" fillId="0" borderId="0" xfId="0" applyNumberFormat="1" applyFont="1" applyAlignment="1">
      <alignment horizontal="center"/>
    </xf>
    <xf numFmtId="165" fontId="0" fillId="0" borderId="0" xfId="0" applyNumberFormat="1"/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left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165" fontId="4" fillId="0" borderId="0" xfId="3" applyNumberFormat="1" applyFont="1" applyFill="1"/>
    <xf numFmtId="166" fontId="4" fillId="0" borderId="0" xfId="3" applyNumberFormat="1" applyFont="1" applyFill="1"/>
    <xf numFmtId="0" fontId="5" fillId="0" borderId="0" xfId="3" applyFont="1" applyFill="1"/>
    <xf numFmtId="0" fontId="10" fillId="0" borderId="0" xfId="3" applyFont="1" applyFill="1" applyAlignment="1">
      <alignment horizontal="left"/>
    </xf>
    <xf numFmtId="0" fontId="17" fillId="0" borderId="1" xfId="1" applyFont="1" applyFill="1" applyBorder="1" applyAlignment="1">
      <alignment horizontal="center" vertical="center" wrapText="1"/>
    </xf>
    <xf numFmtId="0" fontId="5" fillId="8" borderId="1" xfId="3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4" fillId="8" borderId="1" xfId="3" applyFont="1" applyFill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 wrapText="1"/>
    </xf>
    <xf numFmtId="0" fontId="7" fillId="8" borderId="0" xfId="3" applyFont="1" applyFill="1"/>
    <xf numFmtId="0" fontId="4" fillId="8" borderId="0" xfId="3" applyFont="1" applyFill="1"/>
    <xf numFmtId="1" fontId="32" fillId="5" borderId="1" xfId="1" applyNumberFormat="1" applyFont="1" applyFill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1" fontId="17" fillId="4" borderId="1" xfId="1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21" fillId="0" borderId="0" xfId="1" applyNumberFormat="1" applyFont="1" applyAlignment="1">
      <alignment wrapText="1"/>
    </xf>
    <xf numFmtId="2" fontId="7" fillId="3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/>
    </xf>
    <xf numFmtId="2" fontId="7" fillId="8" borderId="1" xfId="2" applyNumberFormat="1" applyFont="1" applyFill="1" applyBorder="1" applyAlignment="1">
      <alignment horizontal="center" vertical="center" wrapText="1"/>
    </xf>
    <xf numFmtId="2" fontId="4" fillId="4" borderId="1" xfId="3" applyNumberFormat="1" applyFont="1" applyFill="1" applyBorder="1" applyAlignment="1">
      <alignment horizontal="center" vertical="center"/>
    </xf>
    <xf numFmtId="2" fontId="7" fillId="8" borderId="4" xfId="3" applyNumberFormat="1" applyFont="1" applyFill="1" applyBorder="1" applyAlignment="1">
      <alignment horizontal="center" vertical="center"/>
    </xf>
    <xf numFmtId="2" fontId="27" fillId="0" borderId="1" xfId="3" applyNumberFormat="1" applyFont="1" applyFill="1" applyBorder="1" applyAlignment="1">
      <alignment horizontal="center" vertical="center" wrapText="1"/>
    </xf>
    <xf numFmtId="2" fontId="7" fillId="8" borderId="1" xfId="3" applyNumberFormat="1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/>
    </xf>
    <xf numFmtId="166" fontId="7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5" fillId="0" borderId="1" xfId="3" applyNumberFormat="1" applyFont="1" applyFill="1" applyBorder="1" applyAlignment="1">
      <alignment horizontal="center" vertical="center"/>
    </xf>
    <xf numFmtId="0" fontId="17" fillId="0" borderId="0" xfId="3" applyFont="1" applyAlignment="1"/>
    <xf numFmtId="0" fontId="12" fillId="0" borderId="3" xfId="3" applyFont="1" applyBorder="1" applyAlignment="1"/>
    <xf numFmtId="0" fontId="17" fillId="0" borderId="20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2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165" fontId="17" fillId="0" borderId="20" xfId="1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1" fontId="17" fillId="0" borderId="20" xfId="1" applyNumberFormat="1" applyFont="1" applyFill="1" applyBorder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17" fillId="0" borderId="11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0" fontId="31" fillId="0" borderId="3" xfId="3" applyFont="1" applyFill="1" applyBorder="1" applyAlignment="1">
      <alignment horizontal="center" wrapText="1"/>
    </xf>
    <xf numFmtId="0" fontId="27" fillId="3" borderId="17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7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18" xfId="3" applyFont="1" applyFill="1" applyBorder="1" applyAlignment="1">
      <alignment horizontal="center" vertical="center" wrapText="1"/>
    </xf>
    <xf numFmtId="0" fontId="27" fillId="3" borderId="14" xfId="3" applyFont="1" applyFill="1" applyBorder="1" applyAlignment="1">
      <alignment horizontal="center" vertical="center" wrapText="1"/>
    </xf>
    <xf numFmtId="0" fontId="27" fillId="3" borderId="15" xfId="3" applyFont="1" applyFill="1" applyBorder="1" applyAlignment="1">
      <alignment horizontal="center" vertical="center" wrapText="1"/>
    </xf>
    <xf numFmtId="0" fontId="27" fillId="3" borderId="0" xfId="3" applyFont="1" applyFill="1" applyBorder="1" applyAlignment="1">
      <alignment horizontal="center" vertical="center" wrapText="1"/>
    </xf>
    <xf numFmtId="0" fontId="27" fillId="3" borderId="16" xfId="3" applyFont="1" applyFill="1" applyBorder="1" applyAlignment="1">
      <alignment horizontal="center" vertical="center" wrapText="1"/>
    </xf>
    <xf numFmtId="2" fontId="30" fillId="3" borderId="17" xfId="3" applyNumberFormat="1" applyFont="1" applyFill="1" applyBorder="1" applyAlignment="1">
      <alignment horizontal="center" vertical="center" textRotation="90" wrapText="1"/>
    </xf>
    <xf numFmtId="2" fontId="30" fillId="3" borderId="5" xfId="3" applyNumberFormat="1" applyFont="1" applyFill="1" applyBorder="1" applyAlignment="1">
      <alignment horizontal="center" vertical="center" textRotation="90" wrapText="1"/>
    </xf>
    <xf numFmtId="2" fontId="30" fillId="3" borderId="6" xfId="3" applyNumberFormat="1" applyFont="1" applyFill="1" applyBorder="1" applyAlignment="1">
      <alignment horizontal="center" vertical="center" textRotation="90" wrapText="1"/>
    </xf>
    <xf numFmtId="2" fontId="27" fillId="3" borderId="17" xfId="3" applyNumberFormat="1" applyFont="1" applyFill="1" applyBorder="1" applyAlignment="1">
      <alignment horizontal="center" vertical="center" wrapText="1"/>
    </xf>
    <xf numFmtId="2" fontId="27" fillId="3" borderId="5" xfId="3" applyNumberFormat="1" applyFont="1" applyFill="1" applyBorder="1" applyAlignment="1">
      <alignment horizontal="center" vertical="center" wrapText="1"/>
    </xf>
    <xf numFmtId="2" fontId="27" fillId="3" borderId="6" xfId="3" applyNumberFormat="1" applyFont="1" applyFill="1" applyBorder="1" applyAlignment="1">
      <alignment horizontal="center" vertical="center" wrapText="1"/>
    </xf>
    <xf numFmtId="0" fontId="17" fillId="0" borderId="3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wrapText="1"/>
    </xf>
    <xf numFmtId="2" fontId="27" fillId="3" borderId="17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7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7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21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42"/>
  <sheetViews>
    <sheetView tabSelected="1" view="pageBreakPreview" zoomScale="68" zoomScaleNormal="73" zoomScaleSheetLayoutView="68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M40" sqref="M40"/>
    </sheetView>
  </sheetViews>
  <sheetFormatPr defaultRowHeight="13.2"/>
  <cols>
    <col min="1" max="1" width="44.6640625" customWidth="1"/>
    <col min="2" max="2" width="14" style="463" customWidth="1"/>
    <col min="3" max="3" width="13.88671875" style="489" customWidth="1"/>
    <col min="4" max="4" width="15.44140625" customWidth="1"/>
    <col min="5" max="5" width="15.5546875" style="463" customWidth="1"/>
    <col min="6" max="6" width="11" customWidth="1"/>
    <col min="7" max="7" width="10.44140625" customWidth="1"/>
    <col min="8" max="8" width="10.88671875" customWidth="1"/>
    <col min="9" max="9" width="12.5546875" customWidth="1"/>
    <col min="10" max="10" width="11.5546875" customWidth="1"/>
    <col min="11" max="11" width="13.109375" style="463" customWidth="1"/>
    <col min="12" max="12" width="11.5546875" customWidth="1"/>
    <col min="13" max="13" width="12.6640625" customWidth="1"/>
    <col min="14" max="14" width="12.109375" hidden="1" customWidth="1"/>
    <col min="15" max="15" width="11.6640625" hidden="1" customWidth="1"/>
    <col min="16" max="16" width="15.44140625" customWidth="1"/>
    <col min="18" max="18" width="20.88671875" customWidth="1"/>
    <col min="257" max="257" width="44.6640625" customWidth="1"/>
    <col min="258" max="258" width="14" customWidth="1"/>
    <col min="259" max="259" width="13.88671875" customWidth="1"/>
    <col min="260" max="260" width="15.44140625" customWidth="1"/>
    <col min="261" max="261" width="15.5546875" customWidth="1"/>
    <col min="262" max="262" width="11" customWidth="1"/>
    <col min="263" max="263" width="10.44140625" customWidth="1"/>
    <col min="264" max="264" width="10.88671875" customWidth="1"/>
    <col min="265" max="265" width="12.5546875" customWidth="1"/>
    <col min="266" max="266" width="11.5546875" customWidth="1"/>
    <col min="267" max="267" width="13.109375" customWidth="1"/>
    <col min="268" max="268" width="11.5546875" customWidth="1"/>
    <col min="269" max="269" width="12.6640625" customWidth="1"/>
    <col min="270" max="271" width="0" hidden="1" customWidth="1"/>
    <col min="272" max="272" width="15.44140625" customWidth="1"/>
    <col min="274" max="274" width="20.88671875" customWidth="1"/>
    <col min="513" max="513" width="44.6640625" customWidth="1"/>
    <col min="514" max="514" width="14" customWidth="1"/>
    <col min="515" max="515" width="13.88671875" customWidth="1"/>
    <col min="516" max="516" width="15.44140625" customWidth="1"/>
    <col min="517" max="517" width="15.5546875" customWidth="1"/>
    <col min="518" max="518" width="11" customWidth="1"/>
    <col min="519" max="519" width="10.44140625" customWidth="1"/>
    <col min="520" max="520" width="10.88671875" customWidth="1"/>
    <col min="521" max="521" width="12.5546875" customWidth="1"/>
    <col min="522" max="522" width="11.5546875" customWidth="1"/>
    <col min="523" max="523" width="13.109375" customWidth="1"/>
    <col min="524" max="524" width="11.5546875" customWidth="1"/>
    <col min="525" max="525" width="12.6640625" customWidth="1"/>
    <col min="526" max="527" width="0" hidden="1" customWidth="1"/>
    <col min="528" max="528" width="15.44140625" customWidth="1"/>
    <col min="530" max="530" width="20.88671875" customWidth="1"/>
    <col min="769" max="769" width="44.6640625" customWidth="1"/>
    <col min="770" max="770" width="14" customWidth="1"/>
    <col min="771" max="771" width="13.88671875" customWidth="1"/>
    <col min="772" max="772" width="15.44140625" customWidth="1"/>
    <col min="773" max="773" width="15.5546875" customWidth="1"/>
    <col min="774" max="774" width="11" customWidth="1"/>
    <col min="775" max="775" width="10.44140625" customWidth="1"/>
    <col min="776" max="776" width="10.88671875" customWidth="1"/>
    <col min="777" max="777" width="12.5546875" customWidth="1"/>
    <col min="778" max="778" width="11.5546875" customWidth="1"/>
    <col min="779" max="779" width="13.109375" customWidth="1"/>
    <col min="780" max="780" width="11.5546875" customWidth="1"/>
    <col min="781" max="781" width="12.6640625" customWidth="1"/>
    <col min="782" max="783" width="0" hidden="1" customWidth="1"/>
    <col min="784" max="784" width="15.44140625" customWidth="1"/>
    <col min="786" max="786" width="20.88671875" customWidth="1"/>
    <col min="1025" max="1025" width="44.6640625" customWidth="1"/>
    <col min="1026" max="1026" width="14" customWidth="1"/>
    <col min="1027" max="1027" width="13.88671875" customWidth="1"/>
    <col min="1028" max="1028" width="15.44140625" customWidth="1"/>
    <col min="1029" max="1029" width="15.5546875" customWidth="1"/>
    <col min="1030" max="1030" width="11" customWidth="1"/>
    <col min="1031" max="1031" width="10.44140625" customWidth="1"/>
    <col min="1032" max="1032" width="10.88671875" customWidth="1"/>
    <col min="1033" max="1033" width="12.5546875" customWidth="1"/>
    <col min="1034" max="1034" width="11.5546875" customWidth="1"/>
    <col min="1035" max="1035" width="13.109375" customWidth="1"/>
    <col min="1036" max="1036" width="11.5546875" customWidth="1"/>
    <col min="1037" max="1037" width="12.6640625" customWidth="1"/>
    <col min="1038" max="1039" width="0" hidden="1" customWidth="1"/>
    <col min="1040" max="1040" width="15.44140625" customWidth="1"/>
    <col min="1042" max="1042" width="20.88671875" customWidth="1"/>
    <col min="1281" max="1281" width="44.6640625" customWidth="1"/>
    <col min="1282" max="1282" width="14" customWidth="1"/>
    <col min="1283" max="1283" width="13.88671875" customWidth="1"/>
    <col min="1284" max="1284" width="15.44140625" customWidth="1"/>
    <col min="1285" max="1285" width="15.5546875" customWidth="1"/>
    <col min="1286" max="1286" width="11" customWidth="1"/>
    <col min="1287" max="1287" width="10.44140625" customWidth="1"/>
    <col min="1288" max="1288" width="10.88671875" customWidth="1"/>
    <col min="1289" max="1289" width="12.5546875" customWidth="1"/>
    <col min="1290" max="1290" width="11.5546875" customWidth="1"/>
    <col min="1291" max="1291" width="13.109375" customWidth="1"/>
    <col min="1292" max="1292" width="11.5546875" customWidth="1"/>
    <col min="1293" max="1293" width="12.6640625" customWidth="1"/>
    <col min="1294" max="1295" width="0" hidden="1" customWidth="1"/>
    <col min="1296" max="1296" width="15.44140625" customWidth="1"/>
    <col min="1298" max="1298" width="20.88671875" customWidth="1"/>
    <col min="1537" max="1537" width="44.6640625" customWidth="1"/>
    <col min="1538" max="1538" width="14" customWidth="1"/>
    <col min="1539" max="1539" width="13.88671875" customWidth="1"/>
    <col min="1540" max="1540" width="15.44140625" customWidth="1"/>
    <col min="1541" max="1541" width="15.5546875" customWidth="1"/>
    <col min="1542" max="1542" width="11" customWidth="1"/>
    <col min="1543" max="1543" width="10.44140625" customWidth="1"/>
    <col min="1544" max="1544" width="10.88671875" customWidth="1"/>
    <col min="1545" max="1545" width="12.5546875" customWidth="1"/>
    <col min="1546" max="1546" width="11.5546875" customWidth="1"/>
    <col min="1547" max="1547" width="13.109375" customWidth="1"/>
    <col min="1548" max="1548" width="11.5546875" customWidth="1"/>
    <col min="1549" max="1549" width="12.6640625" customWidth="1"/>
    <col min="1550" max="1551" width="0" hidden="1" customWidth="1"/>
    <col min="1552" max="1552" width="15.44140625" customWidth="1"/>
    <col min="1554" max="1554" width="20.88671875" customWidth="1"/>
    <col min="1793" max="1793" width="44.6640625" customWidth="1"/>
    <col min="1794" max="1794" width="14" customWidth="1"/>
    <col min="1795" max="1795" width="13.88671875" customWidth="1"/>
    <col min="1796" max="1796" width="15.44140625" customWidth="1"/>
    <col min="1797" max="1797" width="15.5546875" customWidth="1"/>
    <col min="1798" max="1798" width="11" customWidth="1"/>
    <col min="1799" max="1799" width="10.44140625" customWidth="1"/>
    <col min="1800" max="1800" width="10.88671875" customWidth="1"/>
    <col min="1801" max="1801" width="12.5546875" customWidth="1"/>
    <col min="1802" max="1802" width="11.5546875" customWidth="1"/>
    <col min="1803" max="1803" width="13.109375" customWidth="1"/>
    <col min="1804" max="1804" width="11.5546875" customWidth="1"/>
    <col min="1805" max="1805" width="12.6640625" customWidth="1"/>
    <col min="1806" max="1807" width="0" hidden="1" customWidth="1"/>
    <col min="1808" max="1808" width="15.44140625" customWidth="1"/>
    <col min="1810" max="1810" width="20.88671875" customWidth="1"/>
    <col min="2049" max="2049" width="44.6640625" customWidth="1"/>
    <col min="2050" max="2050" width="14" customWidth="1"/>
    <col min="2051" max="2051" width="13.88671875" customWidth="1"/>
    <col min="2052" max="2052" width="15.44140625" customWidth="1"/>
    <col min="2053" max="2053" width="15.5546875" customWidth="1"/>
    <col min="2054" max="2054" width="11" customWidth="1"/>
    <col min="2055" max="2055" width="10.44140625" customWidth="1"/>
    <col min="2056" max="2056" width="10.88671875" customWidth="1"/>
    <col min="2057" max="2057" width="12.5546875" customWidth="1"/>
    <col min="2058" max="2058" width="11.5546875" customWidth="1"/>
    <col min="2059" max="2059" width="13.109375" customWidth="1"/>
    <col min="2060" max="2060" width="11.5546875" customWidth="1"/>
    <col min="2061" max="2061" width="12.6640625" customWidth="1"/>
    <col min="2062" max="2063" width="0" hidden="1" customWidth="1"/>
    <col min="2064" max="2064" width="15.44140625" customWidth="1"/>
    <col min="2066" max="2066" width="20.88671875" customWidth="1"/>
    <col min="2305" max="2305" width="44.6640625" customWidth="1"/>
    <col min="2306" max="2306" width="14" customWidth="1"/>
    <col min="2307" max="2307" width="13.88671875" customWidth="1"/>
    <col min="2308" max="2308" width="15.44140625" customWidth="1"/>
    <col min="2309" max="2309" width="15.5546875" customWidth="1"/>
    <col min="2310" max="2310" width="11" customWidth="1"/>
    <col min="2311" max="2311" width="10.44140625" customWidth="1"/>
    <col min="2312" max="2312" width="10.88671875" customWidth="1"/>
    <col min="2313" max="2313" width="12.5546875" customWidth="1"/>
    <col min="2314" max="2314" width="11.5546875" customWidth="1"/>
    <col min="2315" max="2315" width="13.109375" customWidth="1"/>
    <col min="2316" max="2316" width="11.5546875" customWidth="1"/>
    <col min="2317" max="2317" width="12.6640625" customWidth="1"/>
    <col min="2318" max="2319" width="0" hidden="1" customWidth="1"/>
    <col min="2320" max="2320" width="15.44140625" customWidth="1"/>
    <col min="2322" max="2322" width="20.88671875" customWidth="1"/>
    <col min="2561" max="2561" width="44.6640625" customWidth="1"/>
    <col min="2562" max="2562" width="14" customWidth="1"/>
    <col min="2563" max="2563" width="13.88671875" customWidth="1"/>
    <col min="2564" max="2564" width="15.44140625" customWidth="1"/>
    <col min="2565" max="2565" width="15.5546875" customWidth="1"/>
    <col min="2566" max="2566" width="11" customWidth="1"/>
    <col min="2567" max="2567" width="10.44140625" customWidth="1"/>
    <col min="2568" max="2568" width="10.88671875" customWidth="1"/>
    <col min="2569" max="2569" width="12.5546875" customWidth="1"/>
    <col min="2570" max="2570" width="11.5546875" customWidth="1"/>
    <col min="2571" max="2571" width="13.109375" customWidth="1"/>
    <col min="2572" max="2572" width="11.5546875" customWidth="1"/>
    <col min="2573" max="2573" width="12.6640625" customWidth="1"/>
    <col min="2574" max="2575" width="0" hidden="1" customWidth="1"/>
    <col min="2576" max="2576" width="15.44140625" customWidth="1"/>
    <col min="2578" max="2578" width="20.88671875" customWidth="1"/>
    <col min="2817" max="2817" width="44.6640625" customWidth="1"/>
    <col min="2818" max="2818" width="14" customWidth="1"/>
    <col min="2819" max="2819" width="13.88671875" customWidth="1"/>
    <col min="2820" max="2820" width="15.44140625" customWidth="1"/>
    <col min="2821" max="2821" width="15.5546875" customWidth="1"/>
    <col min="2822" max="2822" width="11" customWidth="1"/>
    <col min="2823" max="2823" width="10.44140625" customWidth="1"/>
    <col min="2824" max="2824" width="10.88671875" customWidth="1"/>
    <col min="2825" max="2825" width="12.5546875" customWidth="1"/>
    <col min="2826" max="2826" width="11.5546875" customWidth="1"/>
    <col min="2827" max="2827" width="13.109375" customWidth="1"/>
    <col min="2828" max="2828" width="11.5546875" customWidth="1"/>
    <col min="2829" max="2829" width="12.6640625" customWidth="1"/>
    <col min="2830" max="2831" width="0" hidden="1" customWidth="1"/>
    <col min="2832" max="2832" width="15.44140625" customWidth="1"/>
    <col min="2834" max="2834" width="20.88671875" customWidth="1"/>
    <col min="3073" max="3073" width="44.6640625" customWidth="1"/>
    <col min="3074" max="3074" width="14" customWidth="1"/>
    <col min="3075" max="3075" width="13.88671875" customWidth="1"/>
    <col min="3076" max="3076" width="15.44140625" customWidth="1"/>
    <col min="3077" max="3077" width="15.5546875" customWidth="1"/>
    <col min="3078" max="3078" width="11" customWidth="1"/>
    <col min="3079" max="3079" width="10.44140625" customWidth="1"/>
    <col min="3080" max="3080" width="10.88671875" customWidth="1"/>
    <col min="3081" max="3081" width="12.5546875" customWidth="1"/>
    <col min="3082" max="3082" width="11.5546875" customWidth="1"/>
    <col min="3083" max="3083" width="13.109375" customWidth="1"/>
    <col min="3084" max="3084" width="11.5546875" customWidth="1"/>
    <col min="3085" max="3085" width="12.6640625" customWidth="1"/>
    <col min="3086" max="3087" width="0" hidden="1" customWidth="1"/>
    <col min="3088" max="3088" width="15.44140625" customWidth="1"/>
    <col min="3090" max="3090" width="20.88671875" customWidth="1"/>
    <col min="3329" max="3329" width="44.6640625" customWidth="1"/>
    <col min="3330" max="3330" width="14" customWidth="1"/>
    <col min="3331" max="3331" width="13.88671875" customWidth="1"/>
    <col min="3332" max="3332" width="15.44140625" customWidth="1"/>
    <col min="3333" max="3333" width="15.5546875" customWidth="1"/>
    <col min="3334" max="3334" width="11" customWidth="1"/>
    <col min="3335" max="3335" width="10.44140625" customWidth="1"/>
    <col min="3336" max="3336" width="10.88671875" customWidth="1"/>
    <col min="3337" max="3337" width="12.5546875" customWidth="1"/>
    <col min="3338" max="3338" width="11.5546875" customWidth="1"/>
    <col min="3339" max="3339" width="13.109375" customWidth="1"/>
    <col min="3340" max="3340" width="11.5546875" customWidth="1"/>
    <col min="3341" max="3341" width="12.6640625" customWidth="1"/>
    <col min="3342" max="3343" width="0" hidden="1" customWidth="1"/>
    <col min="3344" max="3344" width="15.44140625" customWidth="1"/>
    <col min="3346" max="3346" width="20.88671875" customWidth="1"/>
    <col min="3585" max="3585" width="44.6640625" customWidth="1"/>
    <col min="3586" max="3586" width="14" customWidth="1"/>
    <col min="3587" max="3587" width="13.88671875" customWidth="1"/>
    <col min="3588" max="3588" width="15.44140625" customWidth="1"/>
    <col min="3589" max="3589" width="15.5546875" customWidth="1"/>
    <col min="3590" max="3590" width="11" customWidth="1"/>
    <col min="3591" max="3591" width="10.44140625" customWidth="1"/>
    <col min="3592" max="3592" width="10.88671875" customWidth="1"/>
    <col min="3593" max="3593" width="12.5546875" customWidth="1"/>
    <col min="3594" max="3594" width="11.5546875" customWidth="1"/>
    <col min="3595" max="3595" width="13.109375" customWidth="1"/>
    <col min="3596" max="3596" width="11.5546875" customWidth="1"/>
    <col min="3597" max="3597" width="12.6640625" customWidth="1"/>
    <col min="3598" max="3599" width="0" hidden="1" customWidth="1"/>
    <col min="3600" max="3600" width="15.44140625" customWidth="1"/>
    <col min="3602" max="3602" width="20.88671875" customWidth="1"/>
    <col min="3841" max="3841" width="44.6640625" customWidth="1"/>
    <col min="3842" max="3842" width="14" customWidth="1"/>
    <col min="3843" max="3843" width="13.88671875" customWidth="1"/>
    <col min="3844" max="3844" width="15.44140625" customWidth="1"/>
    <col min="3845" max="3845" width="15.5546875" customWidth="1"/>
    <col min="3846" max="3846" width="11" customWidth="1"/>
    <col min="3847" max="3847" width="10.44140625" customWidth="1"/>
    <col min="3848" max="3848" width="10.88671875" customWidth="1"/>
    <col min="3849" max="3849" width="12.5546875" customWidth="1"/>
    <col min="3850" max="3850" width="11.5546875" customWidth="1"/>
    <col min="3851" max="3851" width="13.109375" customWidth="1"/>
    <col min="3852" max="3852" width="11.5546875" customWidth="1"/>
    <col min="3853" max="3853" width="12.6640625" customWidth="1"/>
    <col min="3854" max="3855" width="0" hidden="1" customWidth="1"/>
    <col min="3856" max="3856" width="15.44140625" customWidth="1"/>
    <col min="3858" max="3858" width="20.88671875" customWidth="1"/>
    <col min="4097" max="4097" width="44.6640625" customWidth="1"/>
    <col min="4098" max="4098" width="14" customWidth="1"/>
    <col min="4099" max="4099" width="13.88671875" customWidth="1"/>
    <col min="4100" max="4100" width="15.44140625" customWidth="1"/>
    <col min="4101" max="4101" width="15.5546875" customWidth="1"/>
    <col min="4102" max="4102" width="11" customWidth="1"/>
    <col min="4103" max="4103" width="10.44140625" customWidth="1"/>
    <col min="4104" max="4104" width="10.88671875" customWidth="1"/>
    <col min="4105" max="4105" width="12.5546875" customWidth="1"/>
    <col min="4106" max="4106" width="11.5546875" customWidth="1"/>
    <col min="4107" max="4107" width="13.109375" customWidth="1"/>
    <col min="4108" max="4108" width="11.5546875" customWidth="1"/>
    <col min="4109" max="4109" width="12.6640625" customWidth="1"/>
    <col min="4110" max="4111" width="0" hidden="1" customWidth="1"/>
    <col min="4112" max="4112" width="15.44140625" customWidth="1"/>
    <col min="4114" max="4114" width="20.88671875" customWidth="1"/>
    <col min="4353" max="4353" width="44.6640625" customWidth="1"/>
    <col min="4354" max="4354" width="14" customWidth="1"/>
    <col min="4355" max="4355" width="13.88671875" customWidth="1"/>
    <col min="4356" max="4356" width="15.44140625" customWidth="1"/>
    <col min="4357" max="4357" width="15.5546875" customWidth="1"/>
    <col min="4358" max="4358" width="11" customWidth="1"/>
    <col min="4359" max="4359" width="10.44140625" customWidth="1"/>
    <col min="4360" max="4360" width="10.88671875" customWidth="1"/>
    <col min="4361" max="4361" width="12.5546875" customWidth="1"/>
    <col min="4362" max="4362" width="11.5546875" customWidth="1"/>
    <col min="4363" max="4363" width="13.109375" customWidth="1"/>
    <col min="4364" max="4364" width="11.5546875" customWidth="1"/>
    <col min="4365" max="4365" width="12.6640625" customWidth="1"/>
    <col min="4366" max="4367" width="0" hidden="1" customWidth="1"/>
    <col min="4368" max="4368" width="15.44140625" customWidth="1"/>
    <col min="4370" max="4370" width="20.88671875" customWidth="1"/>
    <col min="4609" max="4609" width="44.6640625" customWidth="1"/>
    <col min="4610" max="4610" width="14" customWidth="1"/>
    <col min="4611" max="4611" width="13.88671875" customWidth="1"/>
    <col min="4612" max="4612" width="15.44140625" customWidth="1"/>
    <col min="4613" max="4613" width="15.5546875" customWidth="1"/>
    <col min="4614" max="4614" width="11" customWidth="1"/>
    <col min="4615" max="4615" width="10.44140625" customWidth="1"/>
    <col min="4616" max="4616" width="10.88671875" customWidth="1"/>
    <col min="4617" max="4617" width="12.5546875" customWidth="1"/>
    <col min="4618" max="4618" width="11.5546875" customWidth="1"/>
    <col min="4619" max="4619" width="13.109375" customWidth="1"/>
    <col min="4620" max="4620" width="11.5546875" customWidth="1"/>
    <col min="4621" max="4621" width="12.6640625" customWidth="1"/>
    <col min="4622" max="4623" width="0" hidden="1" customWidth="1"/>
    <col min="4624" max="4624" width="15.44140625" customWidth="1"/>
    <col min="4626" max="4626" width="20.88671875" customWidth="1"/>
    <col min="4865" max="4865" width="44.6640625" customWidth="1"/>
    <col min="4866" max="4866" width="14" customWidth="1"/>
    <col min="4867" max="4867" width="13.88671875" customWidth="1"/>
    <col min="4868" max="4868" width="15.44140625" customWidth="1"/>
    <col min="4869" max="4869" width="15.5546875" customWidth="1"/>
    <col min="4870" max="4870" width="11" customWidth="1"/>
    <col min="4871" max="4871" width="10.44140625" customWidth="1"/>
    <col min="4872" max="4872" width="10.88671875" customWidth="1"/>
    <col min="4873" max="4873" width="12.5546875" customWidth="1"/>
    <col min="4874" max="4874" width="11.5546875" customWidth="1"/>
    <col min="4875" max="4875" width="13.109375" customWidth="1"/>
    <col min="4876" max="4876" width="11.5546875" customWidth="1"/>
    <col min="4877" max="4877" width="12.6640625" customWidth="1"/>
    <col min="4878" max="4879" width="0" hidden="1" customWidth="1"/>
    <col min="4880" max="4880" width="15.44140625" customWidth="1"/>
    <col min="4882" max="4882" width="20.88671875" customWidth="1"/>
    <col min="5121" max="5121" width="44.6640625" customWidth="1"/>
    <col min="5122" max="5122" width="14" customWidth="1"/>
    <col min="5123" max="5123" width="13.88671875" customWidth="1"/>
    <col min="5124" max="5124" width="15.44140625" customWidth="1"/>
    <col min="5125" max="5125" width="15.5546875" customWidth="1"/>
    <col min="5126" max="5126" width="11" customWidth="1"/>
    <col min="5127" max="5127" width="10.44140625" customWidth="1"/>
    <col min="5128" max="5128" width="10.88671875" customWidth="1"/>
    <col min="5129" max="5129" width="12.5546875" customWidth="1"/>
    <col min="5130" max="5130" width="11.5546875" customWidth="1"/>
    <col min="5131" max="5131" width="13.109375" customWidth="1"/>
    <col min="5132" max="5132" width="11.5546875" customWidth="1"/>
    <col min="5133" max="5133" width="12.6640625" customWidth="1"/>
    <col min="5134" max="5135" width="0" hidden="1" customWidth="1"/>
    <col min="5136" max="5136" width="15.44140625" customWidth="1"/>
    <col min="5138" max="5138" width="20.88671875" customWidth="1"/>
    <col min="5377" max="5377" width="44.6640625" customWidth="1"/>
    <col min="5378" max="5378" width="14" customWidth="1"/>
    <col min="5379" max="5379" width="13.88671875" customWidth="1"/>
    <col min="5380" max="5380" width="15.44140625" customWidth="1"/>
    <col min="5381" max="5381" width="15.5546875" customWidth="1"/>
    <col min="5382" max="5382" width="11" customWidth="1"/>
    <col min="5383" max="5383" width="10.44140625" customWidth="1"/>
    <col min="5384" max="5384" width="10.88671875" customWidth="1"/>
    <col min="5385" max="5385" width="12.5546875" customWidth="1"/>
    <col min="5386" max="5386" width="11.5546875" customWidth="1"/>
    <col min="5387" max="5387" width="13.109375" customWidth="1"/>
    <col min="5388" max="5388" width="11.5546875" customWidth="1"/>
    <col min="5389" max="5389" width="12.6640625" customWidth="1"/>
    <col min="5390" max="5391" width="0" hidden="1" customWidth="1"/>
    <col min="5392" max="5392" width="15.44140625" customWidth="1"/>
    <col min="5394" max="5394" width="20.88671875" customWidth="1"/>
    <col min="5633" max="5633" width="44.6640625" customWidth="1"/>
    <col min="5634" max="5634" width="14" customWidth="1"/>
    <col min="5635" max="5635" width="13.88671875" customWidth="1"/>
    <col min="5636" max="5636" width="15.44140625" customWidth="1"/>
    <col min="5637" max="5637" width="15.5546875" customWidth="1"/>
    <col min="5638" max="5638" width="11" customWidth="1"/>
    <col min="5639" max="5639" width="10.44140625" customWidth="1"/>
    <col min="5640" max="5640" width="10.88671875" customWidth="1"/>
    <col min="5641" max="5641" width="12.5546875" customWidth="1"/>
    <col min="5642" max="5642" width="11.5546875" customWidth="1"/>
    <col min="5643" max="5643" width="13.109375" customWidth="1"/>
    <col min="5644" max="5644" width="11.5546875" customWidth="1"/>
    <col min="5645" max="5645" width="12.6640625" customWidth="1"/>
    <col min="5646" max="5647" width="0" hidden="1" customWidth="1"/>
    <col min="5648" max="5648" width="15.44140625" customWidth="1"/>
    <col min="5650" max="5650" width="20.88671875" customWidth="1"/>
    <col min="5889" max="5889" width="44.6640625" customWidth="1"/>
    <col min="5890" max="5890" width="14" customWidth="1"/>
    <col min="5891" max="5891" width="13.88671875" customWidth="1"/>
    <col min="5892" max="5892" width="15.44140625" customWidth="1"/>
    <col min="5893" max="5893" width="15.5546875" customWidth="1"/>
    <col min="5894" max="5894" width="11" customWidth="1"/>
    <col min="5895" max="5895" width="10.44140625" customWidth="1"/>
    <col min="5896" max="5896" width="10.88671875" customWidth="1"/>
    <col min="5897" max="5897" width="12.5546875" customWidth="1"/>
    <col min="5898" max="5898" width="11.5546875" customWidth="1"/>
    <col min="5899" max="5899" width="13.109375" customWidth="1"/>
    <col min="5900" max="5900" width="11.5546875" customWidth="1"/>
    <col min="5901" max="5901" width="12.6640625" customWidth="1"/>
    <col min="5902" max="5903" width="0" hidden="1" customWidth="1"/>
    <col min="5904" max="5904" width="15.44140625" customWidth="1"/>
    <col min="5906" max="5906" width="20.88671875" customWidth="1"/>
    <col min="6145" max="6145" width="44.6640625" customWidth="1"/>
    <col min="6146" max="6146" width="14" customWidth="1"/>
    <col min="6147" max="6147" width="13.88671875" customWidth="1"/>
    <col min="6148" max="6148" width="15.44140625" customWidth="1"/>
    <col min="6149" max="6149" width="15.5546875" customWidth="1"/>
    <col min="6150" max="6150" width="11" customWidth="1"/>
    <col min="6151" max="6151" width="10.44140625" customWidth="1"/>
    <col min="6152" max="6152" width="10.88671875" customWidth="1"/>
    <col min="6153" max="6153" width="12.5546875" customWidth="1"/>
    <col min="6154" max="6154" width="11.5546875" customWidth="1"/>
    <col min="6155" max="6155" width="13.109375" customWidth="1"/>
    <col min="6156" max="6156" width="11.5546875" customWidth="1"/>
    <col min="6157" max="6157" width="12.6640625" customWidth="1"/>
    <col min="6158" max="6159" width="0" hidden="1" customWidth="1"/>
    <col min="6160" max="6160" width="15.44140625" customWidth="1"/>
    <col min="6162" max="6162" width="20.88671875" customWidth="1"/>
    <col min="6401" max="6401" width="44.6640625" customWidth="1"/>
    <col min="6402" max="6402" width="14" customWidth="1"/>
    <col min="6403" max="6403" width="13.88671875" customWidth="1"/>
    <col min="6404" max="6404" width="15.44140625" customWidth="1"/>
    <col min="6405" max="6405" width="15.5546875" customWidth="1"/>
    <col min="6406" max="6406" width="11" customWidth="1"/>
    <col min="6407" max="6407" width="10.44140625" customWidth="1"/>
    <col min="6408" max="6408" width="10.88671875" customWidth="1"/>
    <col min="6409" max="6409" width="12.5546875" customWidth="1"/>
    <col min="6410" max="6410" width="11.5546875" customWidth="1"/>
    <col min="6411" max="6411" width="13.109375" customWidth="1"/>
    <col min="6412" max="6412" width="11.5546875" customWidth="1"/>
    <col min="6413" max="6413" width="12.6640625" customWidth="1"/>
    <col min="6414" max="6415" width="0" hidden="1" customWidth="1"/>
    <col min="6416" max="6416" width="15.44140625" customWidth="1"/>
    <col min="6418" max="6418" width="20.88671875" customWidth="1"/>
    <col min="6657" max="6657" width="44.6640625" customWidth="1"/>
    <col min="6658" max="6658" width="14" customWidth="1"/>
    <col min="6659" max="6659" width="13.88671875" customWidth="1"/>
    <col min="6660" max="6660" width="15.44140625" customWidth="1"/>
    <col min="6661" max="6661" width="15.5546875" customWidth="1"/>
    <col min="6662" max="6662" width="11" customWidth="1"/>
    <col min="6663" max="6663" width="10.44140625" customWidth="1"/>
    <col min="6664" max="6664" width="10.88671875" customWidth="1"/>
    <col min="6665" max="6665" width="12.5546875" customWidth="1"/>
    <col min="6666" max="6666" width="11.5546875" customWidth="1"/>
    <col min="6667" max="6667" width="13.109375" customWidth="1"/>
    <col min="6668" max="6668" width="11.5546875" customWidth="1"/>
    <col min="6669" max="6669" width="12.6640625" customWidth="1"/>
    <col min="6670" max="6671" width="0" hidden="1" customWidth="1"/>
    <col min="6672" max="6672" width="15.44140625" customWidth="1"/>
    <col min="6674" max="6674" width="20.88671875" customWidth="1"/>
    <col min="6913" max="6913" width="44.6640625" customWidth="1"/>
    <col min="6914" max="6914" width="14" customWidth="1"/>
    <col min="6915" max="6915" width="13.88671875" customWidth="1"/>
    <col min="6916" max="6916" width="15.44140625" customWidth="1"/>
    <col min="6917" max="6917" width="15.5546875" customWidth="1"/>
    <col min="6918" max="6918" width="11" customWidth="1"/>
    <col min="6919" max="6919" width="10.44140625" customWidth="1"/>
    <col min="6920" max="6920" width="10.88671875" customWidth="1"/>
    <col min="6921" max="6921" width="12.5546875" customWidth="1"/>
    <col min="6922" max="6922" width="11.5546875" customWidth="1"/>
    <col min="6923" max="6923" width="13.109375" customWidth="1"/>
    <col min="6924" max="6924" width="11.5546875" customWidth="1"/>
    <col min="6925" max="6925" width="12.6640625" customWidth="1"/>
    <col min="6926" max="6927" width="0" hidden="1" customWidth="1"/>
    <col min="6928" max="6928" width="15.44140625" customWidth="1"/>
    <col min="6930" max="6930" width="20.88671875" customWidth="1"/>
    <col min="7169" max="7169" width="44.6640625" customWidth="1"/>
    <col min="7170" max="7170" width="14" customWidth="1"/>
    <col min="7171" max="7171" width="13.88671875" customWidth="1"/>
    <col min="7172" max="7172" width="15.44140625" customWidth="1"/>
    <col min="7173" max="7173" width="15.5546875" customWidth="1"/>
    <col min="7174" max="7174" width="11" customWidth="1"/>
    <col min="7175" max="7175" width="10.44140625" customWidth="1"/>
    <col min="7176" max="7176" width="10.88671875" customWidth="1"/>
    <col min="7177" max="7177" width="12.5546875" customWidth="1"/>
    <col min="7178" max="7178" width="11.5546875" customWidth="1"/>
    <col min="7179" max="7179" width="13.109375" customWidth="1"/>
    <col min="7180" max="7180" width="11.5546875" customWidth="1"/>
    <col min="7181" max="7181" width="12.6640625" customWidth="1"/>
    <col min="7182" max="7183" width="0" hidden="1" customWidth="1"/>
    <col min="7184" max="7184" width="15.44140625" customWidth="1"/>
    <col min="7186" max="7186" width="20.88671875" customWidth="1"/>
    <col min="7425" max="7425" width="44.6640625" customWidth="1"/>
    <col min="7426" max="7426" width="14" customWidth="1"/>
    <col min="7427" max="7427" width="13.88671875" customWidth="1"/>
    <col min="7428" max="7428" width="15.44140625" customWidth="1"/>
    <col min="7429" max="7429" width="15.5546875" customWidth="1"/>
    <col min="7430" max="7430" width="11" customWidth="1"/>
    <col min="7431" max="7431" width="10.44140625" customWidth="1"/>
    <col min="7432" max="7432" width="10.88671875" customWidth="1"/>
    <col min="7433" max="7433" width="12.5546875" customWidth="1"/>
    <col min="7434" max="7434" width="11.5546875" customWidth="1"/>
    <col min="7435" max="7435" width="13.109375" customWidth="1"/>
    <col min="7436" max="7436" width="11.5546875" customWidth="1"/>
    <col min="7437" max="7437" width="12.6640625" customWidth="1"/>
    <col min="7438" max="7439" width="0" hidden="1" customWidth="1"/>
    <col min="7440" max="7440" width="15.44140625" customWidth="1"/>
    <col min="7442" max="7442" width="20.88671875" customWidth="1"/>
    <col min="7681" max="7681" width="44.6640625" customWidth="1"/>
    <col min="7682" max="7682" width="14" customWidth="1"/>
    <col min="7683" max="7683" width="13.88671875" customWidth="1"/>
    <col min="7684" max="7684" width="15.44140625" customWidth="1"/>
    <col min="7685" max="7685" width="15.5546875" customWidth="1"/>
    <col min="7686" max="7686" width="11" customWidth="1"/>
    <col min="7687" max="7687" width="10.44140625" customWidth="1"/>
    <col min="7688" max="7688" width="10.88671875" customWidth="1"/>
    <col min="7689" max="7689" width="12.5546875" customWidth="1"/>
    <col min="7690" max="7690" width="11.5546875" customWidth="1"/>
    <col min="7691" max="7691" width="13.109375" customWidth="1"/>
    <col min="7692" max="7692" width="11.5546875" customWidth="1"/>
    <col min="7693" max="7693" width="12.6640625" customWidth="1"/>
    <col min="7694" max="7695" width="0" hidden="1" customWidth="1"/>
    <col min="7696" max="7696" width="15.44140625" customWidth="1"/>
    <col min="7698" max="7698" width="20.88671875" customWidth="1"/>
    <col min="7937" max="7937" width="44.6640625" customWidth="1"/>
    <col min="7938" max="7938" width="14" customWidth="1"/>
    <col min="7939" max="7939" width="13.88671875" customWidth="1"/>
    <col min="7940" max="7940" width="15.44140625" customWidth="1"/>
    <col min="7941" max="7941" width="15.5546875" customWidth="1"/>
    <col min="7942" max="7942" width="11" customWidth="1"/>
    <col min="7943" max="7943" width="10.44140625" customWidth="1"/>
    <col min="7944" max="7944" width="10.88671875" customWidth="1"/>
    <col min="7945" max="7945" width="12.5546875" customWidth="1"/>
    <col min="7946" max="7946" width="11.5546875" customWidth="1"/>
    <col min="7947" max="7947" width="13.109375" customWidth="1"/>
    <col min="7948" max="7948" width="11.5546875" customWidth="1"/>
    <col min="7949" max="7949" width="12.6640625" customWidth="1"/>
    <col min="7950" max="7951" width="0" hidden="1" customWidth="1"/>
    <col min="7952" max="7952" width="15.44140625" customWidth="1"/>
    <col min="7954" max="7954" width="20.88671875" customWidth="1"/>
    <col min="8193" max="8193" width="44.6640625" customWidth="1"/>
    <col min="8194" max="8194" width="14" customWidth="1"/>
    <col min="8195" max="8195" width="13.88671875" customWidth="1"/>
    <col min="8196" max="8196" width="15.44140625" customWidth="1"/>
    <col min="8197" max="8197" width="15.5546875" customWidth="1"/>
    <col min="8198" max="8198" width="11" customWidth="1"/>
    <col min="8199" max="8199" width="10.44140625" customWidth="1"/>
    <col min="8200" max="8200" width="10.88671875" customWidth="1"/>
    <col min="8201" max="8201" width="12.5546875" customWidth="1"/>
    <col min="8202" max="8202" width="11.5546875" customWidth="1"/>
    <col min="8203" max="8203" width="13.109375" customWidth="1"/>
    <col min="8204" max="8204" width="11.5546875" customWidth="1"/>
    <col min="8205" max="8205" width="12.6640625" customWidth="1"/>
    <col min="8206" max="8207" width="0" hidden="1" customWidth="1"/>
    <col min="8208" max="8208" width="15.44140625" customWidth="1"/>
    <col min="8210" max="8210" width="20.88671875" customWidth="1"/>
    <col min="8449" max="8449" width="44.6640625" customWidth="1"/>
    <col min="8450" max="8450" width="14" customWidth="1"/>
    <col min="8451" max="8451" width="13.88671875" customWidth="1"/>
    <col min="8452" max="8452" width="15.44140625" customWidth="1"/>
    <col min="8453" max="8453" width="15.5546875" customWidth="1"/>
    <col min="8454" max="8454" width="11" customWidth="1"/>
    <col min="8455" max="8455" width="10.44140625" customWidth="1"/>
    <col min="8456" max="8456" width="10.88671875" customWidth="1"/>
    <col min="8457" max="8457" width="12.5546875" customWidth="1"/>
    <col min="8458" max="8458" width="11.5546875" customWidth="1"/>
    <col min="8459" max="8459" width="13.109375" customWidth="1"/>
    <col min="8460" max="8460" width="11.5546875" customWidth="1"/>
    <col min="8461" max="8461" width="12.6640625" customWidth="1"/>
    <col min="8462" max="8463" width="0" hidden="1" customWidth="1"/>
    <col min="8464" max="8464" width="15.44140625" customWidth="1"/>
    <col min="8466" max="8466" width="20.88671875" customWidth="1"/>
    <col min="8705" max="8705" width="44.6640625" customWidth="1"/>
    <col min="8706" max="8706" width="14" customWidth="1"/>
    <col min="8707" max="8707" width="13.88671875" customWidth="1"/>
    <col min="8708" max="8708" width="15.44140625" customWidth="1"/>
    <col min="8709" max="8709" width="15.5546875" customWidth="1"/>
    <col min="8710" max="8710" width="11" customWidth="1"/>
    <col min="8711" max="8711" width="10.44140625" customWidth="1"/>
    <col min="8712" max="8712" width="10.88671875" customWidth="1"/>
    <col min="8713" max="8713" width="12.5546875" customWidth="1"/>
    <col min="8714" max="8714" width="11.5546875" customWidth="1"/>
    <col min="8715" max="8715" width="13.109375" customWidth="1"/>
    <col min="8716" max="8716" width="11.5546875" customWidth="1"/>
    <col min="8717" max="8717" width="12.6640625" customWidth="1"/>
    <col min="8718" max="8719" width="0" hidden="1" customWidth="1"/>
    <col min="8720" max="8720" width="15.44140625" customWidth="1"/>
    <col min="8722" max="8722" width="20.88671875" customWidth="1"/>
    <col min="8961" max="8961" width="44.6640625" customWidth="1"/>
    <col min="8962" max="8962" width="14" customWidth="1"/>
    <col min="8963" max="8963" width="13.88671875" customWidth="1"/>
    <col min="8964" max="8964" width="15.44140625" customWidth="1"/>
    <col min="8965" max="8965" width="15.5546875" customWidth="1"/>
    <col min="8966" max="8966" width="11" customWidth="1"/>
    <col min="8967" max="8967" width="10.44140625" customWidth="1"/>
    <col min="8968" max="8968" width="10.88671875" customWidth="1"/>
    <col min="8969" max="8969" width="12.5546875" customWidth="1"/>
    <col min="8970" max="8970" width="11.5546875" customWidth="1"/>
    <col min="8971" max="8971" width="13.109375" customWidth="1"/>
    <col min="8972" max="8972" width="11.5546875" customWidth="1"/>
    <col min="8973" max="8973" width="12.6640625" customWidth="1"/>
    <col min="8974" max="8975" width="0" hidden="1" customWidth="1"/>
    <col min="8976" max="8976" width="15.44140625" customWidth="1"/>
    <col min="8978" max="8978" width="20.88671875" customWidth="1"/>
    <col min="9217" max="9217" width="44.6640625" customWidth="1"/>
    <col min="9218" max="9218" width="14" customWidth="1"/>
    <col min="9219" max="9219" width="13.88671875" customWidth="1"/>
    <col min="9220" max="9220" width="15.44140625" customWidth="1"/>
    <col min="9221" max="9221" width="15.5546875" customWidth="1"/>
    <col min="9222" max="9222" width="11" customWidth="1"/>
    <col min="9223" max="9223" width="10.44140625" customWidth="1"/>
    <col min="9224" max="9224" width="10.88671875" customWidth="1"/>
    <col min="9225" max="9225" width="12.5546875" customWidth="1"/>
    <col min="9226" max="9226" width="11.5546875" customWidth="1"/>
    <col min="9227" max="9227" width="13.109375" customWidth="1"/>
    <col min="9228" max="9228" width="11.5546875" customWidth="1"/>
    <col min="9229" max="9229" width="12.6640625" customWidth="1"/>
    <col min="9230" max="9231" width="0" hidden="1" customWidth="1"/>
    <col min="9232" max="9232" width="15.44140625" customWidth="1"/>
    <col min="9234" max="9234" width="20.88671875" customWidth="1"/>
    <col min="9473" max="9473" width="44.6640625" customWidth="1"/>
    <col min="9474" max="9474" width="14" customWidth="1"/>
    <col min="9475" max="9475" width="13.88671875" customWidth="1"/>
    <col min="9476" max="9476" width="15.44140625" customWidth="1"/>
    <col min="9477" max="9477" width="15.5546875" customWidth="1"/>
    <col min="9478" max="9478" width="11" customWidth="1"/>
    <col min="9479" max="9479" width="10.44140625" customWidth="1"/>
    <col min="9480" max="9480" width="10.88671875" customWidth="1"/>
    <col min="9481" max="9481" width="12.5546875" customWidth="1"/>
    <col min="9482" max="9482" width="11.5546875" customWidth="1"/>
    <col min="9483" max="9483" width="13.109375" customWidth="1"/>
    <col min="9484" max="9484" width="11.5546875" customWidth="1"/>
    <col min="9485" max="9485" width="12.6640625" customWidth="1"/>
    <col min="9486" max="9487" width="0" hidden="1" customWidth="1"/>
    <col min="9488" max="9488" width="15.44140625" customWidth="1"/>
    <col min="9490" max="9490" width="20.88671875" customWidth="1"/>
    <col min="9729" max="9729" width="44.6640625" customWidth="1"/>
    <col min="9730" max="9730" width="14" customWidth="1"/>
    <col min="9731" max="9731" width="13.88671875" customWidth="1"/>
    <col min="9732" max="9732" width="15.44140625" customWidth="1"/>
    <col min="9733" max="9733" width="15.5546875" customWidth="1"/>
    <col min="9734" max="9734" width="11" customWidth="1"/>
    <col min="9735" max="9735" width="10.44140625" customWidth="1"/>
    <col min="9736" max="9736" width="10.88671875" customWidth="1"/>
    <col min="9737" max="9737" width="12.5546875" customWidth="1"/>
    <col min="9738" max="9738" width="11.5546875" customWidth="1"/>
    <col min="9739" max="9739" width="13.109375" customWidth="1"/>
    <col min="9740" max="9740" width="11.5546875" customWidth="1"/>
    <col min="9741" max="9741" width="12.6640625" customWidth="1"/>
    <col min="9742" max="9743" width="0" hidden="1" customWidth="1"/>
    <col min="9744" max="9744" width="15.44140625" customWidth="1"/>
    <col min="9746" max="9746" width="20.88671875" customWidth="1"/>
    <col min="9985" max="9985" width="44.6640625" customWidth="1"/>
    <col min="9986" max="9986" width="14" customWidth="1"/>
    <col min="9987" max="9987" width="13.88671875" customWidth="1"/>
    <col min="9988" max="9988" width="15.44140625" customWidth="1"/>
    <col min="9989" max="9989" width="15.5546875" customWidth="1"/>
    <col min="9990" max="9990" width="11" customWidth="1"/>
    <col min="9991" max="9991" width="10.44140625" customWidth="1"/>
    <col min="9992" max="9992" width="10.88671875" customWidth="1"/>
    <col min="9993" max="9993" width="12.5546875" customWidth="1"/>
    <col min="9994" max="9994" width="11.5546875" customWidth="1"/>
    <col min="9995" max="9995" width="13.109375" customWidth="1"/>
    <col min="9996" max="9996" width="11.5546875" customWidth="1"/>
    <col min="9997" max="9997" width="12.6640625" customWidth="1"/>
    <col min="9998" max="9999" width="0" hidden="1" customWidth="1"/>
    <col min="10000" max="10000" width="15.44140625" customWidth="1"/>
    <col min="10002" max="10002" width="20.88671875" customWidth="1"/>
    <col min="10241" max="10241" width="44.6640625" customWidth="1"/>
    <col min="10242" max="10242" width="14" customWidth="1"/>
    <col min="10243" max="10243" width="13.88671875" customWidth="1"/>
    <col min="10244" max="10244" width="15.44140625" customWidth="1"/>
    <col min="10245" max="10245" width="15.5546875" customWidth="1"/>
    <col min="10246" max="10246" width="11" customWidth="1"/>
    <col min="10247" max="10247" width="10.44140625" customWidth="1"/>
    <col min="10248" max="10248" width="10.88671875" customWidth="1"/>
    <col min="10249" max="10249" width="12.5546875" customWidth="1"/>
    <col min="10250" max="10250" width="11.5546875" customWidth="1"/>
    <col min="10251" max="10251" width="13.109375" customWidth="1"/>
    <col min="10252" max="10252" width="11.5546875" customWidth="1"/>
    <col min="10253" max="10253" width="12.6640625" customWidth="1"/>
    <col min="10254" max="10255" width="0" hidden="1" customWidth="1"/>
    <col min="10256" max="10256" width="15.44140625" customWidth="1"/>
    <col min="10258" max="10258" width="20.88671875" customWidth="1"/>
    <col min="10497" max="10497" width="44.6640625" customWidth="1"/>
    <col min="10498" max="10498" width="14" customWidth="1"/>
    <col min="10499" max="10499" width="13.88671875" customWidth="1"/>
    <col min="10500" max="10500" width="15.44140625" customWidth="1"/>
    <col min="10501" max="10501" width="15.5546875" customWidth="1"/>
    <col min="10502" max="10502" width="11" customWidth="1"/>
    <col min="10503" max="10503" width="10.44140625" customWidth="1"/>
    <col min="10504" max="10504" width="10.88671875" customWidth="1"/>
    <col min="10505" max="10505" width="12.5546875" customWidth="1"/>
    <col min="10506" max="10506" width="11.5546875" customWidth="1"/>
    <col min="10507" max="10507" width="13.109375" customWidth="1"/>
    <col min="10508" max="10508" width="11.5546875" customWidth="1"/>
    <col min="10509" max="10509" width="12.6640625" customWidth="1"/>
    <col min="10510" max="10511" width="0" hidden="1" customWidth="1"/>
    <col min="10512" max="10512" width="15.44140625" customWidth="1"/>
    <col min="10514" max="10514" width="20.88671875" customWidth="1"/>
    <col min="10753" max="10753" width="44.6640625" customWidth="1"/>
    <col min="10754" max="10754" width="14" customWidth="1"/>
    <col min="10755" max="10755" width="13.88671875" customWidth="1"/>
    <col min="10756" max="10756" width="15.44140625" customWidth="1"/>
    <col min="10757" max="10757" width="15.5546875" customWidth="1"/>
    <col min="10758" max="10758" width="11" customWidth="1"/>
    <col min="10759" max="10759" width="10.44140625" customWidth="1"/>
    <col min="10760" max="10760" width="10.88671875" customWidth="1"/>
    <col min="10761" max="10761" width="12.5546875" customWidth="1"/>
    <col min="10762" max="10762" width="11.5546875" customWidth="1"/>
    <col min="10763" max="10763" width="13.109375" customWidth="1"/>
    <col min="10764" max="10764" width="11.5546875" customWidth="1"/>
    <col min="10765" max="10765" width="12.6640625" customWidth="1"/>
    <col min="10766" max="10767" width="0" hidden="1" customWidth="1"/>
    <col min="10768" max="10768" width="15.44140625" customWidth="1"/>
    <col min="10770" max="10770" width="20.88671875" customWidth="1"/>
    <col min="11009" max="11009" width="44.6640625" customWidth="1"/>
    <col min="11010" max="11010" width="14" customWidth="1"/>
    <col min="11011" max="11011" width="13.88671875" customWidth="1"/>
    <col min="11012" max="11012" width="15.44140625" customWidth="1"/>
    <col min="11013" max="11013" width="15.5546875" customWidth="1"/>
    <col min="11014" max="11014" width="11" customWidth="1"/>
    <col min="11015" max="11015" width="10.44140625" customWidth="1"/>
    <col min="11016" max="11016" width="10.88671875" customWidth="1"/>
    <col min="11017" max="11017" width="12.5546875" customWidth="1"/>
    <col min="11018" max="11018" width="11.5546875" customWidth="1"/>
    <col min="11019" max="11019" width="13.109375" customWidth="1"/>
    <col min="11020" max="11020" width="11.5546875" customWidth="1"/>
    <col min="11021" max="11021" width="12.6640625" customWidth="1"/>
    <col min="11022" max="11023" width="0" hidden="1" customWidth="1"/>
    <col min="11024" max="11024" width="15.44140625" customWidth="1"/>
    <col min="11026" max="11026" width="20.88671875" customWidth="1"/>
    <col min="11265" max="11265" width="44.6640625" customWidth="1"/>
    <col min="11266" max="11266" width="14" customWidth="1"/>
    <col min="11267" max="11267" width="13.88671875" customWidth="1"/>
    <col min="11268" max="11268" width="15.44140625" customWidth="1"/>
    <col min="11269" max="11269" width="15.5546875" customWidth="1"/>
    <col min="11270" max="11270" width="11" customWidth="1"/>
    <col min="11271" max="11271" width="10.44140625" customWidth="1"/>
    <col min="11272" max="11272" width="10.88671875" customWidth="1"/>
    <col min="11273" max="11273" width="12.5546875" customWidth="1"/>
    <col min="11274" max="11274" width="11.5546875" customWidth="1"/>
    <col min="11275" max="11275" width="13.109375" customWidth="1"/>
    <col min="11276" max="11276" width="11.5546875" customWidth="1"/>
    <col min="11277" max="11277" width="12.6640625" customWidth="1"/>
    <col min="11278" max="11279" width="0" hidden="1" customWidth="1"/>
    <col min="11280" max="11280" width="15.44140625" customWidth="1"/>
    <col min="11282" max="11282" width="20.88671875" customWidth="1"/>
    <col min="11521" max="11521" width="44.6640625" customWidth="1"/>
    <col min="11522" max="11522" width="14" customWidth="1"/>
    <col min="11523" max="11523" width="13.88671875" customWidth="1"/>
    <col min="11524" max="11524" width="15.44140625" customWidth="1"/>
    <col min="11525" max="11525" width="15.5546875" customWidth="1"/>
    <col min="11526" max="11526" width="11" customWidth="1"/>
    <col min="11527" max="11527" width="10.44140625" customWidth="1"/>
    <col min="11528" max="11528" width="10.88671875" customWidth="1"/>
    <col min="11529" max="11529" width="12.5546875" customWidth="1"/>
    <col min="11530" max="11530" width="11.5546875" customWidth="1"/>
    <col min="11531" max="11531" width="13.109375" customWidth="1"/>
    <col min="11532" max="11532" width="11.5546875" customWidth="1"/>
    <col min="11533" max="11533" width="12.6640625" customWidth="1"/>
    <col min="11534" max="11535" width="0" hidden="1" customWidth="1"/>
    <col min="11536" max="11536" width="15.44140625" customWidth="1"/>
    <col min="11538" max="11538" width="20.88671875" customWidth="1"/>
    <col min="11777" max="11777" width="44.6640625" customWidth="1"/>
    <col min="11778" max="11778" width="14" customWidth="1"/>
    <col min="11779" max="11779" width="13.88671875" customWidth="1"/>
    <col min="11780" max="11780" width="15.44140625" customWidth="1"/>
    <col min="11781" max="11781" width="15.5546875" customWidth="1"/>
    <col min="11782" max="11782" width="11" customWidth="1"/>
    <col min="11783" max="11783" width="10.44140625" customWidth="1"/>
    <col min="11784" max="11784" width="10.88671875" customWidth="1"/>
    <col min="11785" max="11785" width="12.5546875" customWidth="1"/>
    <col min="11786" max="11786" width="11.5546875" customWidth="1"/>
    <col min="11787" max="11787" width="13.109375" customWidth="1"/>
    <col min="11788" max="11788" width="11.5546875" customWidth="1"/>
    <col min="11789" max="11789" width="12.6640625" customWidth="1"/>
    <col min="11790" max="11791" width="0" hidden="1" customWidth="1"/>
    <col min="11792" max="11792" width="15.44140625" customWidth="1"/>
    <col min="11794" max="11794" width="20.88671875" customWidth="1"/>
    <col min="12033" max="12033" width="44.6640625" customWidth="1"/>
    <col min="12034" max="12034" width="14" customWidth="1"/>
    <col min="12035" max="12035" width="13.88671875" customWidth="1"/>
    <col min="12036" max="12036" width="15.44140625" customWidth="1"/>
    <col min="12037" max="12037" width="15.5546875" customWidth="1"/>
    <col min="12038" max="12038" width="11" customWidth="1"/>
    <col min="12039" max="12039" width="10.44140625" customWidth="1"/>
    <col min="12040" max="12040" width="10.88671875" customWidth="1"/>
    <col min="12041" max="12041" width="12.5546875" customWidth="1"/>
    <col min="12042" max="12042" width="11.5546875" customWidth="1"/>
    <col min="12043" max="12043" width="13.109375" customWidth="1"/>
    <col min="12044" max="12044" width="11.5546875" customWidth="1"/>
    <col min="12045" max="12045" width="12.6640625" customWidth="1"/>
    <col min="12046" max="12047" width="0" hidden="1" customWidth="1"/>
    <col min="12048" max="12048" width="15.44140625" customWidth="1"/>
    <col min="12050" max="12050" width="20.88671875" customWidth="1"/>
    <col min="12289" max="12289" width="44.6640625" customWidth="1"/>
    <col min="12290" max="12290" width="14" customWidth="1"/>
    <col min="12291" max="12291" width="13.88671875" customWidth="1"/>
    <col min="12292" max="12292" width="15.44140625" customWidth="1"/>
    <col min="12293" max="12293" width="15.5546875" customWidth="1"/>
    <col min="12294" max="12294" width="11" customWidth="1"/>
    <col min="12295" max="12295" width="10.44140625" customWidth="1"/>
    <col min="12296" max="12296" width="10.88671875" customWidth="1"/>
    <col min="12297" max="12297" width="12.5546875" customWidth="1"/>
    <col min="12298" max="12298" width="11.5546875" customWidth="1"/>
    <col min="12299" max="12299" width="13.109375" customWidth="1"/>
    <col min="12300" max="12300" width="11.5546875" customWidth="1"/>
    <col min="12301" max="12301" width="12.6640625" customWidth="1"/>
    <col min="12302" max="12303" width="0" hidden="1" customWidth="1"/>
    <col min="12304" max="12304" width="15.44140625" customWidth="1"/>
    <col min="12306" max="12306" width="20.88671875" customWidth="1"/>
    <col min="12545" max="12545" width="44.6640625" customWidth="1"/>
    <col min="12546" max="12546" width="14" customWidth="1"/>
    <col min="12547" max="12547" width="13.88671875" customWidth="1"/>
    <col min="12548" max="12548" width="15.44140625" customWidth="1"/>
    <col min="12549" max="12549" width="15.5546875" customWidth="1"/>
    <col min="12550" max="12550" width="11" customWidth="1"/>
    <col min="12551" max="12551" width="10.44140625" customWidth="1"/>
    <col min="12552" max="12552" width="10.88671875" customWidth="1"/>
    <col min="12553" max="12553" width="12.5546875" customWidth="1"/>
    <col min="12554" max="12554" width="11.5546875" customWidth="1"/>
    <col min="12555" max="12555" width="13.109375" customWidth="1"/>
    <col min="12556" max="12556" width="11.5546875" customWidth="1"/>
    <col min="12557" max="12557" width="12.6640625" customWidth="1"/>
    <col min="12558" max="12559" width="0" hidden="1" customWidth="1"/>
    <col min="12560" max="12560" width="15.44140625" customWidth="1"/>
    <col min="12562" max="12562" width="20.88671875" customWidth="1"/>
    <col min="12801" max="12801" width="44.6640625" customWidth="1"/>
    <col min="12802" max="12802" width="14" customWidth="1"/>
    <col min="12803" max="12803" width="13.88671875" customWidth="1"/>
    <col min="12804" max="12804" width="15.44140625" customWidth="1"/>
    <col min="12805" max="12805" width="15.5546875" customWidth="1"/>
    <col min="12806" max="12806" width="11" customWidth="1"/>
    <col min="12807" max="12807" width="10.44140625" customWidth="1"/>
    <col min="12808" max="12808" width="10.88671875" customWidth="1"/>
    <col min="12809" max="12809" width="12.5546875" customWidth="1"/>
    <col min="12810" max="12810" width="11.5546875" customWidth="1"/>
    <col min="12811" max="12811" width="13.109375" customWidth="1"/>
    <col min="12812" max="12812" width="11.5546875" customWidth="1"/>
    <col min="12813" max="12813" width="12.6640625" customWidth="1"/>
    <col min="12814" max="12815" width="0" hidden="1" customWidth="1"/>
    <col min="12816" max="12816" width="15.44140625" customWidth="1"/>
    <col min="12818" max="12818" width="20.88671875" customWidth="1"/>
    <col min="13057" max="13057" width="44.6640625" customWidth="1"/>
    <col min="13058" max="13058" width="14" customWidth="1"/>
    <col min="13059" max="13059" width="13.88671875" customWidth="1"/>
    <col min="13060" max="13060" width="15.44140625" customWidth="1"/>
    <col min="13061" max="13061" width="15.5546875" customWidth="1"/>
    <col min="13062" max="13062" width="11" customWidth="1"/>
    <col min="13063" max="13063" width="10.44140625" customWidth="1"/>
    <col min="13064" max="13064" width="10.88671875" customWidth="1"/>
    <col min="13065" max="13065" width="12.5546875" customWidth="1"/>
    <col min="13066" max="13066" width="11.5546875" customWidth="1"/>
    <col min="13067" max="13067" width="13.109375" customWidth="1"/>
    <col min="13068" max="13068" width="11.5546875" customWidth="1"/>
    <col min="13069" max="13069" width="12.6640625" customWidth="1"/>
    <col min="13070" max="13071" width="0" hidden="1" customWidth="1"/>
    <col min="13072" max="13072" width="15.44140625" customWidth="1"/>
    <col min="13074" max="13074" width="20.88671875" customWidth="1"/>
    <col min="13313" max="13313" width="44.6640625" customWidth="1"/>
    <col min="13314" max="13314" width="14" customWidth="1"/>
    <col min="13315" max="13315" width="13.88671875" customWidth="1"/>
    <col min="13316" max="13316" width="15.44140625" customWidth="1"/>
    <col min="13317" max="13317" width="15.5546875" customWidth="1"/>
    <col min="13318" max="13318" width="11" customWidth="1"/>
    <col min="13319" max="13319" width="10.44140625" customWidth="1"/>
    <col min="13320" max="13320" width="10.88671875" customWidth="1"/>
    <col min="13321" max="13321" width="12.5546875" customWidth="1"/>
    <col min="13322" max="13322" width="11.5546875" customWidth="1"/>
    <col min="13323" max="13323" width="13.109375" customWidth="1"/>
    <col min="13324" max="13324" width="11.5546875" customWidth="1"/>
    <col min="13325" max="13325" width="12.6640625" customWidth="1"/>
    <col min="13326" max="13327" width="0" hidden="1" customWidth="1"/>
    <col min="13328" max="13328" width="15.44140625" customWidth="1"/>
    <col min="13330" max="13330" width="20.88671875" customWidth="1"/>
    <col min="13569" max="13569" width="44.6640625" customWidth="1"/>
    <col min="13570" max="13570" width="14" customWidth="1"/>
    <col min="13571" max="13571" width="13.88671875" customWidth="1"/>
    <col min="13572" max="13572" width="15.44140625" customWidth="1"/>
    <col min="13573" max="13573" width="15.5546875" customWidth="1"/>
    <col min="13574" max="13574" width="11" customWidth="1"/>
    <col min="13575" max="13575" width="10.44140625" customWidth="1"/>
    <col min="13576" max="13576" width="10.88671875" customWidth="1"/>
    <col min="13577" max="13577" width="12.5546875" customWidth="1"/>
    <col min="13578" max="13578" width="11.5546875" customWidth="1"/>
    <col min="13579" max="13579" width="13.109375" customWidth="1"/>
    <col min="13580" max="13580" width="11.5546875" customWidth="1"/>
    <col min="13581" max="13581" width="12.6640625" customWidth="1"/>
    <col min="13582" max="13583" width="0" hidden="1" customWidth="1"/>
    <col min="13584" max="13584" width="15.44140625" customWidth="1"/>
    <col min="13586" max="13586" width="20.88671875" customWidth="1"/>
    <col min="13825" max="13825" width="44.6640625" customWidth="1"/>
    <col min="13826" max="13826" width="14" customWidth="1"/>
    <col min="13827" max="13827" width="13.88671875" customWidth="1"/>
    <col min="13828" max="13828" width="15.44140625" customWidth="1"/>
    <col min="13829" max="13829" width="15.5546875" customWidth="1"/>
    <col min="13830" max="13830" width="11" customWidth="1"/>
    <col min="13831" max="13831" width="10.44140625" customWidth="1"/>
    <col min="13832" max="13832" width="10.88671875" customWidth="1"/>
    <col min="13833" max="13833" width="12.5546875" customWidth="1"/>
    <col min="13834" max="13834" width="11.5546875" customWidth="1"/>
    <col min="13835" max="13835" width="13.109375" customWidth="1"/>
    <col min="13836" max="13836" width="11.5546875" customWidth="1"/>
    <col min="13837" max="13837" width="12.6640625" customWidth="1"/>
    <col min="13838" max="13839" width="0" hidden="1" customWidth="1"/>
    <col min="13840" max="13840" width="15.44140625" customWidth="1"/>
    <col min="13842" max="13842" width="20.88671875" customWidth="1"/>
    <col min="14081" max="14081" width="44.6640625" customWidth="1"/>
    <col min="14082" max="14082" width="14" customWidth="1"/>
    <col min="14083" max="14083" width="13.88671875" customWidth="1"/>
    <col min="14084" max="14084" width="15.44140625" customWidth="1"/>
    <col min="14085" max="14085" width="15.5546875" customWidth="1"/>
    <col min="14086" max="14086" width="11" customWidth="1"/>
    <col min="14087" max="14087" width="10.44140625" customWidth="1"/>
    <col min="14088" max="14088" width="10.88671875" customWidth="1"/>
    <col min="14089" max="14089" width="12.5546875" customWidth="1"/>
    <col min="14090" max="14090" width="11.5546875" customWidth="1"/>
    <col min="14091" max="14091" width="13.109375" customWidth="1"/>
    <col min="14092" max="14092" width="11.5546875" customWidth="1"/>
    <col min="14093" max="14093" width="12.6640625" customWidth="1"/>
    <col min="14094" max="14095" width="0" hidden="1" customWidth="1"/>
    <col min="14096" max="14096" width="15.44140625" customWidth="1"/>
    <col min="14098" max="14098" width="20.88671875" customWidth="1"/>
    <col min="14337" max="14337" width="44.6640625" customWidth="1"/>
    <col min="14338" max="14338" width="14" customWidth="1"/>
    <col min="14339" max="14339" width="13.88671875" customWidth="1"/>
    <col min="14340" max="14340" width="15.44140625" customWidth="1"/>
    <col min="14341" max="14341" width="15.5546875" customWidth="1"/>
    <col min="14342" max="14342" width="11" customWidth="1"/>
    <col min="14343" max="14343" width="10.44140625" customWidth="1"/>
    <col min="14344" max="14344" width="10.88671875" customWidth="1"/>
    <col min="14345" max="14345" width="12.5546875" customWidth="1"/>
    <col min="14346" max="14346" width="11.5546875" customWidth="1"/>
    <col min="14347" max="14347" width="13.109375" customWidth="1"/>
    <col min="14348" max="14348" width="11.5546875" customWidth="1"/>
    <col min="14349" max="14349" width="12.6640625" customWidth="1"/>
    <col min="14350" max="14351" width="0" hidden="1" customWidth="1"/>
    <col min="14352" max="14352" width="15.44140625" customWidth="1"/>
    <col min="14354" max="14354" width="20.88671875" customWidth="1"/>
    <col min="14593" max="14593" width="44.6640625" customWidth="1"/>
    <col min="14594" max="14594" width="14" customWidth="1"/>
    <col min="14595" max="14595" width="13.88671875" customWidth="1"/>
    <col min="14596" max="14596" width="15.44140625" customWidth="1"/>
    <col min="14597" max="14597" width="15.5546875" customWidth="1"/>
    <col min="14598" max="14598" width="11" customWidth="1"/>
    <col min="14599" max="14599" width="10.44140625" customWidth="1"/>
    <col min="14600" max="14600" width="10.88671875" customWidth="1"/>
    <col min="14601" max="14601" width="12.5546875" customWidth="1"/>
    <col min="14602" max="14602" width="11.5546875" customWidth="1"/>
    <col min="14603" max="14603" width="13.109375" customWidth="1"/>
    <col min="14604" max="14604" width="11.5546875" customWidth="1"/>
    <col min="14605" max="14605" width="12.6640625" customWidth="1"/>
    <col min="14606" max="14607" width="0" hidden="1" customWidth="1"/>
    <col min="14608" max="14608" width="15.44140625" customWidth="1"/>
    <col min="14610" max="14610" width="20.88671875" customWidth="1"/>
    <col min="14849" max="14849" width="44.6640625" customWidth="1"/>
    <col min="14850" max="14850" width="14" customWidth="1"/>
    <col min="14851" max="14851" width="13.88671875" customWidth="1"/>
    <col min="14852" max="14852" width="15.44140625" customWidth="1"/>
    <col min="14853" max="14853" width="15.5546875" customWidth="1"/>
    <col min="14854" max="14854" width="11" customWidth="1"/>
    <col min="14855" max="14855" width="10.44140625" customWidth="1"/>
    <col min="14856" max="14856" width="10.88671875" customWidth="1"/>
    <col min="14857" max="14857" width="12.5546875" customWidth="1"/>
    <col min="14858" max="14858" width="11.5546875" customWidth="1"/>
    <col min="14859" max="14859" width="13.109375" customWidth="1"/>
    <col min="14860" max="14860" width="11.5546875" customWidth="1"/>
    <col min="14861" max="14861" width="12.6640625" customWidth="1"/>
    <col min="14862" max="14863" width="0" hidden="1" customWidth="1"/>
    <col min="14864" max="14864" width="15.44140625" customWidth="1"/>
    <col min="14866" max="14866" width="20.88671875" customWidth="1"/>
    <col min="15105" max="15105" width="44.6640625" customWidth="1"/>
    <col min="15106" max="15106" width="14" customWidth="1"/>
    <col min="15107" max="15107" width="13.88671875" customWidth="1"/>
    <col min="15108" max="15108" width="15.44140625" customWidth="1"/>
    <col min="15109" max="15109" width="15.5546875" customWidth="1"/>
    <col min="15110" max="15110" width="11" customWidth="1"/>
    <col min="15111" max="15111" width="10.44140625" customWidth="1"/>
    <col min="15112" max="15112" width="10.88671875" customWidth="1"/>
    <col min="15113" max="15113" width="12.5546875" customWidth="1"/>
    <col min="15114" max="15114" width="11.5546875" customWidth="1"/>
    <col min="15115" max="15115" width="13.109375" customWidth="1"/>
    <col min="15116" max="15116" width="11.5546875" customWidth="1"/>
    <col min="15117" max="15117" width="12.6640625" customWidth="1"/>
    <col min="15118" max="15119" width="0" hidden="1" customWidth="1"/>
    <col min="15120" max="15120" width="15.44140625" customWidth="1"/>
    <col min="15122" max="15122" width="20.88671875" customWidth="1"/>
    <col min="15361" max="15361" width="44.6640625" customWidth="1"/>
    <col min="15362" max="15362" width="14" customWidth="1"/>
    <col min="15363" max="15363" width="13.88671875" customWidth="1"/>
    <col min="15364" max="15364" width="15.44140625" customWidth="1"/>
    <col min="15365" max="15365" width="15.5546875" customWidth="1"/>
    <col min="15366" max="15366" width="11" customWidth="1"/>
    <col min="15367" max="15367" width="10.44140625" customWidth="1"/>
    <col min="15368" max="15368" width="10.88671875" customWidth="1"/>
    <col min="15369" max="15369" width="12.5546875" customWidth="1"/>
    <col min="15370" max="15370" width="11.5546875" customWidth="1"/>
    <col min="15371" max="15371" width="13.109375" customWidth="1"/>
    <col min="15372" max="15372" width="11.5546875" customWidth="1"/>
    <col min="15373" max="15373" width="12.6640625" customWidth="1"/>
    <col min="15374" max="15375" width="0" hidden="1" customWidth="1"/>
    <col min="15376" max="15376" width="15.44140625" customWidth="1"/>
    <col min="15378" max="15378" width="20.88671875" customWidth="1"/>
    <col min="15617" max="15617" width="44.6640625" customWidth="1"/>
    <col min="15618" max="15618" width="14" customWidth="1"/>
    <col min="15619" max="15619" width="13.88671875" customWidth="1"/>
    <col min="15620" max="15620" width="15.44140625" customWidth="1"/>
    <col min="15621" max="15621" width="15.5546875" customWidth="1"/>
    <col min="15622" max="15622" width="11" customWidth="1"/>
    <col min="15623" max="15623" width="10.44140625" customWidth="1"/>
    <col min="15624" max="15624" width="10.88671875" customWidth="1"/>
    <col min="15625" max="15625" width="12.5546875" customWidth="1"/>
    <col min="15626" max="15626" width="11.5546875" customWidth="1"/>
    <col min="15627" max="15627" width="13.109375" customWidth="1"/>
    <col min="15628" max="15628" width="11.5546875" customWidth="1"/>
    <col min="15629" max="15629" width="12.6640625" customWidth="1"/>
    <col min="15630" max="15631" width="0" hidden="1" customWidth="1"/>
    <col min="15632" max="15632" width="15.44140625" customWidth="1"/>
    <col min="15634" max="15634" width="20.88671875" customWidth="1"/>
    <col min="15873" max="15873" width="44.6640625" customWidth="1"/>
    <col min="15874" max="15874" width="14" customWidth="1"/>
    <col min="15875" max="15875" width="13.88671875" customWidth="1"/>
    <col min="15876" max="15876" width="15.44140625" customWidth="1"/>
    <col min="15877" max="15877" width="15.5546875" customWidth="1"/>
    <col min="15878" max="15878" width="11" customWidth="1"/>
    <col min="15879" max="15879" width="10.44140625" customWidth="1"/>
    <col min="15880" max="15880" width="10.88671875" customWidth="1"/>
    <col min="15881" max="15881" width="12.5546875" customWidth="1"/>
    <col min="15882" max="15882" width="11.5546875" customWidth="1"/>
    <col min="15883" max="15883" width="13.109375" customWidth="1"/>
    <col min="15884" max="15884" width="11.5546875" customWidth="1"/>
    <col min="15885" max="15885" width="12.6640625" customWidth="1"/>
    <col min="15886" max="15887" width="0" hidden="1" customWidth="1"/>
    <col min="15888" max="15888" width="15.44140625" customWidth="1"/>
    <col min="15890" max="15890" width="20.88671875" customWidth="1"/>
    <col min="16129" max="16129" width="44.6640625" customWidth="1"/>
    <col min="16130" max="16130" width="14" customWidth="1"/>
    <col min="16131" max="16131" width="13.88671875" customWidth="1"/>
    <col min="16132" max="16132" width="15.44140625" customWidth="1"/>
    <col min="16133" max="16133" width="15.5546875" customWidth="1"/>
    <col min="16134" max="16134" width="11" customWidth="1"/>
    <col min="16135" max="16135" width="10.44140625" customWidth="1"/>
    <col min="16136" max="16136" width="10.88671875" customWidth="1"/>
    <col min="16137" max="16137" width="12.5546875" customWidth="1"/>
    <col min="16138" max="16138" width="11.5546875" customWidth="1"/>
    <col min="16139" max="16139" width="13.109375" customWidth="1"/>
    <col min="16140" max="16140" width="11.5546875" customWidth="1"/>
    <col min="16141" max="16141" width="12.6640625" customWidth="1"/>
    <col min="16142" max="16143" width="0" hidden="1" customWidth="1"/>
    <col min="16144" max="16144" width="15.44140625" customWidth="1"/>
    <col min="16146" max="16146" width="20.88671875" customWidth="1"/>
  </cols>
  <sheetData>
    <row r="1" spans="1:21" ht="17.399999999999999">
      <c r="A1" s="525" t="s">
        <v>766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21" ht="17.399999999999999">
      <c r="A2" s="525" t="s">
        <v>406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21" ht="17.399999999999999">
      <c r="A3" s="525" t="s">
        <v>750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</row>
    <row r="4" spans="1:21" ht="14.25" customHeight="1" thickBot="1">
      <c r="A4" s="72"/>
      <c r="B4" s="526" t="s">
        <v>759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7" t="s">
        <v>407</v>
      </c>
      <c r="N4" s="527"/>
    </row>
    <row r="5" spans="1:21" ht="15.6">
      <c r="A5" s="517" t="s">
        <v>751</v>
      </c>
      <c r="B5" s="519" t="s">
        <v>760</v>
      </c>
      <c r="C5" s="521" t="s">
        <v>761</v>
      </c>
      <c r="D5" s="521" t="s">
        <v>762</v>
      </c>
      <c r="E5" s="521"/>
      <c r="F5" s="521"/>
      <c r="G5" s="521"/>
      <c r="H5" s="523" t="s">
        <v>745</v>
      </c>
      <c r="I5" s="509" t="s">
        <v>763</v>
      </c>
      <c r="J5" s="509" t="s">
        <v>764</v>
      </c>
      <c r="K5" s="509"/>
      <c r="L5" s="509"/>
      <c r="M5" s="509"/>
      <c r="N5" s="511" t="s">
        <v>437</v>
      </c>
      <c r="O5" s="513" t="s">
        <v>438</v>
      </c>
    </row>
    <row r="6" spans="1:21" ht="56.25" customHeight="1">
      <c r="A6" s="518"/>
      <c r="B6" s="520"/>
      <c r="C6" s="522"/>
      <c r="D6" s="474" t="s">
        <v>765</v>
      </c>
      <c r="E6" s="351" t="s">
        <v>409</v>
      </c>
      <c r="F6" s="239" t="s">
        <v>588</v>
      </c>
      <c r="G6" s="474" t="s">
        <v>587</v>
      </c>
      <c r="H6" s="524"/>
      <c r="I6" s="510"/>
      <c r="J6" s="474" t="s">
        <v>408</v>
      </c>
      <c r="K6" s="351" t="s">
        <v>283</v>
      </c>
      <c r="L6" s="239" t="s">
        <v>609</v>
      </c>
      <c r="M6" s="474" t="s">
        <v>610</v>
      </c>
      <c r="N6" s="512"/>
      <c r="O6" s="514"/>
    </row>
    <row r="7" spans="1:21" ht="13.5" customHeight="1">
      <c r="A7" s="73" t="s">
        <v>410</v>
      </c>
      <c r="B7" s="75">
        <v>1</v>
      </c>
      <c r="C7" s="75">
        <v>2</v>
      </c>
      <c r="D7" s="74">
        <v>3</v>
      </c>
      <c r="E7" s="430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350">
        <v>7</v>
      </c>
      <c r="O7" s="74">
        <v>8</v>
      </c>
    </row>
    <row r="8" spans="1:21" ht="15.6">
      <c r="A8" s="277" t="s">
        <v>411</v>
      </c>
      <c r="B8" s="349">
        <f>SUM(B9+B11+B12+B16+B21)</f>
        <v>33013.612999999998</v>
      </c>
      <c r="C8" s="481">
        <f>SUM(C9+C11+C12+C16+C21)</f>
        <v>33345</v>
      </c>
      <c r="D8" s="431">
        <f t="shared" ref="D8:J8" si="0">SUM(D9+D11+D12+D16+D21)</f>
        <v>31871</v>
      </c>
      <c r="E8" s="349">
        <f t="shared" si="0"/>
        <v>30157.802020000003</v>
      </c>
      <c r="F8" s="278">
        <f t="shared" si="0"/>
        <v>-1713.1979799999986</v>
      </c>
      <c r="G8" s="426">
        <f t="shared" ref="G8:G31" si="1">E8/D8*100</f>
        <v>94.62458667754386</v>
      </c>
      <c r="H8" s="426">
        <f>E8/B8</f>
        <v>0.9134959575615067</v>
      </c>
      <c r="I8" s="278">
        <f t="shared" si="0"/>
        <v>5528.5989999999993</v>
      </c>
      <c r="J8" s="431">
        <f t="shared" si="0"/>
        <v>6384</v>
      </c>
      <c r="K8" s="349">
        <f>SUM(K9+K11+K12+K16+K21)</f>
        <v>3963.8000999999999</v>
      </c>
      <c r="L8" s="278">
        <f t="shared" ref="L8:L38" si="2">+K8-J8</f>
        <v>-2420.1999000000001</v>
      </c>
      <c r="M8" s="278">
        <f>SUM(K8/J8*100)</f>
        <v>62.089600563909777</v>
      </c>
      <c r="N8" s="279">
        <f>K8/O8</f>
        <v>1.5468488195121954</v>
      </c>
      <c r="O8" s="432">
        <f>SUM(O9+O11+O12+O16+O21)</f>
        <v>2562.4999999999995</v>
      </c>
      <c r="P8" s="433"/>
      <c r="Q8" s="449"/>
      <c r="R8" s="434"/>
      <c r="S8" s="449"/>
      <c r="T8" s="449"/>
      <c r="U8" s="449"/>
    </row>
    <row r="9" spans="1:21" ht="15.6">
      <c r="A9" s="78" t="s">
        <v>412</v>
      </c>
      <c r="B9" s="427">
        <f>SUM(B10)</f>
        <v>20347.133000000002</v>
      </c>
      <c r="C9" s="482">
        <f>+C10</f>
        <v>21185</v>
      </c>
      <c r="D9" s="435">
        <f>+D10</f>
        <v>20444</v>
      </c>
      <c r="E9" s="427">
        <f>SUM(E10)</f>
        <v>20682.751670000001</v>
      </c>
      <c r="F9" s="80">
        <f t="shared" ref="F9:F38" si="3">+E9-D9</f>
        <v>238.75167000000147</v>
      </c>
      <c r="G9" s="80">
        <f t="shared" si="1"/>
        <v>101.16783246918413</v>
      </c>
      <c r="H9" s="80">
        <f t="shared" ref="H9:H38" si="4">E9/B9</f>
        <v>1.0164946417758216</v>
      </c>
      <c r="I9" s="80">
        <f>SUM(I10)</f>
        <v>3614.433</v>
      </c>
      <c r="J9" s="436">
        <f>+J10</f>
        <v>3268</v>
      </c>
      <c r="K9" s="427">
        <f>SUM(K10)</f>
        <v>3220.0473299999999</v>
      </c>
      <c r="L9" s="80">
        <f t="shared" si="2"/>
        <v>-47.952670000000126</v>
      </c>
      <c r="M9" s="80">
        <f t="shared" ref="M9:M21" si="5">SUM(K9/J9*100)</f>
        <v>98.532660036719705</v>
      </c>
      <c r="N9" s="348">
        <f t="shared" ref="N9:N38" si="6">K9/O9</f>
        <v>4.5622659818645506</v>
      </c>
      <c r="O9" s="437">
        <f>+O10</f>
        <v>705.8</v>
      </c>
      <c r="P9" s="438"/>
      <c r="Q9" s="449"/>
      <c r="R9" s="438"/>
      <c r="S9" s="449"/>
      <c r="T9" s="449"/>
      <c r="U9" s="449"/>
    </row>
    <row r="10" spans="1:21" ht="16.5" customHeight="1">
      <c r="A10" s="81" t="s">
        <v>413</v>
      </c>
      <c r="B10" s="450">
        <v>20347.133000000002</v>
      </c>
      <c r="C10" s="483">
        <f>21185</f>
        <v>21185</v>
      </c>
      <c r="D10" s="439">
        <v>20444</v>
      </c>
      <c r="E10" s="450">
        <f>17462.70434+K10</f>
        <v>20682.751670000001</v>
      </c>
      <c r="F10" s="84">
        <f t="shared" si="3"/>
        <v>238.75167000000147</v>
      </c>
      <c r="G10" s="84">
        <f t="shared" si="1"/>
        <v>101.16783246918413</v>
      </c>
      <c r="H10" s="84">
        <f t="shared" si="4"/>
        <v>1.0164946417758216</v>
      </c>
      <c r="I10" s="85">
        <v>3614.433</v>
      </c>
      <c r="J10" s="440">
        <v>3268</v>
      </c>
      <c r="K10" s="451">
        <f>487.52794-10.9084+38.0425+223.36362+16.89667+451.76977+231.10583+0.25864+64.25044+7.66543+8.23387+34.80082+156.17177+189.60124+540.91331+369.5818+388.21975+22.55233</f>
        <v>3220.0473299999999</v>
      </c>
      <c r="L10" s="84">
        <f t="shared" si="2"/>
        <v>-47.952670000000126</v>
      </c>
      <c r="M10" s="84">
        <f t="shared" si="5"/>
        <v>98.532660036719705</v>
      </c>
      <c r="N10" s="348">
        <f t="shared" si="6"/>
        <v>4.5622659818645506</v>
      </c>
      <c r="O10" s="452">
        <v>705.8</v>
      </c>
      <c r="P10" s="453"/>
      <c r="Q10" s="449"/>
      <c r="R10" s="453"/>
      <c r="S10" s="449"/>
      <c r="T10" s="449"/>
      <c r="U10" s="449"/>
    </row>
    <row r="11" spans="1:21" ht="16.5" customHeight="1">
      <c r="A11" s="78" t="s">
        <v>414</v>
      </c>
      <c r="B11" s="454">
        <v>1399.84</v>
      </c>
      <c r="C11" s="482">
        <f>1546</f>
        <v>1546</v>
      </c>
      <c r="D11" s="435">
        <v>1406</v>
      </c>
      <c r="E11" s="454">
        <f>1267.58127+K11</f>
        <v>1380.1521899999998</v>
      </c>
      <c r="F11" s="80">
        <f t="shared" si="3"/>
        <v>-25.847810000000209</v>
      </c>
      <c r="G11" s="80">
        <f t="shared" si="1"/>
        <v>98.161606685632989</v>
      </c>
      <c r="H11" s="84">
        <f t="shared" si="4"/>
        <v>0.98593567121956782</v>
      </c>
      <c r="I11" s="86">
        <v>113.825</v>
      </c>
      <c r="J11" s="436">
        <v>136</v>
      </c>
      <c r="K11" s="455">
        <f>1.67247+0.00005+6.33866+104.41162+0.1353+0.0128+0.00002</f>
        <v>112.57092</v>
      </c>
      <c r="L11" s="80">
        <f t="shared" si="2"/>
        <v>-23.429079999999999</v>
      </c>
      <c r="M11" s="84">
        <f t="shared" si="5"/>
        <v>82.772735294117652</v>
      </c>
      <c r="N11" s="348">
        <f t="shared" si="6"/>
        <v>1.498947003994674</v>
      </c>
      <c r="O11" s="452">
        <v>75.099999999999994</v>
      </c>
      <c r="P11" s="456"/>
      <c r="Q11" s="449"/>
      <c r="R11" s="456"/>
      <c r="S11" s="449"/>
      <c r="T11" s="449"/>
      <c r="U11" s="449"/>
    </row>
    <row r="12" spans="1:21" ht="16.5" customHeight="1">
      <c r="A12" s="78" t="s">
        <v>415</v>
      </c>
      <c r="B12" s="427">
        <f>SUM(B13+B14+B15)</f>
        <v>7025.2820000000002</v>
      </c>
      <c r="C12" s="482">
        <f>C13+C14+C15</f>
        <v>6715</v>
      </c>
      <c r="D12" s="435">
        <f>SUM(D13:D15)</f>
        <v>6715</v>
      </c>
      <c r="E12" s="427">
        <f>SUM(E13:E15)</f>
        <v>4754.0105300000005</v>
      </c>
      <c r="F12" s="80">
        <f t="shared" si="3"/>
        <v>-1960.9894699999995</v>
      </c>
      <c r="G12" s="80">
        <f t="shared" si="1"/>
        <v>70.79688056589724</v>
      </c>
      <c r="H12" s="80">
        <f t="shared" si="4"/>
        <v>0.67670031324009494</v>
      </c>
      <c r="I12" s="80">
        <f>SUM(I13:I15)</f>
        <v>973.96199999999999</v>
      </c>
      <c r="J12" s="436">
        <f>J13+J14+J15</f>
        <v>2301</v>
      </c>
      <c r="K12" s="428">
        <f>SUM(K13:K15)</f>
        <v>141.38299999999998</v>
      </c>
      <c r="L12" s="80">
        <f t="shared" si="2"/>
        <v>-2159.6170000000002</v>
      </c>
      <c r="M12" s="80">
        <f t="shared" si="5"/>
        <v>6.1444154715341153</v>
      </c>
      <c r="N12" s="348">
        <f t="shared" si="6"/>
        <v>8.4523823757996039E-2</v>
      </c>
      <c r="O12" s="437">
        <f>SUM(O13:O15)</f>
        <v>1672.7</v>
      </c>
      <c r="P12" s="438"/>
      <c r="Q12" s="449"/>
      <c r="R12" s="438"/>
      <c r="S12" s="449"/>
      <c r="T12" s="449"/>
      <c r="U12" s="449"/>
    </row>
    <row r="13" spans="1:21" ht="27.75" customHeight="1">
      <c r="A13" s="87" t="s">
        <v>416</v>
      </c>
      <c r="B13" s="450">
        <v>909.95600000000002</v>
      </c>
      <c r="C13" s="483">
        <f>718</f>
        <v>718</v>
      </c>
      <c r="D13" s="439">
        <v>718</v>
      </c>
      <c r="E13" s="450">
        <f>495.47231+K13</f>
        <v>495.47230999999999</v>
      </c>
      <c r="F13" s="84">
        <f t="shared" si="3"/>
        <v>-222.52769000000001</v>
      </c>
      <c r="G13" s="84">
        <f t="shared" si="1"/>
        <v>69.007285515320334</v>
      </c>
      <c r="H13" s="84">
        <f t="shared" si="4"/>
        <v>0.5445013934739702</v>
      </c>
      <c r="I13" s="85">
        <v>307.15600000000001</v>
      </c>
      <c r="J13" s="440">
        <v>408</v>
      </c>
      <c r="K13" s="451">
        <v>0</v>
      </c>
      <c r="L13" s="84">
        <f t="shared" si="2"/>
        <v>-408</v>
      </c>
      <c r="M13" s="84">
        <f t="shared" si="5"/>
        <v>0</v>
      </c>
      <c r="N13" s="348">
        <f t="shared" si="6"/>
        <v>0</v>
      </c>
      <c r="O13" s="457">
        <v>73.7</v>
      </c>
      <c r="P13" s="453"/>
      <c r="Q13" s="449"/>
      <c r="R13" s="453"/>
      <c r="S13" s="449"/>
      <c r="T13" s="449"/>
      <c r="U13" s="449"/>
    </row>
    <row r="14" spans="1:21" ht="28.5" customHeight="1">
      <c r="A14" s="87" t="s">
        <v>417</v>
      </c>
      <c r="B14" s="450">
        <v>6092.826</v>
      </c>
      <c r="C14" s="483">
        <f>5974</f>
        <v>5974</v>
      </c>
      <c r="D14" s="439">
        <v>5974</v>
      </c>
      <c r="E14" s="450">
        <f>4107.17802+K14</f>
        <v>4236.3266400000002</v>
      </c>
      <c r="F14" s="84">
        <f t="shared" si="3"/>
        <v>-1737.6733599999998</v>
      </c>
      <c r="G14" s="84">
        <f t="shared" si="1"/>
        <v>70.912732507532652</v>
      </c>
      <c r="H14" s="84">
        <f t="shared" si="4"/>
        <v>0.69529749249363104</v>
      </c>
      <c r="I14" s="85">
        <v>658.30600000000004</v>
      </c>
      <c r="J14" s="440">
        <v>1871</v>
      </c>
      <c r="K14" s="451">
        <f>18.90805+9.85733+5.9712+4.95135+27.04979+24.62297+6.78626+0.47608+8.821+10.232+6.216+1.35759+3.898+0.001</f>
        <v>129.14861999999999</v>
      </c>
      <c r="L14" s="84">
        <f t="shared" si="2"/>
        <v>-1741.8513800000001</v>
      </c>
      <c r="M14" s="84">
        <f t="shared" si="5"/>
        <v>6.9026520577231425</v>
      </c>
      <c r="N14" s="348">
        <f t="shared" si="6"/>
        <v>8.0813853951567483E-2</v>
      </c>
      <c r="O14" s="457">
        <v>1598.1</v>
      </c>
      <c r="P14" s="453"/>
      <c r="Q14" s="449"/>
      <c r="R14" s="453"/>
      <c r="S14" s="449"/>
      <c r="T14" s="449"/>
      <c r="U14" s="449"/>
    </row>
    <row r="15" spans="1:21" ht="16.5" customHeight="1">
      <c r="A15" s="87" t="s">
        <v>231</v>
      </c>
      <c r="B15" s="450">
        <v>22.5</v>
      </c>
      <c r="C15" s="483">
        <v>23</v>
      </c>
      <c r="D15" s="439">
        <v>23</v>
      </c>
      <c r="E15" s="450">
        <f>9.9772+K15</f>
        <v>22.211579999999998</v>
      </c>
      <c r="F15" s="84">
        <f t="shared" si="3"/>
        <v>-0.78842000000000212</v>
      </c>
      <c r="G15" s="84">
        <f t="shared" si="1"/>
        <v>96.57208695652173</v>
      </c>
      <c r="H15" s="84">
        <f t="shared" si="4"/>
        <v>0.98718133333333324</v>
      </c>
      <c r="I15" s="85">
        <v>8.5</v>
      </c>
      <c r="J15" s="440">
        <v>22</v>
      </c>
      <c r="K15" s="451">
        <v>12.23438</v>
      </c>
      <c r="L15" s="84">
        <f t="shared" si="2"/>
        <v>-9.7656200000000002</v>
      </c>
      <c r="M15" s="84">
        <v>0</v>
      </c>
      <c r="N15" s="348">
        <f t="shared" si="6"/>
        <v>13.593755555555555</v>
      </c>
      <c r="O15" s="457">
        <v>0.9</v>
      </c>
      <c r="P15" s="453"/>
      <c r="Q15" s="449"/>
      <c r="R15" s="453"/>
      <c r="S15" s="449"/>
      <c r="T15" s="449"/>
      <c r="U15" s="449"/>
    </row>
    <row r="16" spans="1:21" ht="15.6">
      <c r="A16" s="78" t="s">
        <v>418</v>
      </c>
      <c r="B16" s="427">
        <f>B17+B18</f>
        <v>3492.029</v>
      </c>
      <c r="C16" s="484">
        <f>C17+C18</f>
        <v>3399</v>
      </c>
      <c r="D16" s="435">
        <f>D17+D18</f>
        <v>2906</v>
      </c>
      <c r="E16" s="427">
        <f>E17+E18</f>
        <v>2967.7875199999999</v>
      </c>
      <c r="F16" s="80">
        <f t="shared" si="3"/>
        <v>61.787519999999859</v>
      </c>
      <c r="G16" s="80">
        <f t="shared" si="1"/>
        <v>102.12620509291122</v>
      </c>
      <c r="H16" s="80">
        <f>E16/B16</f>
        <v>0.84987482062720554</v>
      </c>
      <c r="I16" s="80">
        <f>I18+I17</f>
        <v>757.02600000000007</v>
      </c>
      <c r="J16" s="436">
        <f>J18+J17</f>
        <v>675</v>
      </c>
      <c r="K16" s="428">
        <f>SUM(K17:K18)</f>
        <v>449.09691000000004</v>
      </c>
      <c r="L16" s="80">
        <f t="shared" si="2"/>
        <v>-225.90308999999996</v>
      </c>
      <c r="M16" s="80">
        <f t="shared" si="5"/>
        <v>66.532875555555563</v>
      </c>
      <c r="N16" s="348">
        <f t="shared" si="6"/>
        <v>4.4158988200589979</v>
      </c>
      <c r="O16" s="437">
        <f>SUM(O17:O18)</f>
        <v>101.69999999999999</v>
      </c>
      <c r="P16" s="438"/>
      <c r="Q16" s="449"/>
      <c r="R16" s="438"/>
      <c r="S16" s="449"/>
      <c r="T16" s="449"/>
      <c r="U16" s="449"/>
    </row>
    <row r="17" spans="1:21" ht="14.25" customHeight="1">
      <c r="A17" s="81" t="s">
        <v>18</v>
      </c>
      <c r="B17" s="450">
        <v>1758.749</v>
      </c>
      <c r="C17" s="483">
        <f>1659</f>
        <v>1659</v>
      </c>
      <c r="D17" s="439">
        <v>1131</v>
      </c>
      <c r="E17" s="450">
        <f>823.53905+K17</f>
        <v>1173.6277399999999</v>
      </c>
      <c r="F17" s="84">
        <f t="shared" si="3"/>
        <v>42.627739999999903</v>
      </c>
      <c r="G17" s="84">
        <f t="shared" si="1"/>
        <v>103.76903094606543</v>
      </c>
      <c r="H17" s="84">
        <f t="shared" si="4"/>
        <v>0.66730826286184097</v>
      </c>
      <c r="I17" s="85">
        <v>309.10399999999998</v>
      </c>
      <c r="J17" s="440">
        <v>266</v>
      </c>
      <c r="K17" s="451">
        <f>199.30659+10.60537+2.97917+24.55141+12.76119+2.81687+10.53815+10.82388+13.64933+4.80061+0.04273+9.07258+5.55908+9.59419+28.71845+4.26909</f>
        <v>350.08869000000004</v>
      </c>
      <c r="L17" s="84">
        <f t="shared" si="2"/>
        <v>84.088690000000042</v>
      </c>
      <c r="M17" s="84">
        <f t="shared" si="5"/>
        <v>131.61228947368423</v>
      </c>
      <c r="N17" s="348">
        <f t="shared" si="6"/>
        <v>7.1011904665314418</v>
      </c>
      <c r="O17" s="457">
        <v>49.3</v>
      </c>
      <c r="P17" s="453"/>
      <c r="Q17" s="449"/>
      <c r="R17" s="453"/>
      <c r="S17" s="449"/>
      <c r="T17" s="449"/>
      <c r="U17" s="449"/>
    </row>
    <row r="18" spans="1:21" ht="15.6">
      <c r="A18" s="78" t="s">
        <v>611</v>
      </c>
      <c r="B18" s="454">
        <f>B19+B20</f>
        <v>1733.28</v>
      </c>
      <c r="C18" s="485">
        <f>C19+C20</f>
        <v>1740</v>
      </c>
      <c r="D18" s="458">
        <f>D19+D20</f>
        <v>1775</v>
      </c>
      <c r="E18" s="454">
        <f>E19+E20</f>
        <v>1794.15978</v>
      </c>
      <c r="F18" s="80">
        <f t="shared" si="3"/>
        <v>19.159779999999955</v>
      </c>
      <c r="G18" s="80">
        <f t="shared" si="1"/>
        <v>101.0794242253521</v>
      </c>
      <c r="H18" s="80">
        <f t="shared" si="4"/>
        <v>1.0351240307394074</v>
      </c>
      <c r="I18" s="80">
        <f>I19+I20</f>
        <v>447.92200000000003</v>
      </c>
      <c r="J18" s="436">
        <f>J19+J20</f>
        <v>409</v>
      </c>
      <c r="K18" s="428">
        <f>K19+K20</f>
        <v>99.00821999999998</v>
      </c>
      <c r="L18" s="80">
        <f>L19+L20</f>
        <v>-309.99178000000006</v>
      </c>
      <c r="M18" s="80">
        <f t="shared" si="5"/>
        <v>24.207388753056229</v>
      </c>
      <c r="N18" s="348">
        <f t="shared" si="6"/>
        <v>1.8894698473282439</v>
      </c>
      <c r="O18" s="441">
        <v>52.4</v>
      </c>
      <c r="P18" s="456"/>
      <c r="Q18" s="449"/>
      <c r="R18" s="456"/>
      <c r="S18" s="449"/>
      <c r="T18" s="449"/>
      <c r="U18" s="449"/>
    </row>
    <row r="19" spans="1:21" ht="15.6">
      <c r="A19" s="81" t="s">
        <v>612</v>
      </c>
      <c r="B19" s="450">
        <v>801.79899999999998</v>
      </c>
      <c r="C19" s="483">
        <f>900</f>
        <v>900</v>
      </c>
      <c r="D19" s="439">
        <v>626</v>
      </c>
      <c r="E19" s="450">
        <f>543.2313+K19</f>
        <v>645.30516</v>
      </c>
      <c r="F19" s="84">
        <f t="shared" si="3"/>
        <v>19.305160000000001</v>
      </c>
      <c r="G19" s="84">
        <f t="shared" si="1"/>
        <v>103.08389137380192</v>
      </c>
      <c r="H19" s="84">
        <f t="shared" si="4"/>
        <v>0.80482160741033604</v>
      </c>
      <c r="I19" s="442">
        <v>314.14800000000002</v>
      </c>
      <c r="J19" s="440">
        <v>83</v>
      </c>
      <c r="K19" s="347">
        <f>39.46802+5.32901+4.06945+4.63578+3.39273+21.08143+5.04123-26.58+2.66753+3.22728+3.39958+2.99225+10.43341+3.25992+11.77717+3.68409+4.19498</f>
        <v>102.07385999999998</v>
      </c>
      <c r="L19" s="84">
        <f t="shared" si="2"/>
        <v>19.073859999999982</v>
      </c>
      <c r="M19" s="84">
        <f t="shared" si="5"/>
        <v>122.98055421686745</v>
      </c>
      <c r="N19" s="348">
        <f t="shared" si="6"/>
        <v>1.9479744274809156</v>
      </c>
      <c r="O19" s="441">
        <v>52.4</v>
      </c>
      <c r="P19" s="453"/>
      <c r="Q19" s="449"/>
      <c r="R19" s="453"/>
      <c r="S19" s="449"/>
      <c r="T19" s="449"/>
      <c r="U19" s="449"/>
    </row>
    <row r="20" spans="1:21" ht="15.6">
      <c r="A20" s="81" t="s">
        <v>613</v>
      </c>
      <c r="B20" s="442">
        <v>931.48099999999999</v>
      </c>
      <c r="C20" s="483">
        <v>840</v>
      </c>
      <c r="D20" s="439">
        <v>1149</v>
      </c>
      <c r="E20" s="442">
        <f>1151.92026+K20</f>
        <v>1148.8546200000001</v>
      </c>
      <c r="F20" s="84">
        <f>+E20-D20</f>
        <v>-0.1453799999999319</v>
      </c>
      <c r="G20" s="84">
        <f>E20/D20*100</f>
        <v>99.987347258485642</v>
      </c>
      <c r="H20" s="84">
        <f>E20/B20</f>
        <v>1.2333634502475093</v>
      </c>
      <c r="I20" s="442">
        <v>133.774</v>
      </c>
      <c r="J20" s="440">
        <v>326</v>
      </c>
      <c r="K20" s="347">
        <f>-33.597-44.749+0.01687+75.26349</f>
        <v>-3.0656400000000019</v>
      </c>
      <c r="L20" s="84">
        <f>+K20-J20</f>
        <v>-329.06564000000003</v>
      </c>
      <c r="M20" s="84">
        <f>SUM(K20/J20*100)</f>
        <v>-0.94038036809816017</v>
      </c>
      <c r="N20" s="348">
        <f>K20/O20</f>
        <v>-5.8504580152671792E-2</v>
      </c>
      <c r="O20" s="441">
        <v>52.4</v>
      </c>
      <c r="P20" s="443"/>
      <c r="Q20" s="449"/>
      <c r="R20" s="443"/>
      <c r="S20" s="449"/>
      <c r="T20" s="449"/>
      <c r="U20" s="449"/>
    </row>
    <row r="21" spans="1:21" ht="15.6">
      <c r="A21" s="78" t="s">
        <v>419</v>
      </c>
      <c r="B21" s="427">
        <v>749.32899999999995</v>
      </c>
      <c r="C21" s="482">
        <v>500</v>
      </c>
      <c r="D21" s="435">
        <v>400</v>
      </c>
      <c r="E21" s="454">
        <f>332.39817+K21</f>
        <v>373.10010999999997</v>
      </c>
      <c r="F21" s="80">
        <f t="shared" si="3"/>
        <v>-26.899890000000028</v>
      </c>
      <c r="G21" s="80">
        <f t="shared" si="1"/>
        <v>93.275027499999993</v>
      </c>
      <c r="H21" s="80">
        <f t="shared" si="4"/>
        <v>0.49791227885214639</v>
      </c>
      <c r="I21" s="454">
        <v>69.352999999999994</v>
      </c>
      <c r="J21" s="436">
        <v>4</v>
      </c>
      <c r="K21" s="455">
        <f>9.65021+0.15+1.40999+13.25296+1.61619+1.80982+2.36192+5.8896+0.93545+3.6258</f>
        <v>40.70194</v>
      </c>
      <c r="L21" s="80">
        <f t="shared" si="2"/>
        <v>36.70194</v>
      </c>
      <c r="M21" s="80">
        <f t="shared" si="5"/>
        <v>1017.5485</v>
      </c>
      <c r="N21" s="348">
        <f t="shared" si="6"/>
        <v>5.6530472222222219</v>
      </c>
      <c r="O21" s="452">
        <v>7.2</v>
      </c>
      <c r="P21" s="456"/>
      <c r="Q21" s="449"/>
      <c r="R21" s="456"/>
      <c r="S21" s="449"/>
      <c r="T21" s="449"/>
      <c r="U21" s="449"/>
    </row>
    <row r="22" spans="1:21" ht="13.8">
      <c r="A22" s="280" t="s">
        <v>26</v>
      </c>
      <c r="B22" s="349">
        <f>SUM(B23+B26+B28+B31+B34+B35+B37)</f>
        <v>3973.511</v>
      </c>
      <c r="C22" s="481">
        <f>SUM(C23+C26+C28+C31+C34+C35+C37)</f>
        <v>3579</v>
      </c>
      <c r="D22" s="278">
        <f>SUM(D23+D26+D28+D31+D34+D35+D37)</f>
        <v>3507</v>
      </c>
      <c r="E22" s="349">
        <f>SUM(E23+E26+E28+E31+E34+E35)</f>
        <v>3612.3150700000001</v>
      </c>
      <c r="F22" s="278">
        <f t="shared" si="3"/>
        <v>105.31507000000011</v>
      </c>
      <c r="G22" s="278">
        <f t="shared" si="1"/>
        <v>103.00299600798404</v>
      </c>
      <c r="H22" s="278">
        <f t="shared" si="4"/>
        <v>0.90909904867508862</v>
      </c>
      <c r="I22" s="278">
        <f>SUM(I23+I26+I28+I31+I34+I35+I37)</f>
        <v>243.68899999999999</v>
      </c>
      <c r="J22" s="431">
        <f>SUM(J23+J26+J28+J31+J34+J35+J37)</f>
        <v>469</v>
      </c>
      <c r="K22" s="349">
        <f>SUM(K23+K26+K28+K31+K34+K35)</f>
        <v>1213.6330500000001</v>
      </c>
      <c r="L22" s="278">
        <f>+K22-J22</f>
        <v>744.63305000000014</v>
      </c>
      <c r="M22" s="278">
        <f>SUM(K22/J22*100)</f>
        <v>258.77037313432839</v>
      </c>
      <c r="N22" s="279">
        <f t="shared" si="6"/>
        <v>5.3891343250444059</v>
      </c>
      <c r="O22" s="432">
        <f>SUM(O23+O26+O28+O31+O34+O35+O37)</f>
        <v>225.2</v>
      </c>
      <c r="P22" s="434"/>
      <c r="Q22" s="449"/>
      <c r="R22" s="434"/>
      <c r="S22" s="449"/>
      <c r="T22" s="449"/>
      <c r="U22" s="449"/>
    </row>
    <row r="23" spans="1:21" ht="18" customHeight="1">
      <c r="A23" s="78" t="s">
        <v>420</v>
      </c>
      <c r="B23" s="428">
        <f>SUM(B24:B25)</f>
        <v>2882.9229999999998</v>
      </c>
      <c r="C23" s="482">
        <f>SUM(C24:C25)</f>
        <v>2837</v>
      </c>
      <c r="D23" s="436">
        <f t="shared" ref="D23:K23" si="7">SUM(D24:D25)</f>
        <v>2647</v>
      </c>
      <c r="E23" s="428">
        <f t="shared" si="7"/>
        <v>2717.21828</v>
      </c>
      <c r="F23" s="79">
        <f t="shared" si="7"/>
        <v>70.21828000000005</v>
      </c>
      <c r="G23" s="80">
        <f>E23/D23*100</f>
        <v>102.65274952776728</v>
      </c>
      <c r="H23" s="79">
        <f t="shared" si="7"/>
        <v>3.0976250225490656</v>
      </c>
      <c r="I23" s="80">
        <f t="shared" si="7"/>
        <v>133.21299999999999</v>
      </c>
      <c r="J23" s="436">
        <f t="shared" si="7"/>
        <v>290</v>
      </c>
      <c r="K23" s="428">
        <f t="shared" si="7"/>
        <v>979.20855000000006</v>
      </c>
      <c r="L23" s="80">
        <f t="shared" si="2"/>
        <v>689.20855000000006</v>
      </c>
      <c r="M23" s="79">
        <f>SUM(K23/J23*100)</f>
        <v>337.65812068965516</v>
      </c>
      <c r="N23" s="348">
        <f t="shared" si="6"/>
        <v>6.9595490405117282</v>
      </c>
      <c r="O23" s="444">
        <f>SUM(O24:O25)</f>
        <v>140.69999999999999</v>
      </c>
      <c r="P23" s="445"/>
      <c r="Q23" s="449"/>
      <c r="R23" s="445"/>
      <c r="S23" s="449"/>
      <c r="T23" s="449"/>
      <c r="U23" s="449"/>
    </row>
    <row r="24" spans="1:21" ht="15.6">
      <c r="A24" s="87" t="s">
        <v>422</v>
      </c>
      <c r="B24" s="450">
        <v>533.75</v>
      </c>
      <c r="C24" s="483">
        <v>870</v>
      </c>
      <c r="D24" s="439">
        <v>1360</v>
      </c>
      <c r="E24" s="450">
        <f>727.12897+K24</f>
        <v>1340.5730800000001</v>
      </c>
      <c r="F24" s="84">
        <f>+E24-D24</f>
        <v>-19.426919999999882</v>
      </c>
      <c r="G24" s="84">
        <f>E24/D24*100</f>
        <v>98.571550000000002</v>
      </c>
      <c r="H24" s="84">
        <f>E24/B24</f>
        <v>2.5116123278688525</v>
      </c>
      <c r="I24" s="450">
        <v>-33.4</v>
      </c>
      <c r="J24" s="440">
        <v>570</v>
      </c>
      <c r="K24" s="451">
        <f>45.01828+2.97+3.027+7.85+6.66386+3.6+9.65837+4+0.7833+523.59+5.5+0.7833</f>
        <v>613.44411000000014</v>
      </c>
      <c r="L24" s="84">
        <f>+K24-J24</f>
        <v>43.444110000000137</v>
      </c>
      <c r="M24" s="84">
        <f>SUM(K24/J24*100)</f>
        <v>107.62177368421055</v>
      </c>
      <c r="N24" s="348">
        <f t="shared" si="6"/>
        <v>9.466730092592595</v>
      </c>
      <c r="O24" s="457">
        <v>64.8</v>
      </c>
      <c r="P24" s="453"/>
      <c r="Q24" s="449"/>
      <c r="R24" s="453"/>
      <c r="S24" s="449"/>
      <c r="T24" s="449"/>
      <c r="U24" s="449"/>
    </row>
    <row r="25" spans="1:21" ht="15.6">
      <c r="A25" s="87" t="s">
        <v>421</v>
      </c>
      <c r="B25" s="450">
        <v>2349.1729999999998</v>
      </c>
      <c r="C25" s="483">
        <v>1967</v>
      </c>
      <c r="D25" s="439">
        <v>1287</v>
      </c>
      <c r="E25" s="450">
        <f>1010.88076+K25</f>
        <v>1376.6451999999999</v>
      </c>
      <c r="F25" s="84">
        <f t="shared" si="3"/>
        <v>89.645199999999932</v>
      </c>
      <c r="G25" s="84">
        <f t="shared" si="1"/>
        <v>106.96543900543899</v>
      </c>
      <c r="H25" s="84">
        <f t="shared" si="4"/>
        <v>0.586012694680213</v>
      </c>
      <c r="I25" s="450">
        <v>166.613</v>
      </c>
      <c r="J25" s="440">
        <v>-280</v>
      </c>
      <c r="K25" s="451">
        <f>45.064+26.905+36.54651+91.01+16.0042+3.5+77.11+1.5+22.44731+4.16742+41.51</f>
        <v>365.76443999999998</v>
      </c>
      <c r="L25" s="84">
        <f t="shared" si="2"/>
        <v>645.76443999999992</v>
      </c>
      <c r="M25" s="84">
        <f>SUM(K25/J25*100)</f>
        <v>-130.63015714285712</v>
      </c>
      <c r="N25" s="348">
        <f t="shared" si="6"/>
        <v>4.8190308300395248</v>
      </c>
      <c r="O25" s="457">
        <v>75.900000000000006</v>
      </c>
      <c r="P25" s="453"/>
      <c r="Q25" s="449"/>
      <c r="R25" s="453"/>
      <c r="S25" s="449"/>
      <c r="T25" s="449"/>
      <c r="U25" s="449"/>
    </row>
    <row r="26" spans="1:21" ht="34.5" customHeight="1">
      <c r="A26" s="88" t="s">
        <v>423</v>
      </c>
      <c r="B26" s="427">
        <f>SUM(B27:B27)</f>
        <v>225.233</v>
      </c>
      <c r="C26" s="482">
        <f>SUM(C27:C27)</f>
        <v>290</v>
      </c>
      <c r="D26" s="435">
        <f>SUM(D27:D27)</f>
        <v>280</v>
      </c>
      <c r="E26" s="427">
        <f>SUM(E27:E27)</f>
        <v>279.83276000000001</v>
      </c>
      <c r="F26" s="80">
        <f t="shared" si="3"/>
        <v>-0.16723999999999251</v>
      </c>
      <c r="G26" s="80">
        <f t="shared" si="1"/>
        <v>99.940271428571435</v>
      </c>
      <c r="H26" s="80">
        <f t="shared" si="4"/>
        <v>1.242414566249173</v>
      </c>
      <c r="I26" s="80">
        <f>SUM(I27:I27)</f>
        <v>18.983000000000001</v>
      </c>
      <c r="J26" s="436">
        <f>J27</f>
        <v>10</v>
      </c>
      <c r="K26" s="428">
        <f>SUM(K27:K27)</f>
        <v>60.96219</v>
      </c>
      <c r="L26" s="80">
        <f t="shared" si="2"/>
        <v>50.96219</v>
      </c>
      <c r="M26" s="80">
        <f t="shared" ref="M26:M31" si="8">SUM(K26/J26*100)</f>
        <v>609.62189999999998</v>
      </c>
      <c r="N26" s="348">
        <f t="shared" si="6"/>
        <v>3.3131625000000002</v>
      </c>
      <c r="O26" s="437">
        <f>SUM(O27:O27)</f>
        <v>18.399999999999999</v>
      </c>
      <c r="P26" s="438"/>
      <c r="Q26" s="449"/>
      <c r="R26" s="438"/>
      <c r="S26" s="449"/>
      <c r="T26" s="449"/>
      <c r="U26" s="449"/>
    </row>
    <row r="27" spans="1:21" ht="31.2">
      <c r="A27" s="89" t="s">
        <v>40</v>
      </c>
      <c r="B27" s="450">
        <v>225.233</v>
      </c>
      <c r="C27" s="483">
        <v>290</v>
      </c>
      <c r="D27" s="439">
        <v>280</v>
      </c>
      <c r="E27" s="450">
        <f>218.87057+K27</f>
        <v>279.83276000000001</v>
      </c>
      <c r="F27" s="84">
        <f t="shared" si="3"/>
        <v>-0.16723999999999251</v>
      </c>
      <c r="G27" s="84">
        <f t="shared" si="1"/>
        <v>99.940271428571435</v>
      </c>
      <c r="H27" s="84">
        <f t="shared" si="4"/>
        <v>1.242414566249173</v>
      </c>
      <c r="I27" s="450">
        <v>18.983000000000001</v>
      </c>
      <c r="J27" s="440">
        <v>10</v>
      </c>
      <c r="K27" s="451">
        <f>53.91032+6.38972+0.00001+0.66214</f>
        <v>60.96219</v>
      </c>
      <c r="L27" s="84">
        <f t="shared" si="2"/>
        <v>50.96219</v>
      </c>
      <c r="M27" s="84">
        <f t="shared" si="8"/>
        <v>609.62189999999998</v>
      </c>
      <c r="N27" s="348">
        <f t="shared" si="6"/>
        <v>3.3131625000000002</v>
      </c>
      <c r="O27" s="457">
        <v>18.399999999999999</v>
      </c>
      <c r="P27" s="453"/>
      <c r="Q27" s="449"/>
      <c r="R27" s="453"/>
      <c r="S27" s="449"/>
      <c r="T27" s="449"/>
      <c r="U27" s="449"/>
    </row>
    <row r="28" spans="1:21" ht="30.75" customHeight="1">
      <c r="A28" s="88" t="s">
        <v>424</v>
      </c>
      <c r="B28" s="427">
        <v>78.347999999999999</v>
      </c>
      <c r="C28" s="482">
        <f>SUM(C29:C30)</f>
        <v>62</v>
      </c>
      <c r="D28" s="435">
        <f>SUM(D29:D30)</f>
        <v>40</v>
      </c>
      <c r="E28" s="427">
        <f>SUM(E29:E30)</f>
        <v>42.689450000000001</v>
      </c>
      <c r="F28" s="80">
        <f t="shared" si="3"/>
        <v>2.6894500000000008</v>
      </c>
      <c r="G28" s="80">
        <f t="shared" si="1"/>
        <v>106.72362500000001</v>
      </c>
      <c r="H28" s="80">
        <f t="shared" si="4"/>
        <v>0.54486968397406443</v>
      </c>
      <c r="I28" s="80">
        <f>SUM(I29:I30)</f>
        <v>33.777999999999999</v>
      </c>
      <c r="J28" s="436">
        <f>SUM(J29:J30)</f>
        <v>-12</v>
      </c>
      <c r="K28" s="347">
        <f>SUM(K29:K30)</f>
        <v>0</v>
      </c>
      <c r="L28" s="80">
        <f t="shared" si="2"/>
        <v>12</v>
      </c>
      <c r="M28" s="84">
        <f t="shared" si="8"/>
        <v>0</v>
      </c>
      <c r="N28" s="348">
        <f t="shared" si="6"/>
        <v>0</v>
      </c>
      <c r="O28" s="437">
        <f>SUM(O29:O30)</f>
        <v>0.5</v>
      </c>
      <c r="P28" s="438"/>
      <c r="Q28" s="449"/>
      <c r="R28" s="438"/>
      <c r="S28" s="449"/>
      <c r="T28" s="449"/>
      <c r="U28" s="449"/>
    </row>
    <row r="29" spans="1:21" ht="15.6" hidden="1">
      <c r="A29" s="81" t="s">
        <v>425</v>
      </c>
      <c r="B29" s="442">
        <v>0</v>
      </c>
      <c r="C29" s="483">
        <v>0</v>
      </c>
      <c r="D29" s="439"/>
      <c r="E29" s="442"/>
      <c r="F29" s="80">
        <f t="shared" si="3"/>
        <v>0</v>
      </c>
      <c r="G29" s="80" t="e">
        <f t="shared" si="1"/>
        <v>#DIV/0!</v>
      </c>
      <c r="H29" s="80" t="e">
        <f t="shared" si="4"/>
        <v>#DIV/0!</v>
      </c>
      <c r="I29" s="84"/>
      <c r="J29" s="440"/>
      <c r="K29" s="347"/>
      <c r="L29" s="84">
        <f t="shared" si="2"/>
        <v>0</v>
      </c>
      <c r="M29" s="84" t="e">
        <f t="shared" si="8"/>
        <v>#DIV/0!</v>
      </c>
      <c r="N29" s="348" t="e">
        <f t="shared" si="6"/>
        <v>#DIV/0!</v>
      </c>
      <c r="O29" s="441"/>
      <c r="P29" s="443"/>
      <c r="Q29" s="449"/>
      <c r="R29" s="443"/>
      <c r="S29" s="449"/>
      <c r="T29" s="449"/>
      <c r="U29" s="449"/>
    </row>
    <row r="30" spans="1:21" ht="31.5" customHeight="1">
      <c r="A30" s="81" t="s">
        <v>426</v>
      </c>
      <c r="B30" s="450">
        <v>44.57</v>
      </c>
      <c r="C30" s="483">
        <v>62</v>
      </c>
      <c r="D30" s="439">
        <v>40</v>
      </c>
      <c r="E30" s="450">
        <f>42.68945+K30</f>
        <v>42.689450000000001</v>
      </c>
      <c r="F30" s="84">
        <f t="shared" si="3"/>
        <v>2.6894500000000008</v>
      </c>
      <c r="G30" s="84">
        <f t="shared" si="1"/>
        <v>106.72362500000001</v>
      </c>
      <c r="H30" s="84">
        <f t="shared" si="4"/>
        <v>0.95780682073143375</v>
      </c>
      <c r="I30" s="85">
        <v>33.777999999999999</v>
      </c>
      <c r="J30" s="440">
        <v>-12</v>
      </c>
      <c r="K30" s="451">
        <v>0</v>
      </c>
      <c r="L30" s="84">
        <f t="shared" si="2"/>
        <v>12</v>
      </c>
      <c r="M30" s="84">
        <f t="shared" si="8"/>
        <v>0</v>
      </c>
      <c r="N30" s="348">
        <f t="shared" si="6"/>
        <v>0</v>
      </c>
      <c r="O30" s="452">
        <v>0.5</v>
      </c>
      <c r="P30" s="453"/>
      <c r="Q30" s="449"/>
      <c r="R30" s="456"/>
      <c r="S30" s="449"/>
      <c r="T30" s="449"/>
      <c r="U30" s="449"/>
    </row>
    <row r="31" spans="1:21" ht="29.25" customHeight="1">
      <c r="A31" s="78" t="s">
        <v>427</v>
      </c>
      <c r="B31" s="428">
        <f>SUM(B32:B33)</f>
        <v>583.85599999999999</v>
      </c>
      <c r="C31" s="482">
        <f>SUM(C32:C33)</f>
        <v>200</v>
      </c>
      <c r="D31" s="435">
        <f>SUM(D32:D33)</f>
        <v>270</v>
      </c>
      <c r="E31" s="427">
        <f>SUM(E32:E33)</f>
        <v>269.6515</v>
      </c>
      <c r="F31" s="80">
        <f t="shared" si="3"/>
        <v>-0.34850000000000136</v>
      </c>
      <c r="G31" s="80">
        <f t="shared" si="1"/>
        <v>99.870925925925917</v>
      </c>
      <c r="H31" s="80">
        <f t="shared" si="4"/>
        <v>0.46184590035899264</v>
      </c>
      <c r="I31" s="80">
        <f>SUM(I32:I33)</f>
        <v>20.893999999999998</v>
      </c>
      <c r="J31" s="436">
        <f>SUM(J32:J33)</f>
        <v>86</v>
      </c>
      <c r="K31" s="428">
        <f>SUM(K32:K33)</f>
        <v>35.153620000000004</v>
      </c>
      <c r="L31" s="80">
        <f t="shared" si="2"/>
        <v>-50.846379999999996</v>
      </c>
      <c r="M31" s="80">
        <f t="shared" si="8"/>
        <v>40.876302325581399</v>
      </c>
      <c r="N31" s="348">
        <f t="shared" si="6"/>
        <v>2.6631530303030306</v>
      </c>
      <c r="O31" s="437">
        <f>O32+O33</f>
        <v>13.2</v>
      </c>
      <c r="P31" s="438"/>
      <c r="Q31" s="449"/>
      <c r="R31" s="438"/>
      <c r="S31" s="449"/>
      <c r="T31" s="449"/>
      <c r="U31" s="449"/>
    </row>
    <row r="32" spans="1:21" ht="31.2" hidden="1">
      <c r="A32" s="81" t="s">
        <v>428</v>
      </c>
      <c r="B32" s="347">
        <v>0</v>
      </c>
      <c r="C32" s="483"/>
      <c r="D32" s="439"/>
      <c r="E32" s="347"/>
      <c r="F32" s="83">
        <f t="shared" si="3"/>
        <v>0</v>
      </c>
      <c r="G32" s="83"/>
      <c r="H32" s="83" t="e">
        <f t="shared" si="4"/>
        <v>#DIV/0!</v>
      </c>
      <c r="I32" s="84">
        <v>0</v>
      </c>
      <c r="J32" s="440">
        <v>0</v>
      </c>
      <c r="K32" s="347"/>
      <c r="L32" s="83">
        <f t="shared" si="2"/>
        <v>0</v>
      </c>
      <c r="M32" s="83"/>
      <c r="N32" s="348" t="e">
        <f t="shared" si="6"/>
        <v>#DIV/0!</v>
      </c>
      <c r="O32" s="446">
        <v>0</v>
      </c>
      <c r="P32" s="447"/>
      <c r="Q32" s="449"/>
      <c r="R32" s="447"/>
      <c r="S32" s="449"/>
      <c r="T32" s="449"/>
      <c r="U32" s="449"/>
    </row>
    <row r="33" spans="1:21" ht="15.6">
      <c r="A33" s="81" t="s">
        <v>429</v>
      </c>
      <c r="B33" s="451">
        <v>583.85599999999999</v>
      </c>
      <c r="C33" s="483">
        <v>200</v>
      </c>
      <c r="D33" s="439">
        <v>270</v>
      </c>
      <c r="E33" s="451">
        <f>234.49788+K33</f>
        <v>269.6515</v>
      </c>
      <c r="F33" s="84">
        <f t="shared" si="3"/>
        <v>-0.34850000000000136</v>
      </c>
      <c r="G33" s="83">
        <f t="shared" ref="G33:G38" si="9">E33/D33*100</f>
        <v>99.870925925925917</v>
      </c>
      <c r="H33" s="83">
        <f t="shared" si="4"/>
        <v>0.46184590035899264</v>
      </c>
      <c r="I33" s="451">
        <v>20.893999999999998</v>
      </c>
      <c r="J33" s="440">
        <v>86</v>
      </c>
      <c r="K33" s="451">
        <f>28+4.5339+2.61972</f>
        <v>35.153620000000004</v>
      </c>
      <c r="L33" s="83">
        <f t="shared" si="2"/>
        <v>-50.846379999999996</v>
      </c>
      <c r="M33" s="83">
        <f t="shared" ref="M33:M38" si="10">SUM(K33/J33*100)</f>
        <v>40.876302325581399</v>
      </c>
      <c r="N33" s="348">
        <f t="shared" si="6"/>
        <v>2.6631530303030306</v>
      </c>
      <c r="O33" s="459">
        <v>13.2</v>
      </c>
      <c r="P33" s="460"/>
      <c r="Q33" s="449"/>
      <c r="R33" s="460"/>
      <c r="S33" s="449"/>
      <c r="T33" s="449"/>
      <c r="U33" s="449"/>
    </row>
    <row r="34" spans="1:21" ht="26.25" customHeight="1">
      <c r="A34" s="78" t="s">
        <v>430</v>
      </c>
      <c r="B34" s="428">
        <v>196.751</v>
      </c>
      <c r="C34" s="482">
        <v>170</v>
      </c>
      <c r="D34" s="435">
        <v>270</v>
      </c>
      <c r="E34" s="428">
        <f>164.61439+K34</f>
        <v>302.92308000000003</v>
      </c>
      <c r="F34" s="79">
        <f t="shared" si="3"/>
        <v>32.923080000000027</v>
      </c>
      <c r="G34" s="79">
        <f t="shared" si="9"/>
        <v>112.19373333333334</v>
      </c>
      <c r="H34" s="79">
        <f t="shared" si="4"/>
        <v>1.5396266346803829</v>
      </c>
      <c r="I34" s="486">
        <v>33.820999999999998</v>
      </c>
      <c r="J34" s="436">
        <v>115</v>
      </c>
      <c r="K34" s="428">
        <f>17.718+0.50319+39.93432+8.88061+12.11411+0.0086+0.025+0.3+17.86156+1+9.79349+11.54981+18.62</f>
        <v>138.30869000000001</v>
      </c>
      <c r="L34" s="79">
        <f t="shared" si="2"/>
        <v>23.308690000000013</v>
      </c>
      <c r="M34" s="79">
        <f t="shared" si="10"/>
        <v>120.26842608695654</v>
      </c>
      <c r="N34" s="348">
        <f t="shared" si="6"/>
        <v>7.5578519125683066</v>
      </c>
      <c r="O34" s="444">
        <v>18.3</v>
      </c>
      <c r="P34" s="445"/>
      <c r="Q34" s="461"/>
      <c r="R34" s="445"/>
      <c r="S34" s="449"/>
      <c r="T34" s="449"/>
      <c r="U34" s="449"/>
    </row>
    <row r="35" spans="1:21" ht="15.6">
      <c r="A35" s="78" t="s">
        <v>246</v>
      </c>
      <c r="B35" s="487">
        <v>6.4</v>
      </c>
      <c r="C35" s="482">
        <v>20</v>
      </c>
      <c r="D35" s="435">
        <v>0</v>
      </c>
      <c r="E35" s="427">
        <f>+E37</f>
        <v>0</v>
      </c>
      <c r="F35" s="83">
        <f t="shared" si="3"/>
        <v>0</v>
      </c>
      <c r="G35" s="79">
        <v>0</v>
      </c>
      <c r="H35" s="79">
        <v>0</v>
      </c>
      <c r="I35" s="488">
        <v>3</v>
      </c>
      <c r="J35" s="436">
        <v>-20</v>
      </c>
      <c r="K35" s="451">
        <f>+K37</f>
        <v>0</v>
      </c>
      <c r="L35" s="79">
        <f t="shared" si="2"/>
        <v>20</v>
      </c>
      <c r="M35" s="79">
        <v>0</v>
      </c>
      <c r="N35" s="348">
        <f t="shared" si="6"/>
        <v>0</v>
      </c>
      <c r="O35" s="459">
        <v>34.1</v>
      </c>
      <c r="P35" s="438"/>
      <c r="Q35" s="449"/>
      <c r="R35" s="438"/>
      <c r="S35" s="449"/>
      <c r="T35" s="449"/>
      <c r="U35" s="449"/>
    </row>
    <row r="36" spans="1:21" ht="15.6" hidden="1">
      <c r="A36" s="81" t="s">
        <v>431</v>
      </c>
      <c r="B36" s="347">
        <v>0</v>
      </c>
      <c r="C36" s="483">
        <v>0</v>
      </c>
      <c r="D36" s="439">
        <v>0</v>
      </c>
      <c r="E36" s="347">
        <v>0</v>
      </c>
      <c r="F36" s="83">
        <f t="shared" si="3"/>
        <v>0</v>
      </c>
      <c r="G36" s="79">
        <v>0</v>
      </c>
      <c r="H36" s="79">
        <v>0</v>
      </c>
      <c r="I36" s="83">
        <v>0</v>
      </c>
      <c r="J36" s="440">
        <v>0</v>
      </c>
      <c r="K36" s="347">
        <v>0</v>
      </c>
      <c r="L36" s="79">
        <f t="shared" si="2"/>
        <v>0</v>
      </c>
      <c r="M36" s="79">
        <v>0</v>
      </c>
      <c r="N36" s="279" t="e">
        <f t="shared" si="6"/>
        <v>#DIV/0!</v>
      </c>
      <c r="O36" s="446"/>
      <c r="P36" s="447"/>
      <c r="Q36" s="449"/>
      <c r="R36" s="447"/>
      <c r="S36" s="449"/>
      <c r="T36" s="449"/>
      <c r="U36" s="449"/>
    </row>
    <row r="37" spans="1:21" ht="15.6">
      <c r="A37" s="81" t="s">
        <v>432</v>
      </c>
      <c r="B37" s="347"/>
      <c r="C37" s="483">
        <v>0</v>
      </c>
      <c r="D37" s="439">
        <v>0</v>
      </c>
      <c r="E37" s="451">
        <f>+K37</f>
        <v>0</v>
      </c>
      <c r="F37" s="83">
        <f t="shared" si="3"/>
        <v>0</v>
      </c>
      <c r="G37" s="79">
        <v>0</v>
      </c>
      <c r="H37" s="79">
        <v>0</v>
      </c>
      <c r="I37" s="83"/>
      <c r="J37" s="440">
        <v>0</v>
      </c>
      <c r="K37" s="347">
        <f>49.5-49.5+5.9716-5.9716</f>
        <v>0</v>
      </c>
      <c r="L37" s="79">
        <f t="shared" si="2"/>
        <v>0</v>
      </c>
      <c r="M37" s="79">
        <v>0</v>
      </c>
      <c r="N37" s="279" t="e">
        <f t="shared" si="6"/>
        <v>#DIV/0!</v>
      </c>
      <c r="O37" s="446">
        <v>0</v>
      </c>
      <c r="P37" s="460"/>
      <c r="Q37" s="449"/>
      <c r="R37" s="447"/>
      <c r="S37" s="449"/>
      <c r="T37" s="449"/>
      <c r="U37" s="449"/>
    </row>
    <row r="38" spans="1:21" ht="30" customHeight="1">
      <c r="A38" s="280" t="s">
        <v>433</v>
      </c>
      <c r="B38" s="481">
        <f>B8+B22</f>
        <v>36987.123999999996</v>
      </c>
      <c r="C38" s="481">
        <f>SUM(C22+C8)</f>
        <v>36924</v>
      </c>
      <c r="D38" s="278">
        <f>D8+D22</f>
        <v>35378</v>
      </c>
      <c r="E38" s="349">
        <f>E8+E22</f>
        <v>33770.11709</v>
      </c>
      <c r="F38" s="278">
        <f t="shared" si="3"/>
        <v>-1607.8829100000003</v>
      </c>
      <c r="G38" s="278">
        <f t="shared" si="9"/>
        <v>95.455133387981235</v>
      </c>
      <c r="H38" s="278">
        <f t="shared" si="4"/>
        <v>0.91302359950992684</v>
      </c>
      <c r="I38" s="278">
        <f>I8+I22</f>
        <v>5772.2879999999996</v>
      </c>
      <c r="J38" s="431">
        <f>J8+J22</f>
        <v>6853</v>
      </c>
      <c r="K38" s="349">
        <f>K8+K22</f>
        <v>5177.4331499999998</v>
      </c>
      <c r="L38" s="278">
        <f t="shared" si="2"/>
        <v>-1675.5668500000002</v>
      </c>
      <c r="M38" s="278">
        <f t="shared" si="10"/>
        <v>75.549878155552307</v>
      </c>
      <c r="N38" s="279">
        <f t="shared" si="6"/>
        <v>1.8572418660544538</v>
      </c>
      <c r="O38" s="432">
        <f>O8+O22</f>
        <v>2787.6999999999994</v>
      </c>
      <c r="P38" s="433"/>
      <c r="Q38" s="449"/>
      <c r="R38" s="449"/>
      <c r="S38" s="449"/>
      <c r="T38" s="449"/>
      <c r="U38" s="449"/>
    </row>
    <row r="39" spans="1:21" ht="13.8">
      <c r="A39" s="462"/>
    </row>
    <row r="40" spans="1:21" ht="43.5" customHeight="1">
      <c r="A40" s="515"/>
      <c r="B40" s="515"/>
      <c r="C40" s="490"/>
      <c r="D40" s="90"/>
      <c r="E40" s="448"/>
      <c r="F40" s="90"/>
      <c r="G40" s="516"/>
      <c r="H40" s="516"/>
      <c r="I40" s="516"/>
      <c r="J40" s="516"/>
      <c r="K40" s="516"/>
      <c r="L40" s="516"/>
      <c r="M40" s="91"/>
      <c r="O40" s="143"/>
    </row>
    <row r="41" spans="1:21">
      <c r="A41" s="228"/>
    </row>
    <row r="42" spans="1:21">
      <c r="A42" s="228"/>
    </row>
  </sheetData>
  <mergeCells count="16">
    <mergeCell ref="A1:N1"/>
    <mergeCell ref="A2:N2"/>
    <mergeCell ref="A3:N3"/>
    <mergeCell ref="B4:L4"/>
    <mergeCell ref="M4:N4"/>
    <mergeCell ref="I5:I6"/>
    <mergeCell ref="J5:M5"/>
    <mergeCell ref="N5:N6"/>
    <mergeCell ref="O5:O6"/>
    <mergeCell ref="A40:B40"/>
    <mergeCell ref="G40:L40"/>
    <mergeCell ref="A5:A6"/>
    <mergeCell ref="B5:B6"/>
    <mergeCell ref="C5:C6"/>
    <mergeCell ref="D5:G5"/>
    <mergeCell ref="H5:H6"/>
  </mergeCells>
  <pageMargins left="0.47244094488188981" right="0.19685039370078741" top="0.19685039370078741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155"/>
  <sheetViews>
    <sheetView view="pageBreakPreview" zoomScale="84" zoomScaleSheetLayoutView="84" workbookViewId="0">
      <pane xSplit="3" ySplit="6" topLeftCell="F99" activePane="bottomRight" state="frozen"/>
      <selection pane="topRight" activeCell="C1" sqref="C1"/>
      <selection pane="bottomLeft" activeCell="A7" sqref="A7"/>
      <selection pane="bottomRight" activeCell="F137" sqref="F137"/>
    </sheetView>
  </sheetViews>
  <sheetFormatPr defaultColWidth="9.109375" defaultRowHeight="13.2"/>
  <cols>
    <col min="1" max="1" width="4.6640625" style="346" customWidth="1"/>
    <col min="2" max="2" width="15.44140625" style="346" hidden="1" customWidth="1"/>
    <col min="3" max="3" width="39.44140625" style="346" customWidth="1"/>
    <col min="4" max="4" width="9.6640625" style="346" hidden="1" customWidth="1"/>
    <col min="5" max="5" width="10" style="346" hidden="1" customWidth="1"/>
    <col min="6" max="6" width="11.44140625" style="346" customWidth="1"/>
    <col min="7" max="7" width="12.44140625" style="346" customWidth="1"/>
    <col min="8" max="9" width="11.33203125" style="346" customWidth="1"/>
    <col min="10" max="10" width="9.33203125" style="346" hidden="1" customWidth="1"/>
    <col min="11" max="11" width="12.44140625" style="346" customWidth="1"/>
    <col min="12" max="12" width="12" style="346" customWidth="1"/>
    <col min="13" max="16384" width="9.109375" style="346"/>
  </cols>
  <sheetData>
    <row r="1" spans="1:12">
      <c r="J1" s="400" t="s">
        <v>559</v>
      </c>
    </row>
    <row r="2" spans="1:12" ht="37.5" customHeight="1">
      <c r="A2" s="345"/>
      <c r="B2" s="345" t="s">
        <v>719</v>
      </c>
      <c r="C2" s="528" t="s">
        <v>708</v>
      </c>
      <c r="D2" s="528"/>
      <c r="E2" s="528"/>
      <c r="F2" s="528"/>
      <c r="G2" s="528"/>
      <c r="H2" s="528"/>
      <c r="I2" s="528"/>
      <c r="J2" s="528"/>
      <c r="K2" s="528"/>
      <c r="L2" s="528"/>
    </row>
    <row r="3" spans="1:12" ht="5.25" customHeight="1">
      <c r="A3" s="529" t="s">
        <v>286</v>
      </c>
      <c r="B3" s="418"/>
      <c r="C3" s="532" t="s">
        <v>287</v>
      </c>
      <c r="D3" s="535" t="s">
        <v>288</v>
      </c>
      <c r="E3" s="536"/>
      <c r="F3" s="536"/>
      <c r="G3" s="536"/>
      <c r="H3" s="536"/>
      <c r="I3" s="537"/>
      <c r="J3" s="541" t="s">
        <v>627</v>
      </c>
      <c r="K3" s="544" t="s">
        <v>716</v>
      </c>
      <c r="L3" s="544" t="s">
        <v>717</v>
      </c>
    </row>
    <row r="4" spans="1:12" ht="9" customHeight="1">
      <c r="A4" s="530"/>
      <c r="B4" s="419"/>
      <c r="C4" s="533"/>
      <c r="D4" s="538"/>
      <c r="E4" s="539"/>
      <c r="F4" s="539"/>
      <c r="G4" s="539"/>
      <c r="H4" s="539"/>
      <c r="I4" s="540"/>
      <c r="J4" s="542"/>
      <c r="K4" s="545"/>
      <c r="L4" s="545"/>
    </row>
    <row r="5" spans="1:12" ht="39" customHeight="1">
      <c r="A5" s="531"/>
      <c r="B5" s="420"/>
      <c r="C5" s="534"/>
      <c r="D5" s="401" t="s">
        <v>560</v>
      </c>
      <c r="E5" s="402" t="s">
        <v>621</v>
      </c>
      <c r="F5" s="401" t="s">
        <v>622</v>
      </c>
      <c r="G5" s="401" t="s">
        <v>702</v>
      </c>
      <c r="H5" s="401" t="s">
        <v>694</v>
      </c>
      <c r="I5" s="401" t="s">
        <v>709</v>
      </c>
      <c r="J5" s="543"/>
      <c r="K5" s="546"/>
      <c r="L5" s="546"/>
    </row>
    <row r="6" spans="1:12" ht="12.75" customHeight="1">
      <c r="A6" s="403" t="s">
        <v>289</v>
      </c>
      <c r="B6" s="403"/>
      <c r="C6" s="404" t="s">
        <v>290</v>
      </c>
      <c r="D6" s="405">
        <f t="shared" ref="D6" si="0">SUM(D8:D19)</f>
        <v>0</v>
      </c>
      <c r="E6" s="405">
        <f t="shared" ref="E6" si="1">SUM(E8:E19)</f>
        <v>0</v>
      </c>
      <c r="F6" s="405">
        <f t="shared" ref="F6:G6" si="2">SUM(F8:F19)</f>
        <v>0</v>
      </c>
      <c r="G6" s="405">
        <f t="shared" si="2"/>
        <v>0</v>
      </c>
      <c r="H6" s="405">
        <f>SUM(H7:H19)</f>
        <v>0.73736000000000002</v>
      </c>
      <c r="I6" s="405">
        <f>SUM(I7:I19)</f>
        <v>620.80665999999997</v>
      </c>
      <c r="J6" s="406">
        <f>H6-F6</f>
        <v>0.73736000000000002</v>
      </c>
      <c r="K6" s="407">
        <v>0</v>
      </c>
      <c r="L6" s="407">
        <f>I6-H6</f>
        <v>620.0693</v>
      </c>
    </row>
    <row r="7" spans="1:12" ht="12.75" customHeight="1">
      <c r="A7" s="422"/>
      <c r="B7" s="423" t="s">
        <v>720</v>
      </c>
      <c r="C7" s="408" t="s">
        <v>721</v>
      </c>
      <c r="D7" s="424"/>
      <c r="E7" s="424"/>
      <c r="F7" s="424">
        <v>0</v>
      </c>
      <c r="G7" s="424">
        <v>0</v>
      </c>
      <c r="H7" s="424">
        <v>0</v>
      </c>
      <c r="I7" s="340">
        <v>620.80665999999997</v>
      </c>
      <c r="J7" s="343"/>
      <c r="K7" s="417">
        <v>0</v>
      </c>
      <c r="L7" s="417">
        <f>I7-H7</f>
        <v>620.80665999999997</v>
      </c>
    </row>
    <row r="8" spans="1:12" hidden="1">
      <c r="A8" s="337"/>
      <c r="B8" s="337"/>
      <c r="C8" s="337" t="s">
        <v>291</v>
      </c>
      <c r="D8" s="342"/>
      <c r="E8" s="340"/>
      <c r="F8" s="342"/>
      <c r="G8" s="342"/>
      <c r="H8" s="342"/>
      <c r="I8" s="342"/>
      <c r="J8" s="406">
        <f t="shared" ref="J8:J74" si="3">H8-F8</f>
        <v>0</v>
      </c>
      <c r="K8" s="417" t="e">
        <f t="shared" ref="K8:K72" si="4">I8/G8</f>
        <v>#DIV/0!</v>
      </c>
      <c r="L8" s="417">
        <f t="shared" ref="L8:L72" si="5">I8-H8</f>
        <v>0</v>
      </c>
    </row>
    <row r="9" spans="1:12" ht="14.25" hidden="1" customHeight="1">
      <c r="A9" s="337"/>
      <c r="B9" s="337"/>
      <c r="C9" s="337" t="s">
        <v>292</v>
      </c>
      <c r="D9" s="334"/>
      <c r="E9" s="333"/>
      <c r="F9" s="334"/>
      <c r="G9" s="334"/>
      <c r="H9" s="334"/>
      <c r="I9" s="334"/>
      <c r="J9" s="406">
        <f t="shared" si="3"/>
        <v>0</v>
      </c>
      <c r="K9" s="417" t="e">
        <f t="shared" si="4"/>
        <v>#DIV/0!</v>
      </c>
      <c r="L9" s="417">
        <f t="shared" si="5"/>
        <v>0</v>
      </c>
    </row>
    <row r="10" spans="1:12" ht="14.25" hidden="1" customHeight="1">
      <c r="A10" s="337"/>
      <c r="B10" s="337"/>
      <c r="C10" s="408" t="s">
        <v>516</v>
      </c>
      <c r="D10" s="334"/>
      <c r="E10" s="333"/>
      <c r="F10" s="334"/>
      <c r="G10" s="334"/>
      <c r="H10" s="334"/>
      <c r="I10" s="334"/>
      <c r="J10" s="406">
        <f t="shared" si="3"/>
        <v>0</v>
      </c>
      <c r="K10" s="417" t="e">
        <f t="shared" si="4"/>
        <v>#DIV/0!</v>
      </c>
      <c r="L10" s="417">
        <f t="shared" si="5"/>
        <v>0</v>
      </c>
    </row>
    <row r="11" spans="1:12" ht="14.25" hidden="1" customHeight="1">
      <c r="A11" s="337"/>
      <c r="B11" s="337"/>
      <c r="C11" s="408" t="s">
        <v>293</v>
      </c>
      <c r="D11" s="334"/>
      <c r="E11" s="333"/>
      <c r="F11" s="334"/>
      <c r="G11" s="334"/>
      <c r="H11" s="334"/>
      <c r="I11" s="334"/>
      <c r="J11" s="406">
        <f t="shared" si="3"/>
        <v>0</v>
      </c>
      <c r="K11" s="417" t="e">
        <f t="shared" si="4"/>
        <v>#DIV/0!</v>
      </c>
      <c r="L11" s="417">
        <f t="shared" si="5"/>
        <v>0</v>
      </c>
    </row>
    <row r="12" spans="1:12" ht="14.25" hidden="1" customHeight="1">
      <c r="A12" s="337"/>
      <c r="B12" s="337"/>
      <c r="C12" s="408" t="s">
        <v>562</v>
      </c>
      <c r="D12" s="334"/>
      <c r="E12" s="333"/>
      <c r="F12" s="334"/>
      <c r="G12" s="334"/>
      <c r="H12" s="334"/>
      <c r="I12" s="334"/>
      <c r="J12" s="406">
        <f t="shared" si="3"/>
        <v>0</v>
      </c>
      <c r="K12" s="417" t="e">
        <f t="shared" si="4"/>
        <v>#DIV/0!</v>
      </c>
      <c r="L12" s="417">
        <f t="shared" si="5"/>
        <v>0</v>
      </c>
    </row>
    <row r="13" spans="1:12" ht="14.25" customHeight="1">
      <c r="A13" s="337"/>
      <c r="B13" s="337"/>
      <c r="C13" s="408" t="s">
        <v>718</v>
      </c>
      <c r="D13" s="334"/>
      <c r="E13" s="333"/>
      <c r="F13" s="334"/>
      <c r="G13" s="334"/>
      <c r="H13" s="334">
        <v>0.73736000000000002</v>
      </c>
      <c r="I13" s="334"/>
      <c r="J13" s="406">
        <f t="shared" si="3"/>
        <v>0.73736000000000002</v>
      </c>
      <c r="K13" s="417">
        <v>0</v>
      </c>
      <c r="L13" s="417">
        <f t="shared" si="5"/>
        <v>-0.73736000000000002</v>
      </c>
    </row>
    <row r="14" spans="1:12" ht="14.25" hidden="1" customHeight="1">
      <c r="A14" s="337"/>
      <c r="B14" s="337"/>
      <c r="C14" s="408" t="s">
        <v>518</v>
      </c>
      <c r="D14" s="334"/>
      <c r="E14" s="333"/>
      <c r="F14" s="334"/>
      <c r="G14" s="334"/>
      <c r="H14" s="334"/>
      <c r="I14" s="334"/>
      <c r="J14" s="406">
        <f t="shared" si="3"/>
        <v>0</v>
      </c>
      <c r="K14" s="407" t="e">
        <f t="shared" si="4"/>
        <v>#DIV/0!</v>
      </c>
      <c r="L14" s="407">
        <f t="shared" si="5"/>
        <v>0</v>
      </c>
    </row>
    <row r="15" spans="1:12" ht="14.25" hidden="1" customHeight="1">
      <c r="A15" s="337"/>
      <c r="B15" s="337"/>
      <c r="C15" s="409" t="s">
        <v>703</v>
      </c>
      <c r="D15" s="334"/>
      <c r="E15" s="333"/>
      <c r="F15" s="334"/>
      <c r="G15" s="334"/>
      <c r="H15" s="334"/>
      <c r="I15" s="334"/>
      <c r="J15" s="406">
        <f t="shared" si="3"/>
        <v>0</v>
      </c>
      <c r="K15" s="407" t="e">
        <f t="shared" si="4"/>
        <v>#DIV/0!</v>
      </c>
      <c r="L15" s="407">
        <f t="shared" si="5"/>
        <v>0</v>
      </c>
    </row>
    <row r="16" spans="1:12" ht="14.25" hidden="1" customHeight="1">
      <c r="A16" s="337"/>
      <c r="B16" s="337"/>
      <c r="C16" s="408" t="s">
        <v>294</v>
      </c>
      <c r="D16" s="334"/>
      <c r="E16" s="333"/>
      <c r="F16" s="334"/>
      <c r="G16" s="334"/>
      <c r="H16" s="334"/>
      <c r="I16" s="334"/>
      <c r="J16" s="406">
        <f t="shared" si="3"/>
        <v>0</v>
      </c>
      <c r="K16" s="407" t="e">
        <f t="shared" si="4"/>
        <v>#DIV/0!</v>
      </c>
      <c r="L16" s="407">
        <f t="shared" si="5"/>
        <v>0</v>
      </c>
    </row>
    <row r="17" spans="1:17" ht="14.25" hidden="1" customHeight="1">
      <c r="A17" s="337"/>
      <c r="B17" s="337"/>
      <c r="C17" s="408" t="s">
        <v>295</v>
      </c>
      <c r="D17" s="334"/>
      <c r="E17" s="333"/>
      <c r="F17" s="334"/>
      <c r="G17" s="334"/>
      <c r="H17" s="334"/>
      <c r="I17" s="334"/>
      <c r="J17" s="406">
        <f t="shared" si="3"/>
        <v>0</v>
      </c>
      <c r="K17" s="407" t="e">
        <f t="shared" si="4"/>
        <v>#DIV/0!</v>
      </c>
      <c r="L17" s="407">
        <f t="shared" si="5"/>
        <v>0</v>
      </c>
    </row>
    <row r="18" spans="1:17" ht="14.25" hidden="1" customHeight="1">
      <c r="A18" s="337"/>
      <c r="B18" s="337"/>
      <c r="C18" s="408" t="s">
        <v>296</v>
      </c>
      <c r="D18" s="334"/>
      <c r="E18" s="333"/>
      <c r="F18" s="334"/>
      <c r="G18" s="334"/>
      <c r="H18" s="334"/>
      <c r="I18" s="334"/>
      <c r="J18" s="406">
        <f t="shared" si="3"/>
        <v>0</v>
      </c>
      <c r="K18" s="407" t="e">
        <f t="shared" si="4"/>
        <v>#DIV/0!</v>
      </c>
      <c r="L18" s="407">
        <f t="shared" si="5"/>
        <v>0</v>
      </c>
    </row>
    <row r="19" spans="1:17" ht="14.25" hidden="1" customHeight="1">
      <c r="A19" s="337"/>
      <c r="B19" s="337"/>
      <c r="C19" s="408" t="s">
        <v>519</v>
      </c>
      <c r="D19" s="341"/>
      <c r="E19" s="333"/>
      <c r="F19" s="341"/>
      <c r="G19" s="341"/>
      <c r="H19" s="341"/>
      <c r="I19" s="341"/>
      <c r="J19" s="406">
        <f t="shared" si="3"/>
        <v>0</v>
      </c>
      <c r="K19" s="407" t="e">
        <f t="shared" si="4"/>
        <v>#DIV/0!</v>
      </c>
      <c r="L19" s="407">
        <f t="shared" si="5"/>
        <v>0</v>
      </c>
    </row>
    <row r="20" spans="1:17" ht="14.25" customHeight="1">
      <c r="A20" s="403" t="s">
        <v>297</v>
      </c>
      <c r="B20" s="403"/>
      <c r="C20" s="404" t="s">
        <v>298</v>
      </c>
      <c r="D20" s="410">
        <f t="shared" ref="D20:I20" si="6">SUM(D21:D37)</f>
        <v>0.6</v>
      </c>
      <c r="E20" s="410">
        <f t="shared" si="6"/>
        <v>10.52</v>
      </c>
      <c r="F20" s="410">
        <f t="shared" ref="F20:G20" si="7">SUM(F21:F37)</f>
        <v>0</v>
      </c>
      <c r="G20" s="410">
        <f t="shared" si="7"/>
        <v>6.91</v>
      </c>
      <c r="H20" s="410">
        <f t="shared" si="6"/>
        <v>7.4</v>
      </c>
      <c r="I20" s="410">
        <f t="shared" si="6"/>
        <v>41.184449999999998</v>
      </c>
      <c r="J20" s="406">
        <f t="shared" si="3"/>
        <v>7.4</v>
      </c>
      <c r="K20" s="407">
        <f t="shared" si="4"/>
        <v>5.9601230101302454</v>
      </c>
      <c r="L20" s="407">
        <f t="shared" si="5"/>
        <v>33.78445</v>
      </c>
    </row>
    <row r="21" spans="1:17" ht="14.25" customHeight="1">
      <c r="A21" s="337"/>
      <c r="B21" s="421" t="s">
        <v>734</v>
      </c>
      <c r="C21" s="337" t="s">
        <v>299</v>
      </c>
      <c r="D21" s="334"/>
      <c r="E21" s="334"/>
      <c r="F21" s="334"/>
      <c r="G21" s="334"/>
      <c r="H21" s="334"/>
      <c r="I21" s="334">
        <v>3.9630100000000001</v>
      </c>
      <c r="J21" s="406">
        <f t="shared" si="3"/>
        <v>0</v>
      </c>
      <c r="K21" s="417">
        <v>0</v>
      </c>
      <c r="L21" s="417">
        <f t="shared" si="5"/>
        <v>3.9630100000000001</v>
      </c>
      <c r="Q21" s="421" t="s">
        <v>720</v>
      </c>
    </row>
    <row r="22" spans="1:17" ht="14.25" customHeight="1">
      <c r="A22" s="337"/>
      <c r="B22" s="337"/>
      <c r="C22" s="408" t="s">
        <v>300</v>
      </c>
      <c r="D22" s="334"/>
      <c r="E22" s="334"/>
      <c r="F22" s="334"/>
      <c r="G22" s="334">
        <v>4.6900000000000004</v>
      </c>
      <c r="H22" s="334"/>
      <c r="I22" s="334"/>
      <c r="J22" s="406">
        <f t="shared" si="3"/>
        <v>0</v>
      </c>
      <c r="K22" s="417">
        <f t="shared" si="4"/>
        <v>0</v>
      </c>
      <c r="L22" s="417">
        <f t="shared" si="5"/>
        <v>0</v>
      </c>
    </row>
    <row r="23" spans="1:17" ht="14.25" customHeight="1">
      <c r="A23" s="337"/>
      <c r="B23" s="337"/>
      <c r="C23" s="408" t="s">
        <v>563</v>
      </c>
      <c r="D23" s="334"/>
      <c r="E23" s="334"/>
      <c r="F23" s="334"/>
      <c r="G23" s="334">
        <v>2.2200000000000002</v>
      </c>
      <c r="H23" s="334"/>
      <c r="I23" s="334"/>
      <c r="J23" s="406">
        <f t="shared" si="3"/>
        <v>0</v>
      </c>
      <c r="K23" s="417">
        <f t="shared" si="4"/>
        <v>0</v>
      </c>
      <c r="L23" s="417">
        <f t="shared" si="5"/>
        <v>0</v>
      </c>
    </row>
    <row r="24" spans="1:17" ht="14.25" hidden="1" customHeight="1">
      <c r="A24" s="337"/>
      <c r="B24" s="337"/>
      <c r="C24" s="411" t="s">
        <v>301</v>
      </c>
      <c r="D24" s="334">
        <v>0</v>
      </c>
      <c r="E24" s="334">
        <v>10.52</v>
      </c>
      <c r="F24" s="334"/>
      <c r="G24" s="334"/>
      <c r="H24" s="334"/>
      <c r="I24" s="334"/>
      <c r="J24" s="406">
        <f t="shared" si="3"/>
        <v>0</v>
      </c>
      <c r="K24" s="417" t="e">
        <f t="shared" si="4"/>
        <v>#DIV/0!</v>
      </c>
      <c r="L24" s="417">
        <f t="shared" si="5"/>
        <v>0</v>
      </c>
    </row>
    <row r="25" spans="1:17" ht="14.25" customHeight="1">
      <c r="A25" s="337"/>
      <c r="B25" s="337"/>
      <c r="C25" s="337" t="s">
        <v>564</v>
      </c>
      <c r="D25" s="334"/>
      <c r="E25" s="334"/>
      <c r="F25" s="334"/>
      <c r="G25" s="334"/>
      <c r="H25" s="334"/>
      <c r="I25" s="334">
        <v>0.35686000000000001</v>
      </c>
      <c r="J25" s="406">
        <f t="shared" si="3"/>
        <v>0</v>
      </c>
      <c r="K25" s="417">
        <v>0</v>
      </c>
      <c r="L25" s="417">
        <f t="shared" si="5"/>
        <v>0.35686000000000001</v>
      </c>
    </row>
    <row r="26" spans="1:17" ht="14.25" customHeight="1">
      <c r="A26" s="337"/>
      <c r="B26" s="421" t="s">
        <v>737</v>
      </c>
      <c r="C26" s="408" t="s">
        <v>520</v>
      </c>
      <c r="D26" s="334"/>
      <c r="E26" s="334"/>
      <c r="F26" s="334"/>
      <c r="G26" s="334"/>
      <c r="H26" s="334"/>
      <c r="I26" s="334">
        <v>36.864579999999997</v>
      </c>
      <c r="J26" s="406">
        <f t="shared" si="3"/>
        <v>0</v>
      </c>
      <c r="K26" s="417">
        <v>0</v>
      </c>
      <c r="L26" s="417">
        <f t="shared" si="5"/>
        <v>36.864579999999997</v>
      </c>
    </row>
    <row r="27" spans="1:17" ht="14.25" customHeight="1">
      <c r="A27" s="337"/>
      <c r="B27" s="337"/>
      <c r="C27" s="337" t="s">
        <v>597</v>
      </c>
      <c r="D27" s="334"/>
      <c r="E27" s="334"/>
      <c r="F27" s="334"/>
      <c r="G27" s="334"/>
      <c r="H27" s="334"/>
      <c r="I27" s="334"/>
      <c r="J27" s="406">
        <f t="shared" si="3"/>
        <v>0</v>
      </c>
      <c r="K27" s="417">
        <v>0</v>
      </c>
      <c r="L27" s="417">
        <f t="shared" si="5"/>
        <v>0</v>
      </c>
    </row>
    <row r="28" spans="1:17" ht="14.25" customHeight="1">
      <c r="A28" s="337"/>
      <c r="B28" s="337"/>
      <c r="C28" s="408" t="s">
        <v>521</v>
      </c>
      <c r="D28" s="334"/>
      <c r="E28" s="334"/>
      <c r="F28" s="334"/>
      <c r="G28" s="334"/>
      <c r="H28" s="334">
        <v>7.4</v>
      </c>
      <c r="I28" s="334"/>
      <c r="J28" s="406">
        <f t="shared" si="3"/>
        <v>7.4</v>
      </c>
      <c r="K28" s="417">
        <v>0</v>
      </c>
      <c r="L28" s="417">
        <f t="shared" si="5"/>
        <v>-7.4</v>
      </c>
    </row>
    <row r="29" spans="1:17" ht="14.25" hidden="1" customHeight="1">
      <c r="A29" s="337"/>
      <c r="B29" s="337"/>
      <c r="C29" s="408" t="s">
        <v>565</v>
      </c>
      <c r="D29" s="334"/>
      <c r="E29" s="334"/>
      <c r="F29" s="334"/>
      <c r="G29" s="334"/>
      <c r="H29" s="334"/>
      <c r="I29" s="334"/>
      <c r="J29" s="406">
        <f t="shared" si="3"/>
        <v>0</v>
      </c>
      <c r="K29" s="417" t="e">
        <f t="shared" si="4"/>
        <v>#DIV/0!</v>
      </c>
      <c r="L29" s="417">
        <f t="shared" si="5"/>
        <v>0</v>
      </c>
    </row>
    <row r="30" spans="1:17" ht="14.25" hidden="1" customHeight="1">
      <c r="A30" s="337"/>
      <c r="B30" s="337"/>
      <c r="C30" s="408" t="s">
        <v>302</v>
      </c>
      <c r="D30" s="334"/>
      <c r="E30" s="334"/>
      <c r="F30" s="334"/>
      <c r="G30" s="334"/>
      <c r="H30" s="334"/>
      <c r="I30" s="334"/>
      <c r="J30" s="406">
        <f t="shared" si="3"/>
        <v>0</v>
      </c>
      <c r="K30" s="417" t="e">
        <f t="shared" si="4"/>
        <v>#DIV/0!</v>
      </c>
      <c r="L30" s="417">
        <f t="shared" si="5"/>
        <v>0</v>
      </c>
    </row>
    <row r="31" spans="1:17" ht="14.25" hidden="1" customHeight="1">
      <c r="A31" s="337"/>
      <c r="B31" s="337"/>
      <c r="C31" s="408" t="s">
        <v>303</v>
      </c>
      <c r="D31" s="334"/>
      <c r="E31" s="334"/>
      <c r="F31" s="334"/>
      <c r="G31" s="334"/>
      <c r="H31" s="334"/>
      <c r="I31" s="334"/>
      <c r="J31" s="406">
        <f t="shared" si="3"/>
        <v>0</v>
      </c>
      <c r="K31" s="417" t="e">
        <f t="shared" si="4"/>
        <v>#DIV/0!</v>
      </c>
      <c r="L31" s="417">
        <f t="shared" si="5"/>
        <v>0</v>
      </c>
    </row>
    <row r="32" spans="1:17" ht="14.25" hidden="1" customHeight="1">
      <c r="A32" s="337"/>
      <c r="B32" s="337"/>
      <c r="C32" s="408" t="s">
        <v>304</v>
      </c>
      <c r="D32" s="334"/>
      <c r="E32" s="334"/>
      <c r="F32" s="334"/>
      <c r="G32" s="334"/>
      <c r="H32" s="334"/>
      <c r="I32" s="334"/>
      <c r="J32" s="406">
        <f t="shared" si="3"/>
        <v>0</v>
      </c>
      <c r="K32" s="417" t="e">
        <f t="shared" si="4"/>
        <v>#DIV/0!</v>
      </c>
      <c r="L32" s="417">
        <f t="shared" si="5"/>
        <v>0</v>
      </c>
    </row>
    <row r="33" spans="1:12" ht="14.25" hidden="1" customHeight="1">
      <c r="A33" s="337"/>
      <c r="B33" s="337"/>
      <c r="C33" s="408" t="s">
        <v>305</v>
      </c>
      <c r="D33" s="334"/>
      <c r="E33" s="334"/>
      <c r="F33" s="334"/>
      <c r="G33" s="334"/>
      <c r="H33" s="334"/>
      <c r="I33" s="334"/>
      <c r="J33" s="406">
        <f t="shared" si="3"/>
        <v>0</v>
      </c>
      <c r="K33" s="417" t="e">
        <f t="shared" si="4"/>
        <v>#DIV/0!</v>
      </c>
      <c r="L33" s="417">
        <f t="shared" si="5"/>
        <v>0</v>
      </c>
    </row>
    <row r="34" spans="1:12" ht="14.25" hidden="1" customHeight="1">
      <c r="A34" s="337"/>
      <c r="B34" s="337"/>
      <c r="C34" s="408" t="s">
        <v>566</v>
      </c>
      <c r="D34" s="334"/>
      <c r="E34" s="334"/>
      <c r="F34" s="334"/>
      <c r="G34" s="334"/>
      <c r="H34" s="334"/>
      <c r="I34" s="334"/>
      <c r="J34" s="406">
        <f t="shared" si="3"/>
        <v>0</v>
      </c>
      <c r="K34" s="417" t="e">
        <f t="shared" si="4"/>
        <v>#DIV/0!</v>
      </c>
      <c r="L34" s="417">
        <f t="shared" si="5"/>
        <v>0</v>
      </c>
    </row>
    <row r="35" spans="1:12" ht="14.25" hidden="1" customHeight="1">
      <c r="A35" s="337"/>
      <c r="B35" s="337"/>
      <c r="C35" s="337" t="s">
        <v>522</v>
      </c>
      <c r="D35" s="334"/>
      <c r="E35" s="334"/>
      <c r="F35" s="334"/>
      <c r="G35" s="334"/>
      <c r="H35" s="334"/>
      <c r="I35" s="334"/>
      <c r="J35" s="406">
        <f t="shared" si="3"/>
        <v>0</v>
      </c>
      <c r="K35" s="407" t="e">
        <f t="shared" si="4"/>
        <v>#DIV/0!</v>
      </c>
      <c r="L35" s="407">
        <f t="shared" si="5"/>
        <v>0</v>
      </c>
    </row>
    <row r="36" spans="1:12" ht="14.25" hidden="1" customHeight="1">
      <c r="A36" s="337"/>
      <c r="B36" s="337"/>
      <c r="C36" s="337" t="s">
        <v>306</v>
      </c>
      <c r="D36" s="334"/>
      <c r="E36" s="334"/>
      <c r="F36" s="334"/>
      <c r="G36" s="334"/>
      <c r="H36" s="334"/>
      <c r="I36" s="334"/>
      <c r="J36" s="406">
        <f t="shared" si="3"/>
        <v>0</v>
      </c>
      <c r="K36" s="407" t="e">
        <f t="shared" si="4"/>
        <v>#DIV/0!</v>
      </c>
      <c r="L36" s="407">
        <f t="shared" si="5"/>
        <v>0</v>
      </c>
    </row>
    <row r="37" spans="1:12" ht="14.25" hidden="1" customHeight="1">
      <c r="A37" s="337"/>
      <c r="B37" s="337"/>
      <c r="C37" s="337" t="s">
        <v>523</v>
      </c>
      <c r="D37" s="341">
        <v>0.6</v>
      </c>
      <c r="E37" s="334"/>
      <c r="F37" s="341"/>
      <c r="G37" s="341"/>
      <c r="H37" s="341"/>
      <c r="I37" s="341"/>
      <c r="J37" s="406">
        <f t="shared" si="3"/>
        <v>0</v>
      </c>
      <c r="K37" s="407" t="e">
        <f t="shared" si="4"/>
        <v>#DIV/0!</v>
      </c>
      <c r="L37" s="407">
        <f t="shared" si="5"/>
        <v>0</v>
      </c>
    </row>
    <row r="38" spans="1:12" ht="14.25" customHeight="1">
      <c r="A38" s="403" t="s">
        <v>307</v>
      </c>
      <c r="B38" s="403"/>
      <c r="C38" s="404" t="s">
        <v>308</v>
      </c>
      <c r="D38" s="410">
        <f>SUM(D40:D76)</f>
        <v>34.4</v>
      </c>
      <c r="E38" s="410">
        <f>SUM(E40:E76)</f>
        <v>79.360000000000014</v>
      </c>
      <c r="F38" s="410">
        <f t="shared" ref="F38:I38" si="8">SUM(F40:F76)</f>
        <v>147.92000000000002</v>
      </c>
      <c r="G38" s="410">
        <f t="shared" si="8"/>
        <v>171.31</v>
      </c>
      <c r="H38" s="410">
        <f t="shared" si="8"/>
        <v>468.5</v>
      </c>
      <c r="I38" s="410">
        <f t="shared" si="8"/>
        <v>91.502389999999991</v>
      </c>
      <c r="J38" s="406">
        <f t="shared" si="3"/>
        <v>320.58</v>
      </c>
      <c r="K38" s="407">
        <f t="shared" si="4"/>
        <v>0.53413338392388066</v>
      </c>
      <c r="L38" s="407">
        <f t="shared" si="5"/>
        <v>-376.99761000000001</v>
      </c>
    </row>
    <row r="39" spans="1:12" ht="14.25" customHeight="1">
      <c r="A39" s="403"/>
      <c r="B39" s="403"/>
      <c r="C39" s="404" t="s">
        <v>309</v>
      </c>
      <c r="D39" s="412">
        <f t="shared" ref="D39:E39" si="9">SUM(D40:D62)</f>
        <v>0</v>
      </c>
      <c r="E39" s="410">
        <f t="shared" si="9"/>
        <v>3.09</v>
      </c>
      <c r="F39" s="410">
        <f t="shared" ref="F39:I39" si="10">SUM(F40:F62)</f>
        <v>7.98</v>
      </c>
      <c r="G39" s="410">
        <f t="shared" si="10"/>
        <v>3.18</v>
      </c>
      <c r="H39" s="410">
        <f t="shared" si="10"/>
        <v>0</v>
      </c>
      <c r="I39" s="410">
        <f t="shared" si="10"/>
        <v>6.5895099999999998</v>
      </c>
      <c r="J39" s="406">
        <f t="shared" si="3"/>
        <v>-7.98</v>
      </c>
      <c r="K39" s="407">
        <f t="shared" si="4"/>
        <v>2.0721729559748425</v>
      </c>
      <c r="L39" s="407">
        <f t="shared" si="5"/>
        <v>6.5895099999999998</v>
      </c>
    </row>
    <row r="40" spans="1:12" ht="14.25" customHeight="1">
      <c r="A40" s="337"/>
      <c r="B40" s="337"/>
      <c r="C40" s="408" t="s">
        <v>310</v>
      </c>
      <c r="D40" s="413"/>
      <c r="E40" s="334">
        <v>1.46</v>
      </c>
      <c r="F40" s="413">
        <v>0</v>
      </c>
      <c r="G40" s="413">
        <v>0.2</v>
      </c>
      <c r="H40" s="413">
        <v>0</v>
      </c>
      <c r="I40" s="413">
        <v>0</v>
      </c>
      <c r="J40" s="406">
        <f t="shared" si="3"/>
        <v>0</v>
      </c>
      <c r="K40" s="417">
        <f t="shared" si="4"/>
        <v>0</v>
      </c>
      <c r="L40" s="417">
        <f t="shared" si="5"/>
        <v>0</v>
      </c>
    </row>
    <row r="41" spans="1:12" ht="14.25" hidden="1" customHeight="1">
      <c r="A41" s="337"/>
      <c r="B41" s="337"/>
      <c r="C41" s="408" t="s">
        <v>311</v>
      </c>
      <c r="D41" s="413"/>
      <c r="E41" s="334"/>
      <c r="F41" s="413"/>
      <c r="G41" s="413"/>
      <c r="H41" s="413"/>
      <c r="I41" s="413"/>
      <c r="J41" s="406">
        <f t="shared" si="3"/>
        <v>0</v>
      </c>
      <c r="K41" s="417" t="e">
        <f t="shared" si="4"/>
        <v>#DIV/0!</v>
      </c>
      <c r="L41" s="417">
        <f t="shared" si="5"/>
        <v>0</v>
      </c>
    </row>
    <row r="42" spans="1:12" ht="14.25" hidden="1" customHeight="1">
      <c r="A42" s="337"/>
      <c r="B42" s="337"/>
      <c r="C42" s="408" t="s">
        <v>312</v>
      </c>
      <c r="D42" s="413"/>
      <c r="E42" s="334"/>
      <c r="F42" s="413"/>
      <c r="G42" s="413"/>
      <c r="H42" s="413"/>
      <c r="I42" s="413"/>
      <c r="J42" s="406">
        <f t="shared" si="3"/>
        <v>0</v>
      </c>
      <c r="K42" s="417" t="e">
        <f t="shared" si="4"/>
        <v>#DIV/0!</v>
      </c>
      <c r="L42" s="417">
        <f t="shared" si="5"/>
        <v>0</v>
      </c>
    </row>
    <row r="43" spans="1:12" ht="14.25" hidden="1" customHeight="1">
      <c r="A43" s="337"/>
      <c r="B43" s="337"/>
      <c r="C43" s="337" t="s">
        <v>313</v>
      </c>
      <c r="D43" s="413"/>
      <c r="E43" s="334"/>
      <c r="F43" s="413"/>
      <c r="G43" s="413"/>
      <c r="H43" s="413"/>
      <c r="I43" s="413"/>
      <c r="J43" s="406">
        <f t="shared" si="3"/>
        <v>0</v>
      </c>
      <c r="K43" s="417" t="e">
        <f t="shared" si="4"/>
        <v>#DIV/0!</v>
      </c>
      <c r="L43" s="417">
        <f t="shared" si="5"/>
        <v>0</v>
      </c>
    </row>
    <row r="44" spans="1:12" ht="14.25" hidden="1" customHeight="1">
      <c r="A44" s="337"/>
      <c r="B44" s="337"/>
      <c r="C44" s="337" t="s">
        <v>314</v>
      </c>
      <c r="D44" s="413"/>
      <c r="E44" s="334"/>
      <c r="F44" s="413"/>
      <c r="G44" s="413"/>
      <c r="H44" s="413"/>
      <c r="I44" s="413"/>
      <c r="J44" s="406">
        <f t="shared" si="3"/>
        <v>0</v>
      </c>
      <c r="K44" s="417" t="e">
        <f t="shared" si="4"/>
        <v>#DIV/0!</v>
      </c>
      <c r="L44" s="417">
        <f t="shared" si="5"/>
        <v>0</v>
      </c>
    </row>
    <row r="45" spans="1:12" ht="14.25" hidden="1" customHeight="1">
      <c r="A45" s="337"/>
      <c r="B45" s="337"/>
      <c r="C45" s="337" t="s">
        <v>315</v>
      </c>
      <c r="D45" s="413"/>
      <c r="E45" s="334"/>
      <c r="F45" s="413"/>
      <c r="G45" s="413"/>
      <c r="H45" s="413"/>
      <c r="I45" s="413"/>
      <c r="J45" s="406">
        <f t="shared" si="3"/>
        <v>0</v>
      </c>
      <c r="K45" s="417" t="e">
        <f t="shared" si="4"/>
        <v>#DIV/0!</v>
      </c>
      <c r="L45" s="417">
        <f t="shared" si="5"/>
        <v>0</v>
      </c>
    </row>
    <row r="46" spans="1:12" ht="14.25" customHeight="1">
      <c r="A46" s="337"/>
      <c r="B46" s="337"/>
      <c r="C46" s="337" t="s">
        <v>316</v>
      </c>
      <c r="D46" s="413"/>
      <c r="E46" s="334"/>
      <c r="F46" s="413">
        <v>5.7</v>
      </c>
      <c r="G46" s="413"/>
      <c r="H46" s="413">
        <v>0</v>
      </c>
      <c r="I46" s="413">
        <v>0</v>
      </c>
      <c r="J46" s="406">
        <f t="shared" si="3"/>
        <v>-5.7</v>
      </c>
      <c r="K46" s="417">
        <v>0</v>
      </c>
      <c r="L46" s="417">
        <f t="shared" si="5"/>
        <v>0</v>
      </c>
    </row>
    <row r="47" spans="1:12" ht="14.25" customHeight="1">
      <c r="A47" s="337"/>
      <c r="B47" s="421" t="s">
        <v>724</v>
      </c>
      <c r="C47" s="337" t="s">
        <v>317</v>
      </c>
      <c r="D47" s="413"/>
      <c r="E47" s="334"/>
      <c r="F47" s="413">
        <v>0</v>
      </c>
      <c r="G47" s="413">
        <v>0</v>
      </c>
      <c r="H47" s="413">
        <v>0</v>
      </c>
      <c r="I47" s="413">
        <v>5.36259</v>
      </c>
      <c r="J47" s="406">
        <f t="shared" si="3"/>
        <v>0</v>
      </c>
      <c r="K47" s="417">
        <v>0</v>
      </c>
      <c r="L47" s="417">
        <f t="shared" si="5"/>
        <v>5.36259</v>
      </c>
    </row>
    <row r="48" spans="1:12" ht="14.25" hidden="1" customHeight="1">
      <c r="A48" s="337"/>
      <c r="B48" s="337"/>
      <c r="C48" s="337" t="s">
        <v>318</v>
      </c>
      <c r="D48" s="413"/>
      <c r="E48" s="334"/>
      <c r="F48" s="413"/>
      <c r="G48" s="413"/>
      <c r="H48" s="413"/>
      <c r="I48" s="413"/>
      <c r="J48" s="406">
        <f t="shared" si="3"/>
        <v>0</v>
      </c>
      <c r="K48" s="417" t="e">
        <f t="shared" si="4"/>
        <v>#DIV/0!</v>
      </c>
      <c r="L48" s="417">
        <f t="shared" si="5"/>
        <v>0</v>
      </c>
    </row>
    <row r="49" spans="1:12" ht="14.25" customHeight="1">
      <c r="A49" s="337"/>
      <c r="B49" s="337"/>
      <c r="C49" s="337" t="s">
        <v>319</v>
      </c>
      <c r="D49" s="413"/>
      <c r="E49" s="334"/>
      <c r="F49" s="413">
        <v>0.3</v>
      </c>
      <c r="G49" s="413">
        <v>2.98</v>
      </c>
      <c r="H49" s="413">
        <v>0</v>
      </c>
      <c r="I49" s="413">
        <v>0</v>
      </c>
      <c r="J49" s="406">
        <f t="shared" si="3"/>
        <v>-0.3</v>
      </c>
      <c r="K49" s="417">
        <f t="shared" si="4"/>
        <v>0</v>
      </c>
      <c r="L49" s="417">
        <f t="shared" si="5"/>
        <v>0</v>
      </c>
    </row>
    <row r="50" spans="1:12" ht="14.25" hidden="1" customHeight="1">
      <c r="A50" s="337"/>
      <c r="B50" s="337"/>
      <c r="C50" s="337" t="s">
        <v>320</v>
      </c>
      <c r="D50" s="413"/>
      <c r="E50" s="334"/>
      <c r="F50" s="413"/>
      <c r="G50" s="413"/>
      <c r="H50" s="413"/>
      <c r="I50" s="413"/>
      <c r="J50" s="406">
        <f t="shared" si="3"/>
        <v>0</v>
      </c>
      <c r="K50" s="417" t="e">
        <f t="shared" si="4"/>
        <v>#DIV/0!</v>
      </c>
      <c r="L50" s="417">
        <f t="shared" si="5"/>
        <v>0</v>
      </c>
    </row>
    <row r="51" spans="1:12" ht="14.25" hidden="1" customHeight="1">
      <c r="A51" s="337"/>
      <c r="B51" s="337"/>
      <c r="C51" s="414" t="s">
        <v>321</v>
      </c>
      <c r="D51" s="413"/>
      <c r="E51" s="334"/>
      <c r="F51" s="413"/>
      <c r="G51" s="413"/>
      <c r="H51" s="413"/>
      <c r="I51" s="413"/>
      <c r="J51" s="406">
        <f t="shared" si="3"/>
        <v>0</v>
      </c>
      <c r="K51" s="417" t="e">
        <f t="shared" si="4"/>
        <v>#DIV/0!</v>
      </c>
      <c r="L51" s="417">
        <f t="shared" si="5"/>
        <v>0</v>
      </c>
    </row>
    <row r="52" spans="1:12" ht="14.25" hidden="1" customHeight="1">
      <c r="A52" s="337"/>
      <c r="B52" s="337"/>
      <c r="C52" s="337" t="s">
        <v>524</v>
      </c>
      <c r="D52" s="341"/>
      <c r="E52" s="334"/>
      <c r="F52" s="341"/>
      <c r="G52" s="341"/>
      <c r="H52" s="341"/>
      <c r="I52" s="341"/>
      <c r="J52" s="406">
        <f t="shared" si="3"/>
        <v>0</v>
      </c>
      <c r="K52" s="417" t="e">
        <f t="shared" si="4"/>
        <v>#DIV/0!</v>
      </c>
      <c r="L52" s="417">
        <f t="shared" si="5"/>
        <v>0</v>
      </c>
    </row>
    <row r="53" spans="1:12" ht="14.25" customHeight="1">
      <c r="A53" s="337"/>
      <c r="B53" s="337"/>
      <c r="C53" s="337" t="s">
        <v>322</v>
      </c>
      <c r="D53" s="413"/>
      <c r="E53" s="334"/>
      <c r="F53" s="413">
        <v>1.98</v>
      </c>
      <c r="G53" s="413">
        <v>0</v>
      </c>
      <c r="H53" s="413">
        <v>0</v>
      </c>
      <c r="I53" s="413">
        <v>0</v>
      </c>
      <c r="J53" s="406">
        <f t="shared" si="3"/>
        <v>-1.98</v>
      </c>
      <c r="K53" s="417">
        <v>0</v>
      </c>
      <c r="L53" s="417">
        <f t="shared" si="5"/>
        <v>0</v>
      </c>
    </row>
    <row r="54" spans="1:12" ht="14.25" customHeight="1">
      <c r="A54" s="337"/>
      <c r="B54" s="337"/>
      <c r="C54" s="337" t="s">
        <v>664</v>
      </c>
      <c r="D54" s="413"/>
      <c r="E54" s="334"/>
      <c r="F54" s="413">
        <v>0</v>
      </c>
      <c r="G54" s="413">
        <v>0</v>
      </c>
      <c r="H54" s="413">
        <v>0</v>
      </c>
      <c r="I54" s="413">
        <v>1.22692</v>
      </c>
      <c r="J54" s="406"/>
      <c r="K54" s="417">
        <v>0</v>
      </c>
      <c r="L54" s="417">
        <f t="shared" si="5"/>
        <v>1.22692</v>
      </c>
    </row>
    <row r="55" spans="1:12" ht="14.25" hidden="1" customHeight="1">
      <c r="A55" s="337"/>
      <c r="B55" s="337"/>
      <c r="C55" s="337" t="s">
        <v>323</v>
      </c>
      <c r="D55" s="413"/>
      <c r="E55" s="334"/>
      <c r="F55" s="413"/>
      <c r="G55" s="413"/>
      <c r="H55" s="413"/>
      <c r="I55" s="413"/>
      <c r="J55" s="406">
        <f t="shared" si="3"/>
        <v>0</v>
      </c>
      <c r="K55" s="417" t="e">
        <f t="shared" si="4"/>
        <v>#DIV/0!</v>
      </c>
      <c r="L55" s="417">
        <f t="shared" si="5"/>
        <v>0</v>
      </c>
    </row>
    <row r="56" spans="1:12" ht="14.25" hidden="1" customHeight="1">
      <c r="A56" s="337"/>
      <c r="B56" s="337"/>
      <c r="C56" s="337" t="s">
        <v>704</v>
      </c>
      <c r="D56" s="413"/>
      <c r="E56" s="334"/>
      <c r="F56" s="413"/>
      <c r="G56" s="413"/>
      <c r="H56" s="413"/>
      <c r="I56" s="413"/>
      <c r="J56" s="406">
        <f t="shared" si="3"/>
        <v>0</v>
      </c>
      <c r="K56" s="417" t="e">
        <f t="shared" si="4"/>
        <v>#DIV/0!</v>
      </c>
      <c r="L56" s="417">
        <f t="shared" si="5"/>
        <v>0</v>
      </c>
    </row>
    <row r="57" spans="1:12" ht="14.25" hidden="1" customHeight="1">
      <c r="A57" s="337"/>
      <c r="B57" s="337"/>
      <c r="C57" s="337" t="s">
        <v>705</v>
      </c>
      <c r="D57" s="413"/>
      <c r="E57" s="334"/>
      <c r="F57" s="413"/>
      <c r="G57" s="413"/>
      <c r="H57" s="413"/>
      <c r="I57" s="413"/>
      <c r="J57" s="406">
        <f t="shared" si="3"/>
        <v>0</v>
      </c>
      <c r="K57" s="417" t="e">
        <f t="shared" si="4"/>
        <v>#DIV/0!</v>
      </c>
      <c r="L57" s="417">
        <f t="shared" si="5"/>
        <v>0</v>
      </c>
    </row>
    <row r="58" spans="1:12" ht="14.25" hidden="1" customHeight="1">
      <c r="A58" s="337"/>
      <c r="B58" s="337"/>
      <c r="C58" s="414" t="s">
        <v>324</v>
      </c>
      <c r="D58" s="413"/>
      <c r="E58" s="334"/>
      <c r="F58" s="413"/>
      <c r="G58" s="413"/>
      <c r="H58" s="413"/>
      <c r="I58" s="413"/>
      <c r="J58" s="406">
        <f t="shared" si="3"/>
        <v>0</v>
      </c>
      <c r="K58" s="417" t="e">
        <f t="shared" si="4"/>
        <v>#DIV/0!</v>
      </c>
      <c r="L58" s="417">
        <f t="shared" si="5"/>
        <v>0</v>
      </c>
    </row>
    <row r="59" spans="1:12" ht="14.25" hidden="1" customHeight="1">
      <c r="A59" s="337"/>
      <c r="B59" s="337"/>
      <c r="C59" s="337" t="s">
        <v>325</v>
      </c>
      <c r="D59" s="413"/>
      <c r="E59" s="334">
        <v>1.63</v>
      </c>
      <c r="F59" s="413"/>
      <c r="G59" s="413"/>
      <c r="H59" s="413"/>
      <c r="I59" s="413"/>
      <c r="J59" s="406">
        <f t="shared" si="3"/>
        <v>0</v>
      </c>
      <c r="K59" s="417" t="e">
        <f t="shared" si="4"/>
        <v>#DIV/0!</v>
      </c>
      <c r="L59" s="417">
        <f t="shared" si="5"/>
        <v>0</v>
      </c>
    </row>
    <row r="60" spans="1:12" ht="14.25" hidden="1" customHeight="1">
      <c r="A60" s="337"/>
      <c r="B60" s="337"/>
      <c r="C60" s="337" t="s">
        <v>326</v>
      </c>
      <c r="D60" s="413"/>
      <c r="E60" s="334"/>
      <c r="F60" s="413"/>
      <c r="G60" s="413"/>
      <c r="H60" s="413"/>
      <c r="I60" s="413"/>
      <c r="J60" s="406">
        <f t="shared" si="3"/>
        <v>0</v>
      </c>
      <c r="K60" s="417" t="e">
        <f t="shared" si="4"/>
        <v>#DIV/0!</v>
      </c>
      <c r="L60" s="417">
        <f t="shared" si="5"/>
        <v>0</v>
      </c>
    </row>
    <row r="61" spans="1:12" ht="14.25" hidden="1" customHeight="1">
      <c r="A61" s="337"/>
      <c r="B61" s="337"/>
      <c r="C61" s="414" t="s">
        <v>327</v>
      </c>
      <c r="D61" s="413"/>
      <c r="E61" s="334"/>
      <c r="F61" s="413"/>
      <c r="G61" s="413"/>
      <c r="H61" s="413"/>
      <c r="I61" s="413"/>
      <c r="J61" s="406">
        <f t="shared" si="3"/>
        <v>0</v>
      </c>
      <c r="K61" s="417" t="e">
        <f t="shared" si="4"/>
        <v>#DIV/0!</v>
      </c>
      <c r="L61" s="417">
        <f t="shared" si="5"/>
        <v>0</v>
      </c>
    </row>
    <row r="62" spans="1:12" ht="14.25" hidden="1" customHeight="1">
      <c r="A62" s="337"/>
      <c r="B62" s="337"/>
      <c r="C62" s="337" t="s">
        <v>72</v>
      </c>
      <c r="D62" s="413"/>
      <c r="E62" s="334"/>
      <c r="F62" s="413"/>
      <c r="G62" s="413"/>
      <c r="H62" s="413"/>
      <c r="I62" s="413"/>
      <c r="J62" s="406">
        <f t="shared" si="3"/>
        <v>0</v>
      </c>
      <c r="K62" s="417" t="e">
        <f t="shared" si="4"/>
        <v>#DIV/0!</v>
      </c>
      <c r="L62" s="417">
        <f t="shared" si="5"/>
        <v>0</v>
      </c>
    </row>
    <row r="63" spans="1:12" ht="14.25" customHeight="1">
      <c r="A63" s="337"/>
      <c r="B63" s="337"/>
      <c r="C63" s="337" t="s">
        <v>567</v>
      </c>
      <c r="D63" s="334"/>
      <c r="E63" s="334"/>
      <c r="F63" s="334">
        <v>9.43</v>
      </c>
      <c r="G63" s="334">
        <v>9.4</v>
      </c>
      <c r="H63" s="334">
        <v>45.6</v>
      </c>
      <c r="I63" s="334">
        <v>9.8070699999999995</v>
      </c>
      <c r="J63" s="406">
        <f t="shared" si="3"/>
        <v>36.17</v>
      </c>
      <c r="K63" s="417">
        <f t="shared" si="4"/>
        <v>1.0433053191489361</v>
      </c>
      <c r="L63" s="417">
        <f t="shared" si="5"/>
        <v>-35.792929999999998</v>
      </c>
    </row>
    <row r="64" spans="1:12" ht="14.25" customHeight="1">
      <c r="A64" s="337"/>
      <c r="B64" s="337"/>
      <c r="C64" s="337" t="s">
        <v>568</v>
      </c>
      <c r="D64" s="334"/>
      <c r="E64" s="334">
        <v>4.0599999999999996</v>
      </c>
      <c r="F64" s="334">
        <v>0</v>
      </c>
      <c r="G64" s="334">
        <v>19.11</v>
      </c>
      <c r="H64" s="334">
        <v>262.89999999999998</v>
      </c>
      <c r="I64" s="334">
        <v>0</v>
      </c>
      <c r="J64" s="406">
        <f t="shared" si="3"/>
        <v>262.89999999999998</v>
      </c>
      <c r="K64" s="417">
        <f t="shared" si="4"/>
        <v>0</v>
      </c>
      <c r="L64" s="417">
        <f t="shared" si="5"/>
        <v>-262.89999999999998</v>
      </c>
    </row>
    <row r="65" spans="1:12" ht="14.25" customHeight="1">
      <c r="A65" s="337"/>
      <c r="B65" s="337"/>
      <c r="C65" s="337" t="s">
        <v>569</v>
      </c>
      <c r="D65" s="334"/>
      <c r="E65" s="334"/>
      <c r="F65" s="334">
        <v>0</v>
      </c>
      <c r="G65" s="334">
        <v>0</v>
      </c>
      <c r="H65" s="334">
        <v>0</v>
      </c>
      <c r="I65" s="334">
        <v>0</v>
      </c>
      <c r="J65" s="406">
        <f t="shared" si="3"/>
        <v>0</v>
      </c>
      <c r="K65" s="417">
        <v>0</v>
      </c>
      <c r="L65" s="417">
        <f t="shared" si="5"/>
        <v>0</v>
      </c>
    </row>
    <row r="66" spans="1:12" ht="14.25" customHeight="1">
      <c r="A66" s="337"/>
      <c r="B66" s="421" t="s">
        <v>739</v>
      </c>
      <c r="C66" s="337" t="s">
        <v>570</v>
      </c>
      <c r="D66" s="334"/>
      <c r="E66" s="334">
        <v>9.86</v>
      </c>
      <c r="F66" s="334">
        <v>19.3</v>
      </c>
      <c r="G66" s="334">
        <v>18.62</v>
      </c>
      <c r="H66" s="334">
        <v>40</v>
      </c>
      <c r="I66" s="334">
        <v>21.711919999999999</v>
      </c>
      <c r="J66" s="406">
        <f t="shared" si="3"/>
        <v>20.7</v>
      </c>
      <c r="K66" s="417">
        <f t="shared" si="4"/>
        <v>1.1660537056928033</v>
      </c>
      <c r="L66" s="417">
        <f t="shared" si="5"/>
        <v>-18.288080000000001</v>
      </c>
    </row>
    <row r="67" spans="1:12" ht="14.25" customHeight="1">
      <c r="A67" s="337"/>
      <c r="B67" s="337"/>
      <c r="C67" s="337" t="s">
        <v>710</v>
      </c>
      <c r="D67" s="334"/>
      <c r="E67" s="334"/>
      <c r="F67" s="334"/>
      <c r="G67" s="334"/>
      <c r="H67" s="334">
        <v>1</v>
      </c>
      <c r="I67" s="334"/>
      <c r="J67" s="406"/>
      <c r="K67" s="417">
        <v>0</v>
      </c>
      <c r="L67" s="417">
        <f t="shared" si="5"/>
        <v>-1</v>
      </c>
    </row>
    <row r="68" spans="1:12" ht="14.25" customHeight="1">
      <c r="A68" s="337"/>
      <c r="B68" s="421" t="s">
        <v>731</v>
      </c>
      <c r="C68" s="337" t="s">
        <v>527</v>
      </c>
      <c r="D68" s="413"/>
      <c r="E68" s="334"/>
      <c r="F68" s="413">
        <v>23.4</v>
      </c>
      <c r="G68" s="413">
        <v>26.24</v>
      </c>
      <c r="H68" s="413">
        <v>22.8</v>
      </c>
      <c r="I68" s="413">
        <v>28.788139999999999</v>
      </c>
      <c r="J68" s="406">
        <f t="shared" si="3"/>
        <v>-0.59999999999999787</v>
      </c>
      <c r="K68" s="417">
        <f t="shared" si="4"/>
        <v>1.097108993902439</v>
      </c>
      <c r="L68" s="417">
        <f t="shared" si="5"/>
        <v>5.9881399999999978</v>
      </c>
    </row>
    <row r="69" spans="1:12" ht="14.25" customHeight="1">
      <c r="A69" s="337"/>
      <c r="B69" s="421" t="s">
        <v>725</v>
      </c>
      <c r="C69" s="408" t="s">
        <v>571</v>
      </c>
      <c r="D69" s="334"/>
      <c r="E69" s="334">
        <v>9.86</v>
      </c>
      <c r="F69" s="334">
        <v>5.73</v>
      </c>
      <c r="G69" s="334">
        <v>5.73</v>
      </c>
      <c r="H69" s="334">
        <v>42.9</v>
      </c>
      <c r="I69" s="334">
        <v>5.6600700000000002</v>
      </c>
      <c r="J69" s="406">
        <f t="shared" si="3"/>
        <v>37.17</v>
      </c>
      <c r="K69" s="417">
        <f t="shared" si="4"/>
        <v>0.98779581151832452</v>
      </c>
      <c r="L69" s="417">
        <f t="shared" si="5"/>
        <v>-37.239930000000001</v>
      </c>
    </row>
    <row r="70" spans="1:12" ht="14.25" customHeight="1">
      <c r="A70" s="337"/>
      <c r="B70" s="421" t="s">
        <v>726</v>
      </c>
      <c r="C70" s="408" t="s">
        <v>328</v>
      </c>
      <c r="D70" s="334">
        <v>3.7</v>
      </c>
      <c r="E70" s="334">
        <v>7.6</v>
      </c>
      <c r="F70" s="334">
        <v>30.93</v>
      </c>
      <c r="G70" s="334">
        <v>29.67</v>
      </c>
      <c r="H70" s="334">
        <v>14</v>
      </c>
      <c r="I70" s="334">
        <v>11.165139999999999</v>
      </c>
      <c r="J70" s="406">
        <f t="shared" si="3"/>
        <v>-16.93</v>
      </c>
      <c r="K70" s="417">
        <f t="shared" si="4"/>
        <v>0.37631075160094368</v>
      </c>
      <c r="L70" s="417">
        <f t="shared" si="5"/>
        <v>-2.8348600000000008</v>
      </c>
    </row>
    <row r="71" spans="1:12" ht="14.25" customHeight="1">
      <c r="A71" s="337"/>
      <c r="B71" s="337"/>
      <c r="C71" s="408" t="s">
        <v>572</v>
      </c>
      <c r="D71" s="413"/>
      <c r="E71" s="334">
        <v>2.4900000000000002</v>
      </c>
      <c r="F71" s="413">
        <v>4.1500000000000004</v>
      </c>
      <c r="G71" s="413">
        <v>4.1500000000000004</v>
      </c>
      <c r="H71" s="413">
        <v>0</v>
      </c>
      <c r="I71" s="413">
        <v>0</v>
      </c>
      <c r="J71" s="406">
        <f t="shared" si="3"/>
        <v>-4.1500000000000004</v>
      </c>
      <c r="K71" s="417">
        <f t="shared" si="4"/>
        <v>0</v>
      </c>
      <c r="L71" s="417">
        <f t="shared" si="5"/>
        <v>0</v>
      </c>
    </row>
    <row r="72" spans="1:12" ht="14.25" hidden="1" customHeight="1">
      <c r="A72" s="337"/>
      <c r="B72" s="337"/>
      <c r="C72" s="408" t="s">
        <v>573</v>
      </c>
      <c r="D72" s="413"/>
      <c r="E72" s="334"/>
      <c r="F72" s="413"/>
      <c r="G72" s="413"/>
      <c r="H72" s="413"/>
      <c r="I72" s="413"/>
      <c r="J72" s="406">
        <f t="shared" si="3"/>
        <v>0</v>
      </c>
      <c r="K72" s="417" t="e">
        <f t="shared" si="4"/>
        <v>#DIV/0!</v>
      </c>
      <c r="L72" s="417">
        <f t="shared" si="5"/>
        <v>0</v>
      </c>
    </row>
    <row r="73" spans="1:12" ht="14.25" hidden="1" customHeight="1">
      <c r="A73" s="337"/>
      <c r="B73" s="337"/>
      <c r="C73" s="408" t="s">
        <v>329</v>
      </c>
      <c r="D73" s="334">
        <v>3.7</v>
      </c>
      <c r="E73" s="334"/>
      <c r="F73" s="413"/>
      <c r="G73" s="413"/>
      <c r="H73" s="413"/>
      <c r="I73" s="413"/>
      <c r="J73" s="406">
        <f t="shared" si="3"/>
        <v>0</v>
      </c>
      <c r="K73" s="417" t="e">
        <f t="shared" ref="K73:K138" si="11">I73/G73</f>
        <v>#DIV/0!</v>
      </c>
      <c r="L73" s="417">
        <f t="shared" ref="L73:L138" si="12">I73-H73</f>
        <v>0</v>
      </c>
    </row>
    <row r="74" spans="1:12" ht="14.25" hidden="1" customHeight="1">
      <c r="A74" s="337"/>
      <c r="B74" s="337"/>
      <c r="C74" s="408" t="s">
        <v>530</v>
      </c>
      <c r="D74" s="413"/>
      <c r="E74" s="334"/>
      <c r="F74" s="413"/>
      <c r="G74" s="413"/>
      <c r="H74" s="413"/>
      <c r="I74" s="413"/>
      <c r="J74" s="406">
        <f t="shared" si="3"/>
        <v>0</v>
      </c>
      <c r="K74" s="417" t="e">
        <f t="shared" si="11"/>
        <v>#DIV/0!</v>
      </c>
      <c r="L74" s="417">
        <f t="shared" si="12"/>
        <v>0</v>
      </c>
    </row>
    <row r="75" spans="1:12" ht="14.25" customHeight="1">
      <c r="A75" s="337"/>
      <c r="B75" s="421" t="s">
        <v>730</v>
      </c>
      <c r="C75" s="408" t="s">
        <v>373</v>
      </c>
      <c r="D75" s="413">
        <v>27</v>
      </c>
      <c r="E75" s="334">
        <v>28.5</v>
      </c>
      <c r="F75" s="413">
        <v>38.9</v>
      </c>
      <c r="G75" s="413">
        <v>47.14</v>
      </c>
      <c r="H75" s="413">
        <v>39.299999999999997</v>
      </c>
      <c r="I75" s="413">
        <v>0.20230999999999999</v>
      </c>
      <c r="J75" s="406">
        <f t="shared" ref="J75:J143" si="13">H75-F75</f>
        <v>0.39999999999999858</v>
      </c>
      <c r="K75" s="417">
        <f t="shared" si="11"/>
        <v>4.2916843445057274E-3</v>
      </c>
      <c r="L75" s="417">
        <f t="shared" si="12"/>
        <v>-39.09769</v>
      </c>
    </row>
    <row r="76" spans="1:12" ht="14.25" customHeight="1">
      <c r="A76" s="337"/>
      <c r="B76" s="421" t="s">
        <v>729</v>
      </c>
      <c r="C76" s="408" t="s">
        <v>330</v>
      </c>
      <c r="D76" s="413"/>
      <c r="E76" s="334">
        <v>13.9</v>
      </c>
      <c r="F76" s="413">
        <v>8.1</v>
      </c>
      <c r="G76" s="413">
        <v>8.07</v>
      </c>
      <c r="H76" s="413"/>
      <c r="I76" s="413">
        <v>7.5782299999999996</v>
      </c>
      <c r="J76" s="406">
        <f t="shared" si="13"/>
        <v>-8.1</v>
      </c>
      <c r="K76" s="417">
        <f t="shared" si="11"/>
        <v>0.93906195786864921</v>
      </c>
      <c r="L76" s="417">
        <f t="shared" si="12"/>
        <v>7.5782299999999996</v>
      </c>
    </row>
    <row r="77" spans="1:12" ht="14.25" hidden="1" customHeight="1">
      <c r="A77" s="415"/>
      <c r="B77" s="415"/>
      <c r="C77" s="416" t="s">
        <v>331</v>
      </c>
      <c r="D77" s="412">
        <f>SUM(D78:D84)</f>
        <v>0</v>
      </c>
      <c r="E77" s="412">
        <f>SUM(E78:E84)</f>
        <v>0</v>
      </c>
      <c r="F77" s="412">
        <f>SUM(F78:F84)</f>
        <v>0</v>
      </c>
      <c r="G77" s="412"/>
      <c r="H77" s="412">
        <f>SUM(H78:H84)</f>
        <v>0</v>
      </c>
      <c r="I77" s="412"/>
      <c r="J77" s="406">
        <f t="shared" si="13"/>
        <v>0</v>
      </c>
      <c r="K77" s="407" t="e">
        <f t="shared" si="11"/>
        <v>#DIV/0!</v>
      </c>
      <c r="L77" s="407">
        <f t="shared" si="12"/>
        <v>0</v>
      </c>
    </row>
    <row r="78" spans="1:12" ht="14.25" hidden="1" customHeight="1">
      <c r="A78" s="337"/>
      <c r="B78" s="337"/>
      <c r="C78" s="337" t="s">
        <v>332</v>
      </c>
      <c r="D78" s="341"/>
      <c r="E78" s="333"/>
      <c r="F78" s="341">
        <f>L78+P78+T78+X78+AB78+AM78+AQ78+AU78+AY78+BG78+BK78+CA78+CI78+CM78+CQ78+CU78+CY78+DC78+BC78+BO78+BW78</f>
        <v>0</v>
      </c>
      <c r="G78" s="341"/>
      <c r="H78" s="341">
        <f>N78+R78+V78+Z78+AD78+AO78+AS78+AW78+BA78+BI78+BM78+CC78+CK78+CO78+CS78+CW78+DA78+DE78+BE78+BQ78+BY78</f>
        <v>0</v>
      </c>
      <c r="I78" s="341"/>
      <c r="J78" s="406">
        <f t="shared" si="13"/>
        <v>0</v>
      </c>
      <c r="K78" s="407" t="e">
        <f t="shared" si="11"/>
        <v>#DIV/0!</v>
      </c>
      <c r="L78" s="407">
        <f t="shared" si="12"/>
        <v>0</v>
      </c>
    </row>
    <row r="79" spans="1:12" ht="14.25" hidden="1" customHeight="1">
      <c r="A79" s="337"/>
      <c r="B79" s="337"/>
      <c r="C79" s="337" t="s">
        <v>574</v>
      </c>
      <c r="D79" s="341"/>
      <c r="E79" s="333"/>
      <c r="F79" s="341">
        <f t="shared" ref="F79:H84" si="14">L79+P79+T79+X79+AB79+AM79+AQ79+AU79+AY79+BG79+BK79+CA79+CI79+CM79+CQ79+CU79+CY79+DC79+BO79+BW79</f>
        <v>0</v>
      </c>
      <c r="G79" s="341"/>
      <c r="H79" s="341">
        <f t="shared" si="14"/>
        <v>0</v>
      </c>
      <c r="I79" s="341"/>
      <c r="J79" s="406">
        <f t="shared" si="13"/>
        <v>0</v>
      </c>
      <c r="K79" s="407" t="e">
        <f t="shared" si="11"/>
        <v>#DIV/0!</v>
      </c>
      <c r="L79" s="407">
        <f t="shared" si="12"/>
        <v>0</v>
      </c>
    </row>
    <row r="80" spans="1:12" ht="14.25" hidden="1" customHeight="1">
      <c r="A80" s="337"/>
      <c r="B80" s="337"/>
      <c r="C80" s="337" t="s">
        <v>333</v>
      </c>
      <c r="D80" s="341"/>
      <c r="E80" s="333"/>
      <c r="F80" s="341">
        <f t="shared" si="14"/>
        <v>0</v>
      </c>
      <c r="G80" s="341"/>
      <c r="H80" s="341">
        <f t="shared" si="14"/>
        <v>0</v>
      </c>
      <c r="I80" s="341"/>
      <c r="J80" s="406">
        <f t="shared" si="13"/>
        <v>0</v>
      </c>
      <c r="K80" s="407" t="e">
        <f t="shared" si="11"/>
        <v>#DIV/0!</v>
      </c>
      <c r="L80" s="407">
        <f t="shared" si="12"/>
        <v>0</v>
      </c>
    </row>
    <row r="81" spans="1:12" ht="14.25" hidden="1" customHeight="1">
      <c r="A81" s="337"/>
      <c r="B81" s="337"/>
      <c r="C81" s="337" t="s">
        <v>334</v>
      </c>
      <c r="D81" s="341"/>
      <c r="E81" s="333"/>
      <c r="F81" s="341">
        <f t="shared" si="14"/>
        <v>0</v>
      </c>
      <c r="G81" s="341"/>
      <c r="H81" s="341">
        <f t="shared" si="14"/>
        <v>0</v>
      </c>
      <c r="I81" s="341"/>
      <c r="J81" s="406">
        <f t="shared" si="13"/>
        <v>0</v>
      </c>
      <c r="K81" s="407" t="e">
        <f t="shared" si="11"/>
        <v>#DIV/0!</v>
      </c>
      <c r="L81" s="407">
        <f t="shared" si="12"/>
        <v>0</v>
      </c>
    </row>
    <row r="82" spans="1:12" ht="14.25" hidden="1" customHeight="1">
      <c r="A82" s="337"/>
      <c r="B82" s="337"/>
      <c r="C82" s="337" t="s">
        <v>335</v>
      </c>
      <c r="D82" s="341"/>
      <c r="E82" s="333"/>
      <c r="F82" s="341">
        <f t="shared" si="14"/>
        <v>0</v>
      </c>
      <c r="G82" s="341"/>
      <c r="H82" s="341">
        <f t="shared" si="14"/>
        <v>0</v>
      </c>
      <c r="I82" s="341"/>
      <c r="J82" s="406">
        <f t="shared" si="13"/>
        <v>0</v>
      </c>
      <c r="K82" s="407" t="e">
        <f t="shared" si="11"/>
        <v>#DIV/0!</v>
      </c>
      <c r="L82" s="407">
        <f t="shared" si="12"/>
        <v>0</v>
      </c>
    </row>
    <row r="83" spans="1:12" ht="14.25" hidden="1" customHeight="1">
      <c r="A83" s="337"/>
      <c r="B83" s="337"/>
      <c r="C83" s="337" t="s">
        <v>336</v>
      </c>
      <c r="D83" s="341"/>
      <c r="E83" s="333"/>
      <c r="F83" s="341">
        <f t="shared" si="14"/>
        <v>0</v>
      </c>
      <c r="G83" s="341"/>
      <c r="H83" s="341">
        <f t="shared" si="14"/>
        <v>0</v>
      </c>
      <c r="I83" s="341"/>
      <c r="J83" s="406">
        <f t="shared" si="13"/>
        <v>0</v>
      </c>
      <c r="K83" s="407" t="e">
        <f t="shared" si="11"/>
        <v>#DIV/0!</v>
      </c>
      <c r="L83" s="407">
        <f t="shared" si="12"/>
        <v>0</v>
      </c>
    </row>
    <row r="84" spans="1:12" ht="14.25" hidden="1" customHeight="1">
      <c r="A84" s="337"/>
      <c r="B84" s="337"/>
      <c r="C84" s="337" t="s">
        <v>337</v>
      </c>
      <c r="D84" s="341"/>
      <c r="E84" s="333"/>
      <c r="F84" s="341">
        <f t="shared" si="14"/>
        <v>0</v>
      </c>
      <c r="G84" s="341"/>
      <c r="H84" s="341">
        <f t="shared" si="14"/>
        <v>0</v>
      </c>
      <c r="I84" s="341"/>
      <c r="J84" s="406">
        <f t="shared" si="13"/>
        <v>0</v>
      </c>
      <c r="K84" s="407" t="e">
        <f t="shared" si="11"/>
        <v>#DIV/0!</v>
      </c>
      <c r="L84" s="407">
        <f t="shared" si="12"/>
        <v>0</v>
      </c>
    </row>
    <row r="85" spans="1:12" ht="14.25" customHeight="1">
      <c r="A85" s="403" t="s">
        <v>338</v>
      </c>
      <c r="B85" s="403"/>
      <c r="C85" s="404" t="s">
        <v>339</v>
      </c>
      <c r="D85" s="412">
        <f>SUM(D86:D95)</f>
        <v>2687.25</v>
      </c>
      <c r="E85" s="410">
        <f>SUM(E86:E95)</f>
        <v>3676.66</v>
      </c>
      <c r="F85" s="410">
        <f t="shared" ref="F85:G85" si="15">SUM(F86:F95)</f>
        <v>2632.8</v>
      </c>
      <c r="G85" s="410">
        <f t="shared" si="15"/>
        <v>2605.87</v>
      </c>
      <c r="H85" s="410">
        <f>SUM(H86:H95)</f>
        <v>181.64000000000001</v>
      </c>
      <c r="I85" s="410">
        <f>SUM(I86:I95)</f>
        <v>2.1188099999999999</v>
      </c>
      <c r="J85" s="406">
        <f t="shared" si="13"/>
        <v>-2451.1600000000003</v>
      </c>
      <c r="K85" s="407">
        <f t="shared" si="11"/>
        <v>8.1309121329920528E-4</v>
      </c>
      <c r="L85" s="407">
        <f t="shared" si="12"/>
        <v>-179.52119000000002</v>
      </c>
    </row>
    <row r="86" spans="1:12" ht="14.25" hidden="1" customHeight="1">
      <c r="A86" s="337"/>
      <c r="B86" s="337"/>
      <c r="C86" s="337" t="s">
        <v>340</v>
      </c>
      <c r="D86" s="341"/>
      <c r="E86" s="333"/>
      <c r="F86" s="334"/>
      <c r="G86" s="341"/>
      <c r="H86" s="334"/>
      <c r="I86" s="341"/>
      <c r="J86" s="406">
        <f t="shared" si="13"/>
        <v>0</v>
      </c>
      <c r="K86" s="407" t="e">
        <f t="shared" si="11"/>
        <v>#DIV/0!</v>
      </c>
      <c r="L86" s="407">
        <f t="shared" si="12"/>
        <v>0</v>
      </c>
    </row>
    <row r="87" spans="1:12" ht="14.25" hidden="1" customHeight="1">
      <c r="A87" s="337"/>
      <c r="B87" s="337"/>
      <c r="C87" s="337" t="s">
        <v>341</v>
      </c>
      <c r="D87" s="341">
        <v>0.25</v>
      </c>
      <c r="E87" s="341"/>
      <c r="F87" s="334"/>
      <c r="G87" s="341"/>
      <c r="H87" s="334"/>
      <c r="I87" s="341"/>
      <c r="J87" s="406">
        <f t="shared" si="13"/>
        <v>0</v>
      </c>
      <c r="K87" s="407" t="e">
        <f t="shared" si="11"/>
        <v>#DIV/0!</v>
      </c>
      <c r="L87" s="407">
        <f t="shared" si="12"/>
        <v>0</v>
      </c>
    </row>
    <row r="88" spans="1:12" ht="14.25" customHeight="1">
      <c r="A88" s="337"/>
      <c r="B88" s="337"/>
      <c r="C88" s="337" t="s">
        <v>575</v>
      </c>
      <c r="D88" s="413">
        <v>2687</v>
      </c>
      <c r="E88" s="334">
        <v>2703.33</v>
      </c>
      <c r="F88" s="334">
        <v>2439</v>
      </c>
      <c r="G88" s="334">
        <v>2438.6</v>
      </c>
      <c r="H88" s="334">
        <v>0</v>
      </c>
      <c r="I88" s="334">
        <v>0</v>
      </c>
      <c r="J88" s="406">
        <f t="shared" si="13"/>
        <v>-2439</v>
      </c>
      <c r="K88" s="417">
        <f t="shared" si="11"/>
        <v>0</v>
      </c>
      <c r="L88" s="417">
        <f t="shared" si="12"/>
        <v>0</v>
      </c>
    </row>
    <row r="89" spans="1:12" ht="14.25" hidden="1" customHeight="1">
      <c r="A89" s="337"/>
      <c r="B89" s="337"/>
      <c r="C89" s="408" t="s">
        <v>342</v>
      </c>
      <c r="D89" s="341"/>
      <c r="E89" s="334"/>
      <c r="F89" s="334"/>
      <c r="G89" s="334"/>
      <c r="H89" s="334"/>
      <c r="I89" s="334"/>
      <c r="J89" s="406">
        <f t="shared" si="13"/>
        <v>0</v>
      </c>
      <c r="K89" s="417" t="e">
        <f t="shared" si="11"/>
        <v>#DIV/0!</v>
      </c>
      <c r="L89" s="417">
        <f t="shared" si="12"/>
        <v>0</v>
      </c>
    </row>
    <row r="90" spans="1:12" ht="14.25" customHeight="1">
      <c r="A90" s="337"/>
      <c r="B90" s="337"/>
      <c r="C90" s="408" t="s">
        <v>533</v>
      </c>
      <c r="D90" s="334"/>
      <c r="E90" s="334"/>
      <c r="F90" s="334">
        <v>54.7</v>
      </c>
      <c r="G90" s="334">
        <v>0</v>
      </c>
      <c r="H90" s="334">
        <v>0.01</v>
      </c>
      <c r="I90" s="334">
        <v>0</v>
      </c>
      <c r="J90" s="406">
        <f t="shared" si="13"/>
        <v>-54.690000000000005</v>
      </c>
      <c r="K90" s="417">
        <v>0</v>
      </c>
      <c r="L90" s="417">
        <f t="shared" si="12"/>
        <v>-0.01</v>
      </c>
    </row>
    <row r="91" spans="1:12" ht="14.25" customHeight="1">
      <c r="A91" s="337"/>
      <c r="B91" s="421" t="s">
        <v>723</v>
      </c>
      <c r="C91" s="408" t="s">
        <v>343</v>
      </c>
      <c r="D91" s="334"/>
      <c r="E91" s="334"/>
      <c r="F91" s="334">
        <v>21.07</v>
      </c>
      <c r="G91" s="334">
        <v>21.07</v>
      </c>
      <c r="H91" s="334">
        <v>10.9</v>
      </c>
      <c r="I91" s="334">
        <v>0.10796</v>
      </c>
      <c r="J91" s="406">
        <f t="shared" si="13"/>
        <v>-10.17</v>
      </c>
      <c r="K91" s="417">
        <f t="shared" si="11"/>
        <v>5.1238728049359276E-3</v>
      </c>
      <c r="L91" s="417">
        <f t="shared" si="12"/>
        <v>-10.79204</v>
      </c>
    </row>
    <row r="92" spans="1:12" ht="14.25" hidden="1" customHeight="1">
      <c r="A92" s="337"/>
      <c r="B92" s="337"/>
      <c r="C92" s="337" t="s">
        <v>534</v>
      </c>
      <c r="D92" s="334"/>
      <c r="E92" s="334"/>
      <c r="F92" s="334"/>
      <c r="G92" s="334"/>
      <c r="H92" s="334"/>
      <c r="I92" s="334"/>
      <c r="J92" s="406">
        <f t="shared" si="13"/>
        <v>0</v>
      </c>
      <c r="K92" s="417" t="e">
        <f t="shared" si="11"/>
        <v>#DIV/0!</v>
      </c>
      <c r="L92" s="417">
        <f t="shared" si="12"/>
        <v>0</v>
      </c>
    </row>
    <row r="93" spans="1:12" ht="14.25" customHeight="1">
      <c r="A93" s="337"/>
      <c r="B93" s="337"/>
      <c r="C93" s="337" t="s">
        <v>711</v>
      </c>
      <c r="D93" s="334"/>
      <c r="E93" s="334"/>
      <c r="F93" s="334">
        <v>0</v>
      </c>
      <c r="G93" s="334">
        <v>0</v>
      </c>
      <c r="H93" s="334">
        <v>168</v>
      </c>
      <c r="I93" s="334">
        <v>2</v>
      </c>
      <c r="J93" s="406"/>
      <c r="K93" s="417">
        <v>0</v>
      </c>
      <c r="L93" s="417">
        <f t="shared" si="12"/>
        <v>-166</v>
      </c>
    </row>
    <row r="94" spans="1:12" ht="14.25" customHeight="1">
      <c r="A94" s="337"/>
      <c r="B94" s="337"/>
      <c r="C94" s="337" t="s">
        <v>576</v>
      </c>
      <c r="D94" s="334"/>
      <c r="E94" s="334"/>
      <c r="F94" s="334">
        <v>115.15</v>
      </c>
      <c r="G94" s="334">
        <v>146.19999999999999</v>
      </c>
      <c r="H94" s="334">
        <v>0.11</v>
      </c>
      <c r="I94" s="334">
        <v>0</v>
      </c>
      <c r="J94" s="406">
        <f t="shared" si="13"/>
        <v>-115.04</v>
      </c>
      <c r="K94" s="417">
        <f t="shared" si="11"/>
        <v>0</v>
      </c>
      <c r="L94" s="417">
        <f t="shared" si="12"/>
        <v>-0.11</v>
      </c>
    </row>
    <row r="95" spans="1:12" ht="14.25" customHeight="1">
      <c r="A95" s="337"/>
      <c r="B95" s="337"/>
      <c r="C95" s="337" t="s">
        <v>344</v>
      </c>
      <c r="D95" s="334">
        <v>0</v>
      </c>
      <c r="E95" s="334">
        <v>973.33</v>
      </c>
      <c r="F95" s="334">
        <v>2.88</v>
      </c>
      <c r="G95" s="334">
        <v>0</v>
      </c>
      <c r="H95" s="334">
        <v>2.62</v>
      </c>
      <c r="I95" s="334">
        <v>1.085E-2</v>
      </c>
      <c r="J95" s="406">
        <f t="shared" si="13"/>
        <v>-0.25999999999999979</v>
      </c>
      <c r="K95" s="417">
        <v>0</v>
      </c>
      <c r="L95" s="417">
        <f t="shared" si="12"/>
        <v>-2.6091500000000001</v>
      </c>
    </row>
    <row r="96" spans="1:12" ht="14.25" customHeight="1">
      <c r="A96" s="403" t="s">
        <v>345</v>
      </c>
      <c r="B96" s="403"/>
      <c r="C96" s="404" t="s">
        <v>346</v>
      </c>
      <c r="D96" s="412">
        <f>SUM(D99:D151)</f>
        <v>3125.0399999999995</v>
      </c>
      <c r="E96" s="410">
        <f>SUM(E99:E151)</f>
        <v>5973.329999999999</v>
      </c>
      <c r="F96" s="410">
        <f>SUM(F97:F151)</f>
        <v>6251.03</v>
      </c>
      <c r="G96" s="410">
        <f>SUM(G97:G151)</f>
        <v>6363.2400000000007</v>
      </c>
      <c r="H96" s="410">
        <f>SUM(H97:H150)</f>
        <v>2854.9999999999995</v>
      </c>
      <c r="I96" s="410">
        <f>SUM(I97:I151)</f>
        <v>1531.0511100000001</v>
      </c>
      <c r="J96" s="406">
        <f t="shared" si="13"/>
        <v>-3396.03</v>
      </c>
      <c r="K96" s="407">
        <f t="shared" si="11"/>
        <v>0.24060873234390026</v>
      </c>
      <c r="L96" s="407">
        <f t="shared" si="12"/>
        <v>-1323.9488899999994</v>
      </c>
    </row>
    <row r="97" spans="1:12" ht="14.25" hidden="1" customHeight="1">
      <c r="A97" s="336"/>
      <c r="B97" s="336"/>
      <c r="C97" s="408" t="s">
        <v>347</v>
      </c>
      <c r="D97" s="341"/>
      <c r="E97" s="333"/>
      <c r="F97" s="341"/>
      <c r="G97" s="341"/>
      <c r="H97" s="341"/>
      <c r="I97" s="341"/>
      <c r="J97" s="406">
        <f t="shared" si="13"/>
        <v>0</v>
      </c>
      <c r="K97" s="407" t="e">
        <f t="shared" si="11"/>
        <v>#DIV/0!</v>
      </c>
      <c r="L97" s="407">
        <f t="shared" si="12"/>
        <v>0</v>
      </c>
    </row>
    <row r="98" spans="1:12" ht="14.25" hidden="1" customHeight="1">
      <c r="A98" s="336"/>
      <c r="B98" s="336"/>
      <c r="C98" s="408" t="s">
        <v>577</v>
      </c>
      <c r="D98" s="341"/>
      <c r="E98" s="333"/>
      <c r="F98" s="341"/>
      <c r="G98" s="341"/>
      <c r="H98" s="341"/>
      <c r="I98" s="341"/>
      <c r="J98" s="406">
        <f t="shared" si="13"/>
        <v>0</v>
      </c>
      <c r="K98" s="407" t="e">
        <f t="shared" si="11"/>
        <v>#DIV/0!</v>
      </c>
      <c r="L98" s="407">
        <f t="shared" si="12"/>
        <v>0</v>
      </c>
    </row>
    <row r="99" spans="1:12" ht="14.25" customHeight="1">
      <c r="A99" s="336"/>
      <c r="B99" s="336"/>
      <c r="C99" s="408" t="s">
        <v>712</v>
      </c>
      <c r="D99" s="341"/>
      <c r="E99" s="334"/>
      <c r="F99" s="341">
        <v>778.19</v>
      </c>
      <c r="G99" s="341">
        <v>778.19</v>
      </c>
      <c r="H99" s="341">
        <v>1.6</v>
      </c>
      <c r="I99" s="341">
        <v>60.844749999999998</v>
      </c>
      <c r="J99" s="406">
        <f t="shared" si="13"/>
        <v>-776.59</v>
      </c>
      <c r="K99" s="417">
        <f t="shared" si="11"/>
        <v>7.8187524897518595E-2</v>
      </c>
      <c r="L99" s="417">
        <f t="shared" si="12"/>
        <v>59.244749999999996</v>
      </c>
    </row>
    <row r="100" spans="1:12" ht="14.25" hidden="1" customHeight="1">
      <c r="A100" s="337"/>
      <c r="B100" s="337"/>
      <c r="C100" s="337" t="s">
        <v>348</v>
      </c>
      <c r="D100" s="341"/>
      <c r="E100" s="334"/>
      <c r="F100" s="341"/>
      <c r="G100" s="341"/>
      <c r="H100" s="341"/>
      <c r="I100" s="341"/>
      <c r="J100" s="406">
        <f t="shared" si="13"/>
        <v>0</v>
      </c>
      <c r="K100" s="417" t="e">
        <f t="shared" si="11"/>
        <v>#DIV/0!</v>
      </c>
      <c r="L100" s="417">
        <f t="shared" si="12"/>
        <v>0</v>
      </c>
    </row>
    <row r="101" spans="1:12" ht="14.25" customHeight="1">
      <c r="A101" s="337"/>
      <c r="B101" s="421" t="s">
        <v>732</v>
      </c>
      <c r="C101" s="337" t="s">
        <v>349</v>
      </c>
      <c r="D101" s="341"/>
      <c r="E101" s="334">
        <v>29.35</v>
      </c>
      <c r="F101" s="341"/>
      <c r="G101" s="341">
        <v>33.270000000000003</v>
      </c>
      <c r="H101" s="341">
        <v>2.7</v>
      </c>
      <c r="I101" s="341">
        <v>86.405439999999999</v>
      </c>
      <c r="J101" s="406">
        <f t="shared" si="13"/>
        <v>2.7</v>
      </c>
      <c r="K101" s="417">
        <f t="shared" si="11"/>
        <v>2.5970976856026446</v>
      </c>
      <c r="L101" s="417">
        <f t="shared" si="12"/>
        <v>83.705439999999996</v>
      </c>
    </row>
    <row r="102" spans="1:12" ht="14.25" customHeight="1">
      <c r="A102" s="337"/>
      <c r="B102" s="421" t="s">
        <v>733</v>
      </c>
      <c r="C102" s="337" t="s">
        <v>350</v>
      </c>
      <c r="D102" s="334">
        <v>9.1999999999999993</v>
      </c>
      <c r="E102" s="334">
        <v>42.1</v>
      </c>
      <c r="F102" s="334">
        <v>73.06</v>
      </c>
      <c r="G102" s="334">
        <v>90.6</v>
      </c>
      <c r="H102" s="334">
        <v>766.3</v>
      </c>
      <c r="I102" s="334">
        <v>66.543310000000005</v>
      </c>
      <c r="J102" s="406">
        <f t="shared" si="13"/>
        <v>693.24</v>
      </c>
      <c r="K102" s="417">
        <f t="shared" si="11"/>
        <v>0.73447362030905083</v>
      </c>
      <c r="L102" s="417">
        <f t="shared" si="12"/>
        <v>-699.75668999999994</v>
      </c>
    </row>
    <row r="103" spans="1:12" ht="14.25" customHeight="1">
      <c r="A103" s="337"/>
      <c r="B103" s="421" t="s">
        <v>728</v>
      </c>
      <c r="C103" s="337" t="s">
        <v>356</v>
      </c>
      <c r="D103" s="334"/>
      <c r="E103" s="334"/>
      <c r="F103" s="334">
        <v>0</v>
      </c>
      <c r="G103" s="334">
        <v>0</v>
      </c>
      <c r="H103" s="334">
        <v>0.9</v>
      </c>
      <c r="I103" s="334">
        <v>2.6929599999999998</v>
      </c>
      <c r="J103" s="406">
        <f t="shared" si="13"/>
        <v>0.9</v>
      </c>
      <c r="K103" s="417" t="e">
        <f t="shared" si="11"/>
        <v>#DIV/0!</v>
      </c>
      <c r="L103" s="417">
        <f t="shared" si="12"/>
        <v>1.7929599999999999</v>
      </c>
    </row>
    <row r="104" spans="1:12" ht="14.25" customHeight="1">
      <c r="A104" s="337"/>
      <c r="B104" s="337"/>
      <c r="C104" s="337" t="s">
        <v>351</v>
      </c>
      <c r="D104" s="334">
        <v>2918.9</v>
      </c>
      <c r="E104" s="334">
        <v>2742.87</v>
      </c>
      <c r="F104" s="334">
        <v>2925.43</v>
      </c>
      <c r="G104" s="334">
        <v>2925.43</v>
      </c>
      <c r="H104" s="334">
        <v>0.5</v>
      </c>
      <c r="I104" s="334">
        <v>0.48908000000000001</v>
      </c>
      <c r="J104" s="406">
        <f t="shared" si="13"/>
        <v>-2924.93</v>
      </c>
      <c r="K104" s="417">
        <f t="shared" si="11"/>
        <v>1.6718226038565272E-4</v>
      </c>
      <c r="L104" s="417">
        <f t="shared" si="12"/>
        <v>-1.0919999999999985E-2</v>
      </c>
    </row>
    <row r="105" spans="1:12" ht="14.25" customHeight="1">
      <c r="A105" s="337"/>
      <c r="B105" s="337"/>
      <c r="C105" s="337" t="s">
        <v>579</v>
      </c>
      <c r="D105" s="341"/>
      <c r="E105" s="334"/>
      <c r="F105" s="341">
        <v>1.96</v>
      </c>
      <c r="G105" s="341">
        <v>0</v>
      </c>
      <c r="H105" s="341">
        <v>0</v>
      </c>
      <c r="I105" s="341">
        <v>0</v>
      </c>
      <c r="J105" s="406">
        <f t="shared" si="13"/>
        <v>-1.96</v>
      </c>
      <c r="K105" s="417" t="e">
        <f t="shared" si="11"/>
        <v>#DIV/0!</v>
      </c>
      <c r="L105" s="417">
        <f t="shared" si="12"/>
        <v>0</v>
      </c>
    </row>
    <row r="106" spans="1:12" ht="14.25" hidden="1" customHeight="1">
      <c r="A106" s="337"/>
      <c r="B106" s="337"/>
      <c r="C106" s="337" t="s">
        <v>706</v>
      </c>
      <c r="D106" s="341"/>
      <c r="E106" s="334"/>
      <c r="F106" s="341"/>
      <c r="G106" s="341"/>
      <c r="H106" s="341"/>
      <c r="I106" s="341"/>
      <c r="J106" s="406">
        <f t="shared" si="13"/>
        <v>0</v>
      </c>
      <c r="K106" s="417" t="e">
        <f t="shared" si="11"/>
        <v>#DIV/0!</v>
      </c>
      <c r="L106" s="417">
        <f t="shared" si="12"/>
        <v>0</v>
      </c>
    </row>
    <row r="107" spans="1:12" ht="14.25" hidden="1" customHeight="1">
      <c r="A107" s="337"/>
      <c r="B107" s="337"/>
      <c r="C107" s="337" t="s">
        <v>352</v>
      </c>
      <c r="D107" s="341"/>
      <c r="E107" s="334"/>
      <c r="F107" s="341"/>
      <c r="G107" s="341"/>
      <c r="H107" s="341"/>
      <c r="I107" s="341"/>
      <c r="J107" s="406">
        <f t="shared" si="13"/>
        <v>0</v>
      </c>
      <c r="K107" s="417" t="e">
        <f t="shared" si="11"/>
        <v>#DIV/0!</v>
      </c>
      <c r="L107" s="417">
        <f t="shared" si="12"/>
        <v>0</v>
      </c>
    </row>
    <row r="108" spans="1:12" ht="14.25" hidden="1" customHeight="1">
      <c r="A108" s="337"/>
      <c r="B108" s="337"/>
      <c r="C108" s="337" t="s">
        <v>353</v>
      </c>
      <c r="D108" s="341"/>
      <c r="E108" s="334"/>
      <c r="F108" s="341"/>
      <c r="G108" s="341"/>
      <c r="H108" s="341"/>
      <c r="I108" s="341"/>
      <c r="J108" s="406">
        <f t="shared" si="13"/>
        <v>0</v>
      </c>
      <c r="K108" s="417" t="e">
        <f t="shared" si="11"/>
        <v>#DIV/0!</v>
      </c>
      <c r="L108" s="417">
        <f t="shared" si="12"/>
        <v>0</v>
      </c>
    </row>
    <row r="109" spans="1:12" ht="14.25" hidden="1" customHeight="1">
      <c r="A109" s="337"/>
      <c r="B109" s="337"/>
      <c r="C109" s="337" t="s">
        <v>354</v>
      </c>
      <c r="D109" s="341"/>
      <c r="E109" s="334"/>
      <c r="F109" s="341"/>
      <c r="G109" s="341"/>
      <c r="H109" s="341"/>
      <c r="I109" s="341"/>
      <c r="J109" s="406">
        <f t="shared" si="13"/>
        <v>0</v>
      </c>
      <c r="K109" s="417" t="e">
        <f t="shared" si="11"/>
        <v>#DIV/0!</v>
      </c>
      <c r="L109" s="417">
        <f t="shared" si="12"/>
        <v>0</v>
      </c>
    </row>
    <row r="110" spans="1:12" ht="14.25" hidden="1" customHeight="1">
      <c r="A110" s="337"/>
      <c r="B110" s="337"/>
      <c r="C110" s="337" t="s">
        <v>355</v>
      </c>
      <c r="D110" s="341"/>
      <c r="E110" s="334"/>
      <c r="F110" s="341"/>
      <c r="G110" s="341"/>
      <c r="H110" s="341"/>
      <c r="I110" s="341"/>
      <c r="J110" s="406">
        <f t="shared" si="13"/>
        <v>0</v>
      </c>
      <c r="K110" s="417" t="e">
        <f t="shared" si="11"/>
        <v>#DIV/0!</v>
      </c>
      <c r="L110" s="417">
        <f t="shared" si="12"/>
        <v>0</v>
      </c>
    </row>
    <row r="111" spans="1:12" ht="14.25" hidden="1" customHeight="1">
      <c r="A111" s="337"/>
      <c r="B111" s="337"/>
      <c r="C111" s="337" t="s">
        <v>356</v>
      </c>
      <c r="D111" s="341"/>
      <c r="E111" s="334"/>
      <c r="F111" s="341"/>
      <c r="G111" s="341"/>
      <c r="H111" s="341"/>
      <c r="I111" s="341"/>
      <c r="J111" s="406">
        <f t="shared" si="13"/>
        <v>0</v>
      </c>
      <c r="K111" s="417" t="e">
        <f t="shared" si="11"/>
        <v>#DIV/0!</v>
      </c>
      <c r="L111" s="417">
        <f t="shared" si="12"/>
        <v>0</v>
      </c>
    </row>
    <row r="112" spans="1:12" ht="14.25" customHeight="1">
      <c r="A112" s="337"/>
      <c r="B112" s="337"/>
      <c r="C112" s="337" t="s">
        <v>580</v>
      </c>
      <c r="D112" s="334">
        <v>57</v>
      </c>
      <c r="E112" s="334"/>
      <c r="F112" s="334">
        <v>123.7</v>
      </c>
      <c r="G112" s="334">
        <v>123.7</v>
      </c>
      <c r="H112" s="334">
        <v>298</v>
      </c>
      <c r="I112" s="334">
        <v>13.89673</v>
      </c>
      <c r="J112" s="406">
        <f t="shared" si="13"/>
        <v>174.3</v>
      </c>
      <c r="K112" s="417">
        <f t="shared" si="11"/>
        <v>0.11234219886822959</v>
      </c>
      <c r="L112" s="417">
        <f t="shared" si="12"/>
        <v>-284.10327000000001</v>
      </c>
    </row>
    <row r="113" spans="1:12" ht="14.25" customHeight="1">
      <c r="A113" s="337"/>
      <c r="B113" s="421" t="s">
        <v>738</v>
      </c>
      <c r="C113" s="337" t="s">
        <v>538</v>
      </c>
      <c r="D113" s="341"/>
      <c r="E113" s="334">
        <v>3.01</v>
      </c>
      <c r="F113" s="341">
        <v>3</v>
      </c>
      <c r="G113" s="341">
        <v>3</v>
      </c>
      <c r="H113" s="341">
        <v>727.6</v>
      </c>
      <c r="I113" s="341">
        <v>2.2906599999999999</v>
      </c>
      <c r="J113" s="406">
        <f t="shared" si="13"/>
        <v>724.6</v>
      </c>
      <c r="K113" s="417">
        <f t="shared" si="11"/>
        <v>0.76355333333333331</v>
      </c>
      <c r="L113" s="417">
        <f t="shared" si="12"/>
        <v>-725.30934000000002</v>
      </c>
    </row>
    <row r="114" spans="1:12" ht="14.25" customHeight="1">
      <c r="A114" s="337"/>
      <c r="B114" s="337"/>
      <c r="C114" s="337" t="s">
        <v>626</v>
      </c>
      <c r="D114" s="334"/>
      <c r="E114" s="334"/>
      <c r="F114" s="334"/>
      <c r="G114" s="334">
        <v>26.48</v>
      </c>
      <c r="H114" s="334"/>
      <c r="I114" s="334">
        <v>2.4954299999999998</v>
      </c>
      <c r="J114" s="406">
        <f t="shared" si="13"/>
        <v>0</v>
      </c>
      <c r="K114" s="417">
        <f t="shared" si="11"/>
        <v>9.4238293051359515E-2</v>
      </c>
      <c r="L114" s="417">
        <f t="shared" si="12"/>
        <v>2.4954299999999998</v>
      </c>
    </row>
    <row r="115" spans="1:12" ht="14.25" hidden="1" customHeight="1">
      <c r="A115" s="337"/>
      <c r="B115" s="337"/>
      <c r="C115" s="337" t="s">
        <v>357</v>
      </c>
      <c r="D115" s="341"/>
      <c r="E115" s="334"/>
      <c r="F115" s="341"/>
      <c r="G115" s="341"/>
      <c r="H115" s="341"/>
      <c r="I115" s="341"/>
      <c r="J115" s="406">
        <f t="shared" si="13"/>
        <v>0</v>
      </c>
      <c r="K115" s="417" t="e">
        <f t="shared" si="11"/>
        <v>#DIV/0!</v>
      </c>
      <c r="L115" s="417">
        <f t="shared" si="12"/>
        <v>0</v>
      </c>
    </row>
    <row r="116" spans="1:12" ht="14.25" customHeight="1">
      <c r="A116" s="337"/>
      <c r="B116" s="337"/>
      <c r="C116" s="337" t="s">
        <v>358</v>
      </c>
      <c r="D116" s="341"/>
      <c r="E116" s="334"/>
      <c r="F116" s="341">
        <v>1.68</v>
      </c>
      <c r="G116" s="341">
        <v>0</v>
      </c>
      <c r="H116" s="341">
        <v>835</v>
      </c>
      <c r="I116" s="341">
        <v>0</v>
      </c>
      <c r="J116" s="406">
        <f t="shared" si="13"/>
        <v>833.32</v>
      </c>
      <c r="K116" s="417">
        <v>0</v>
      </c>
      <c r="L116" s="417">
        <f t="shared" si="12"/>
        <v>-835</v>
      </c>
    </row>
    <row r="117" spans="1:12" ht="15.75" hidden="1" customHeight="1">
      <c r="A117" s="337"/>
      <c r="B117" s="337"/>
      <c r="C117" s="337" t="s">
        <v>359</v>
      </c>
      <c r="D117" s="341">
        <v>9.0399999999999991</v>
      </c>
      <c r="E117" s="341">
        <v>9.0399999999999991</v>
      </c>
      <c r="F117" s="341"/>
      <c r="G117" s="341"/>
      <c r="H117" s="341"/>
      <c r="I117" s="341"/>
      <c r="J117" s="406">
        <f t="shared" si="13"/>
        <v>0</v>
      </c>
      <c r="K117" s="417" t="e">
        <f t="shared" si="11"/>
        <v>#DIV/0!</v>
      </c>
      <c r="L117" s="417">
        <f t="shared" si="12"/>
        <v>0</v>
      </c>
    </row>
    <row r="118" spans="1:12" ht="14.25" hidden="1" customHeight="1">
      <c r="A118" s="337"/>
      <c r="B118" s="337"/>
      <c r="C118" s="337" t="s">
        <v>360</v>
      </c>
      <c r="D118" s="334"/>
      <c r="E118" s="334"/>
      <c r="F118" s="334"/>
      <c r="G118" s="334"/>
      <c r="H118" s="334"/>
      <c r="I118" s="334"/>
      <c r="J118" s="406">
        <f t="shared" si="13"/>
        <v>0</v>
      </c>
      <c r="K118" s="417" t="e">
        <f t="shared" si="11"/>
        <v>#DIV/0!</v>
      </c>
      <c r="L118" s="417">
        <f t="shared" si="12"/>
        <v>0</v>
      </c>
    </row>
    <row r="119" spans="1:12" ht="14.25" hidden="1" customHeight="1">
      <c r="A119" s="337"/>
      <c r="B119" s="337"/>
      <c r="C119" s="337" t="s">
        <v>623</v>
      </c>
      <c r="D119" s="341"/>
      <c r="E119" s="334">
        <v>12.2</v>
      </c>
      <c r="F119" s="341"/>
      <c r="G119" s="341"/>
      <c r="H119" s="341"/>
      <c r="I119" s="341"/>
      <c r="J119" s="406">
        <f t="shared" si="13"/>
        <v>0</v>
      </c>
      <c r="K119" s="417" t="e">
        <f t="shared" si="11"/>
        <v>#DIV/0!</v>
      </c>
      <c r="L119" s="417">
        <f t="shared" si="12"/>
        <v>0</v>
      </c>
    </row>
    <row r="120" spans="1:12" ht="14.25" customHeight="1">
      <c r="A120" s="337"/>
      <c r="B120" s="337"/>
      <c r="C120" s="337" t="s">
        <v>625</v>
      </c>
      <c r="D120" s="341"/>
      <c r="E120" s="334"/>
      <c r="F120" s="341"/>
      <c r="G120" s="341">
        <v>27.71</v>
      </c>
      <c r="H120" s="341">
        <v>0</v>
      </c>
      <c r="I120" s="341">
        <v>0</v>
      </c>
      <c r="J120" s="406">
        <f t="shared" si="13"/>
        <v>0</v>
      </c>
      <c r="K120" s="417">
        <f t="shared" si="11"/>
        <v>0</v>
      </c>
      <c r="L120" s="417">
        <f t="shared" si="12"/>
        <v>0</v>
      </c>
    </row>
    <row r="121" spans="1:12" ht="14.25" customHeight="1">
      <c r="A121" s="337"/>
      <c r="B121" s="337"/>
      <c r="C121" s="337" t="s">
        <v>543</v>
      </c>
      <c r="D121" s="341"/>
      <c r="E121" s="334">
        <v>1.1399999999999999</v>
      </c>
      <c r="F121" s="341">
        <v>9.6</v>
      </c>
      <c r="G121" s="334">
        <v>9.6</v>
      </c>
      <c r="H121" s="341">
        <v>53</v>
      </c>
      <c r="I121" s="334">
        <v>68.517049999999998</v>
      </c>
      <c r="J121" s="406">
        <f t="shared" si="13"/>
        <v>43.4</v>
      </c>
      <c r="K121" s="417">
        <f t="shared" si="11"/>
        <v>7.1371927083333331</v>
      </c>
      <c r="L121" s="417">
        <f t="shared" si="12"/>
        <v>15.517049999999998</v>
      </c>
    </row>
    <row r="122" spans="1:12" ht="14.25" customHeight="1">
      <c r="A122" s="337"/>
      <c r="B122" s="337"/>
      <c r="C122" s="337" t="s">
        <v>581</v>
      </c>
      <c r="D122" s="341"/>
      <c r="E122" s="334"/>
      <c r="F122" s="341">
        <v>0</v>
      </c>
      <c r="G122" s="413">
        <v>0</v>
      </c>
      <c r="H122" s="341">
        <v>10.5</v>
      </c>
      <c r="I122" s="413">
        <v>1.5910000000000001E-2</v>
      </c>
      <c r="J122" s="406">
        <f t="shared" si="13"/>
        <v>10.5</v>
      </c>
      <c r="K122" s="417">
        <v>0</v>
      </c>
      <c r="L122" s="417">
        <f t="shared" si="12"/>
        <v>-10.48409</v>
      </c>
    </row>
    <row r="123" spans="1:12" ht="14.25" customHeight="1">
      <c r="A123" s="337"/>
      <c r="B123" s="421" t="s">
        <v>735</v>
      </c>
      <c r="C123" s="337" t="s">
        <v>542</v>
      </c>
      <c r="D123" s="413"/>
      <c r="E123" s="334">
        <v>2.59</v>
      </c>
      <c r="F123" s="413">
        <v>0</v>
      </c>
      <c r="G123" s="413">
        <v>335.55</v>
      </c>
      <c r="H123" s="413">
        <v>44.6</v>
      </c>
      <c r="I123" s="413">
        <v>116.47197</v>
      </c>
      <c r="J123" s="406">
        <f t="shared" si="13"/>
        <v>44.6</v>
      </c>
      <c r="K123" s="417">
        <f t="shared" si="11"/>
        <v>0.34710764416629414</v>
      </c>
      <c r="L123" s="417">
        <f t="shared" si="12"/>
        <v>71.871970000000005</v>
      </c>
    </row>
    <row r="124" spans="1:12" ht="14.25" customHeight="1">
      <c r="A124" s="337"/>
      <c r="B124" s="337"/>
      <c r="C124" s="337" t="s">
        <v>582</v>
      </c>
      <c r="D124" s="334"/>
      <c r="E124" s="334">
        <v>107.4</v>
      </c>
      <c r="F124" s="334">
        <v>0</v>
      </c>
      <c r="G124" s="334">
        <v>0</v>
      </c>
      <c r="H124" s="334">
        <v>0</v>
      </c>
      <c r="I124" s="334">
        <v>0</v>
      </c>
      <c r="J124" s="406">
        <f t="shared" si="13"/>
        <v>0</v>
      </c>
      <c r="K124" s="417">
        <v>0</v>
      </c>
      <c r="L124" s="417">
        <f t="shared" si="12"/>
        <v>0</v>
      </c>
    </row>
    <row r="125" spans="1:12" ht="14.25" customHeight="1">
      <c r="A125" s="337"/>
      <c r="B125" s="337"/>
      <c r="C125" s="337" t="s">
        <v>624</v>
      </c>
      <c r="D125" s="341"/>
      <c r="E125" s="334"/>
      <c r="F125" s="341">
        <v>0</v>
      </c>
      <c r="G125" s="341">
        <v>3.59</v>
      </c>
      <c r="H125" s="341">
        <v>0</v>
      </c>
      <c r="I125" s="341">
        <v>0</v>
      </c>
      <c r="J125" s="406">
        <f t="shared" si="13"/>
        <v>0</v>
      </c>
      <c r="K125" s="417">
        <f t="shared" si="11"/>
        <v>0</v>
      </c>
      <c r="L125" s="417">
        <f t="shared" si="12"/>
        <v>0</v>
      </c>
    </row>
    <row r="126" spans="1:12" ht="14.25" customHeight="1">
      <c r="A126" s="337"/>
      <c r="B126" s="421" t="s">
        <v>722</v>
      </c>
      <c r="C126" s="337" t="s">
        <v>713</v>
      </c>
      <c r="D126" s="341"/>
      <c r="E126" s="334"/>
      <c r="F126" s="341">
        <v>0</v>
      </c>
      <c r="G126" s="341">
        <v>0</v>
      </c>
      <c r="H126" s="341">
        <v>0.2</v>
      </c>
      <c r="I126" s="341">
        <v>5.6639999999999997</v>
      </c>
      <c r="J126" s="406"/>
      <c r="K126" s="417">
        <v>0</v>
      </c>
      <c r="L126" s="417">
        <f t="shared" si="12"/>
        <v>5.4639999999999995</v>
      </c>
    </row>
    <row r="127" spans="1:12" ht="14.25" customHeight="1">
      <c r="A127" s="337"/>
      <c r="B127" s="337"/>
      <c r="C127" s="337" t="s">
        <v>583</v>
      </c>
      <c r="D127" s="341"/>
      <c r="E127" s="334"/>
      <c r="F127" s="341">
        <v>0</v>
      </c>
      <c r="G127" s="341">
        <v>2.16</v>
      </c>
      <c r="H127" s="341">
        <v>0</v>
      </c>
      <c r="I127" s="341">
        <v>0</v>
      </c>
      <c r="J127" s="406">
        <f t="shared" si="13"/>
        <v>0</v>
      </c>
      <c r="K127" s="417">
        <f t="shared" si="11"/>
        <v>0</v>
      </c>
      <c r="L127" s="417">
        <f t="shared" si="12"/>
        <v>0</v>
      </c>
    </row>
    <row r="128" spans="1:12" ht="14.25" hidden="1" customHeight="1">
      <c r="A128" s="337"/>
      <c r="B128" s="337"/>
      <c r="C128" s="337" t="s">
        <v>545</v>
      </c>
      <c r="D128" s="341"/>
      <c r="E128" s="334"/>
      <c r="F128" s="341"/>
      <c r="G128" s="341"/>
      <c r="H128" s="341"/>
      <c r="I128" s="341"/>
      <c r="J128" s="406">
        <f t="shared" si="13"/>
        <v>0</v>
      </c>
      <c r="K128" s="417" t="e">
        <f t="shared" si="11"/>
        <v>#DIV/0!</v>
      </c>
      <c r="L128" s="417">
        <f t="shared" si="12"/>
        <v>0</v>
      </c>
    </row>
    <row r="129" spans="1:12" ht="14.25" customHeight="1">
      <c r="A129" s="337"/>
      <c r="B129" s="337"/>
      <c r="C129" s="337" t="s">
        <v>741</v>
      </c>
      <c r="D129" s="341"/>
      <c r="E129" s="334"/>
      <c r="F129" s="341">
        <v>0</v>
      </c>
      <c r="G129" s="341">
        <v>0</v>
      </c>
      <c r="H129" s="341">
        <v>0</v>
      </c>
      <c r="I129" s="341">
        <v>1.49953</v>
      </c>
      <c r="J129" s="406"/>
      <c r="K129" s="417">
        <v>0</v>
      </c>
      <c r="L129" s="417">
        <f t="shared" si="12"/>
        <v>1.49953</v>
      </c>
    </row>
    <row r="130" spans="1:12" ht="14.25" hidden="1" customHeight="1">
      <c r="A130" s="337"/>
      <c r="B130" s="337"/>
      <c r="C130" s="337" t="s">
        <v>361</v>
      </c>
      <c r="D130" s="334">
        <v>79.2</v>
      </c>
      <c r="E130" s="334">
        <v>82.3</v>
      </c>
      <c r="F130" s="334"/>
      <c r="G130" s="334"/>
      <c r="H130" s="334">
        <v>0</v>
      </c>
      <c r="I130" s="334">
        <v>0</v>
      </c>
      <c r="J130" s="406">
        <f t="shared" si="13"/>
        <v>0</v>
      </c>
      <c r="K130" s="417" t="e">
        <f t="shared" si="11"/>
        <v>#DIV/0!</v>
      </c>
      <c r="L130" s="417">
        <f t="shared" si="12"/>
        <v>0</v>
      </c>
    </row>
    <row r="131" spans="1:12" ht="14.25" customHeight="1">
      <c r="A131" s="337"/>
      <c r="B131" s="337"/>
      <c r="C131" s="337" t="s">
        <v>584</v>
      </c>
      <c r="D131" s="341"/>
      <c r="E131" s="334"/>
      <c r="F131" s="341">
        <v>0</v>
      </c>
      <c r="G131" s="413">
        <v>0</v>
      </c>
      <c r="H131" s="341">
        <v>1</v>
      </c>
      <c r="I131" s="413">
        <v>0</v>
      </c>
      <c r="J131" s="406">
        <f t="shared" si="13"/>
        <v>1</v>
      </c>
      <c r="K131" s="417">
        <v>0</v>
      </c>
      <c r="L131" s="417">
        <f t="shared" si="12"/>
        <v>-1</v>
      </c>
    </row>
    <row r="132" spans="1:12" ht="14.25" hidden="1" customHeight="1">
      <c r="A132" s="337"/>
      <c r="B132" s="337"/>
      <c r="C132" s="337" t="s">
        <v>707</v>
      </c>
      <c r="D132" s="341"/>
      <c r="E132" s="334"/>
      <c r="F132" s="341"/>
      <c r="G132" s="341"/>
      <c r="H132" s="341"/>
      <c r="I132" s="341"/>
      <c r="J132" s="406">
        <f t="shared" si="13"/>
        <v>0</v>
      </c>
      <c r="K132" s="417" t="e">
        <f t="shared" si="11"/>
        <v>#DIV/0!</v>
      </c>
      <c r="L132" s="417">
        <f t="shared" si="12"/>
        <v>0</v>
      </c>
    </row>
    <row r="133" spans="1:12" ht="14.25" hidden="1" customHeight="1">
      <c r="A133" s="337"/>
      <c r="B133" s="337"/>
      <c r="C133" s="337" t="s">
        <v>362</v>
      </c>
      <c r="D133" s="341"/>
      <c r="E133" s="334"/>
      <c r="F133" s="341"/>
      <c r="G133" s="341"/>
      <c r="H133" s="341"/>
      <c r="I133" s="341"/>
      <c r="J133" s="406">
        <f t="shared" si="13"/>
        <v>0</v>
      </c>
      <c r="K133" s="417" t="e">
        <f t="shared" si="11"/>
        <v>#DIV/0!</v>
      </c>
      <c r="L133" s="417">
        <f t="shared" si="12"/>
        <v>0</v>
      </c>
    </row>
    <row r="134" spans="1:12" ht="14.25" customHeight="1">
      <c r="A134" s="337"/>
      <c r="B134" s="337"/>
      <c r="C134" s="337" t="s">
        <v>742</v>
      </c>
      <c r="D134" s="341"/>
      <c r="E134" s="334"/>
      <c r="F134" s="341">
        <v>0</v>
      </c>
      <c r="G134" s="341">
        <v>0</v>
      </c>
      <c r="H134" s="341">
        <v>0</v>
      </c>
      <c r="I134" s="341">
        <v>5.1607900000000004</v>
      </c>
      <c r="J134" s="406"/>
      <c r="K134" s="417">
        <v>0</v>
      </c>
      <c r="L134" s="417">
        <f t="shared" si="12"/>
        <v>5.1607900000000004</v>
      </c>
    </row>
    <row r="135" spans="1:12" ht="14.25" customHeight="1">
      <c r="A135" s="337"/>
      <c r="B135" s="421" t="s">
        <v>727</v>
      </c>
      <c r="C135" s="337" t="s">
        <v>363</v>
      </c>
      <c r="D135" s="341">
        <v>24.4</v>
      </c>
      <c r="E135" s="334">
        <v>2237.08</v>
      </c>
      <c r="F135" s="341">
        <v>1197.24</v>
      </c>
      <c r="G135" s="334">
        <v>768.4</v>
      </c>
      <c r="H135" s="341">
        <v>66.099999999999994</v>
      </c>
      <c r="I135" s="334">
        <v>949.93574999999998</v>
      </c>
      <c r="J135" s="406">
        <f t="shared" si="13"/>
        <v>-1131.1400000000001</v>
      </c>
      <c r="K135" s="417">
        <f t="shared" si="11"/>
        <v>1.2362516267568975</v>
      </c>
      <c r="L135" s="417">
        <f t="shared" si="12"/>
        <v>883.83574999999996</v>
      </c>
    </row>
    <row r="136" spans="1:12" ht="14.25" hidden="1" customHeight="1">
      <c r="A136" s="337"/>
      <c r="B136" s="337"/>
      <c r="C136" s="331" t="s">
        <v>364</v>
      </c>
      <c r="D136" s="341">
        <v>12.2</v>
      </c>
      <c r="E136" s="334">
        <v>0.11</v>
      </c>
      <c r="F136" s="341"/>
      <c r="G136" s="341"/>
      <c r="H136" s="341"/>
      <c r="I136" s="341"/>
      <c r="J136" s="406">
        <f t="shared" si="13"/>
        <v>0</v>
      </c>
      <c r="K136" s="417" t="e">
        <f t="shared" si="11"/>
        <v>#DIV/0!</v>
      </c>
      <c r="L136" s="417">
        <f t="shared" si="12"/>
        <v>0</v>
      </c>
    </row>
    <row r="137" spans="1:12" ht="14.25" customHeight="1">
      <c r="A137" s="337"/>
      <c r="B137" s="337"/>
      <c r="C137" s="331" t="s">
        <v>546</v>
      </c>
      <c r="D137" s="341"/>
      <c r="E137" s="334"/>
      <c r="F137" s="341">
        <v>0</v>
      </c>
      <c r="G137" s="341">
        <v>0</v>
      </c>
      <c r="H137" s="341">
        <v>0</v>
      </c>
      <c r="I137" s="341">
        <v>0</v>
      </c>
      <c r="J137" s="406">
        <f t="shared" si="13"/>
        <v>0</v>
      </c>
      <c r="K137" s="417">
        <v>0</v>
      </c>
      <c r="L137" s="417">
        <f t="shared" si="12"/>
        <v>0</v>
      </c>
    </row>
    <row r="138" spans="1:12" ht="14.25" customHeight="1">
      <c r="A138" s="337"/>
      <c r="B138" s="421" t="s">
        <v>736</v>
      </c>
      <c r="C138" s="331" t="s">
        <v>547</v>
      </c>
      <c r="D138" s="334"/>
      <c r="E138" s="334">
        <v>46</v>
      </c>
      <c r="F138" s="334">
        <v>0</v>
      </c>
      <c r="G138" s="334">
        <v>99.04</v>
      </c>
      <c r="H138" s="334">
        <v>0</v>
      </c>
      <c r="I138" s="334">
        <v>90.680019999999999</v>
      </c>
      <c r="J138" s="406">
        <f t="shared" si="13"/>
        <v>0</v>
      </c>
      <c r="K138" s="417">
        <f t="shared" si="11"/>
        <v>0.91558986268174469</v>
      </c>
      <c r="L138" s="417">
        <f t="shared" si="12"/>
        <v>90.680019999999999</v>
      </c>
    </row>
    <row r="139" spans="1:12" ht="14.25" hidden="1" customHeight="1">
      <c r="A139" s="337"/>
      <c r="B139" s="337"/>
      <c r="C139" s="331" t="s">
        <v>365</v>
      </c>
      <c r="D139" s="341"/>
      <c r="E139" s="334"/>
      <c r="F139" s="341"/>
      <c r="G139" s="341"/>
      <c r="H139" s="341"/>
      <c r="I139" s="341"/>
      <c r="J139" s="406">
        <f t="shared" si="13"/>
        <v>0</v>
      </c>
      <c r="K139" s="417" t="e">
        <f t="shared" ref="K139:K155" si="16">I139/G139</f>
        <v>#DIV/0!</v>
      </c>
      <c r="L139" s="417">
        <f t="shared" ref="L139:L155" si="17">I139-H139</f>
        <v>0</v>
      </c>
    </row>
    <row r="140" spans="1:12" ht="14.25" hidden="1" customHeight="1">
      <c r="A140" s="337"/>
      <c r="B140" s="337"/>
      <c r="C140" s="331" t="s">
        <v>548</v>
      </c>
      <c r="D140" s="341"/>
      <c r="E140" s="334"/>
      <c r="F140" s="341"/>
      <c r="G140" s="341">
        <v>0.55000000000000004</v>
      </c>
      <c r="H140" s="341"/>
      <c r="I140" s="341"/>
      <c r="J140" s="406">
        <f t="shared" si="13"/>
        <v>0</v>
      </c>
      <c r="K140" s="417">
        <f t="shared" si="16"/>
        <v>0</v>
      </c>
      <c r="L140" s="417">
        <f t="shared" si="17"/>
        <v>0</v>
      </c>
    </row>
    <row r="141" spans="1:12" ht="14.25" customHeight="1">
      <c r="A141" s="337"/>
      <c r="B141" s="337"/>
      <c r="C141" s="337" t="s">
        <v>585</v>
      </c>
      <c r="D141" s="341"/>
      <c r="E141" s="334">
        <v>7.29</v>
      </c>
      <c r="F141" s="341">
        <v>2.2000000000000002</v>
      </c>
      <c r="G141" s="341">
        <v>0.27</v>
      </c>
      <c r="H141" s="341">
        <v>0</v>
      </c>
      <c r="I141" s="341">
        <v>0</v>
      </c>
      <c r="J141" s="406">
        <f t="shared" si="13"/>
        <v>-2.2000000000000002</v>
      </c>
      <c r="K141" s="417">
        <f t="shared" si="16"/>
        <v>0</v>
      </c>
      <c r="L141" s="417">
        <f t="shared" si="17"/>
        <v>0</v>
      </c>
    </row>
    <row r="142" spans="1:12" ht="14.25" hidden="1" customHeight="1">
      <c r="A142" s="337"/>
      <c r="B142" s="337"/>
      <c r="C142" s="337" t="s">
        <v>549</v>
      </c>
      <c r="D142" s="341"/>
      <c r="E142" s="334"/>
      <c r="F142" s="341"/>
      <c r="G142" s="341"/>
      <c r="H142" s="341"/>
      <c r="I142" s="341"/>
      <c r="J142" s="406">
        <f t="shared" si="13"/>
        <v>0</v>
      </c>
      <c r="K142" s="417" t="e">
        <f t="shared" si="16"/>
        <v>#DIV/0!</v>
      </c>
      <c r="L142" s="417">
        <f t="shared" si="17"/>
        <v>0</v>
      </c>
    </row>
    <row r="143" spans="1:12" hidden="1">
      <c r="A143" s="337"/>
      <c r="B143" s="337"/>
      <c r="C143" s="337" t="s">
        <v>586</v>
      </c>
      <c r="D143" s="341"/>
      <c r="E143" s="334"/>
      <c r="F143" s="341"/>
      <c r="G143" s="341"/>
      <c r="H143" s="341"/>
      <c r="I143" s="341"/>
      <c r="J143" s="406">
        <f t="shared" si="13"/>
        <v>0</v>
      </c>
      <c r="K143" s="417" t="e">
        <f t="shared" si="16"/>
        <v>#DIV/0!</v>
      </c>
      <c r="L143" s="417">
        <f t="shared" si="17"/>
        <v>0</v>
      </c>
    </row>
    <row r="144" spans="1:12" ht="14.25" hidden="1" customHeight="1">
      <c r="A144" s="337"/>
      <c r="B144" s="337"/>
      <c r="C144" s="337" t="s">
        <v>366</v>
      </c>
      <c r="D144" s="341"/>
      <c r="E144" s="334">
        <v>29.19</v>
      </c>
      <c r="F144" s="341"/>
      <c r="G144" s="341"/>
      <c r="H144" s="341"/>
      <c r="I144" s="341"/>
      <c r="J144" s="406">
        <f t="shared" ref="J144:J155" si="18">H144-F144</f>
        <v>0</v>
      </c>
      <c r="K144" s="417" t="e">
        <f t="shared" si="16"/>
        <v>#DIV/0!</v>
      </c>
      <c r="L144" s="417">
        <f t="shared" si="17"/>
        <v>0</v>
      </c>
    </row>
    <row r="145" spans="1:12" ht="14.25" customHeight="1">
      <c r="A145" s="337"/>
      <c r="B145" s="337"/>
      <c r="C145" s="337" t="s">
        <v>537</v>
      </c>
      <c r="D145" s="341"/>
      <c r="E145" s="334">
        <v>606.52</v>
      </c>
      <c r="F145" s="341">
        <v>1131.67</v>
      </c>
      <c r="G145" s="334">
        <v>1132.4000000000001</v>
      </c>
      <c r="H145" s="341">
        <v>41.1</v>
      </c>
      <c r="I145" s="334">
        <v>11.914300000000001</v>
      </c>
      <c r="J145" s="406">
        <f t="shared" si="18"/>
        <v>-1090.5700000000002</v>
      </c>
      <c r="K145" s="417">
        <f t="shared" si="16"/>
        <v>1.0521282232426704E-2</v>
      </c>
      <c r="L145" s="417">
        <f t="shared" si="17"/>
        <v>-29.185700000000001</v>
      </c>
    </row>
    <row r="146" spans="1:12" ht="14.25" customHeight="1">
      <c r="A146" s="337"/>
      <c r="B146" s="337"/>
      <c r="C146" s="337" t="s">
        <v>714</v>
      </c>
      <c r="D146" s="341"/>
      <c r="E146" s="334"/>
      <c r="F146" s="341">
        <v>0</v>
      </c>
      <c r="G146" s="334">
        <v>0</v>
      </c>
      <c r="H146" s="341">
        <v>0.2</v>
      </c>
      <c r="I146" s="334">
        <v>0</v>
      </c>
      <c r="J146" s="406"/>
      <c r="K146" s="417">
        <v>0</v>
      </c>
      <c r="L146" s="417">
        <f t="shared" si="17"/>
        <v>-0.2</v>
      </c>
    </row>
    <row r="147" spans="1:12" ht="14.25" customHeight="1">
      <c r="A147" s="337"/>
      <c r="B147" s="337"/>
      <c r="C147" s="425" t="s">
        <v>744</v>
      </c>
      <c r="D147" s="341"/>
      <c r="E147" s="334"/>
      <c r="F147" s="341">
        <v>0</v>
      </c>
      <c r="G147" s="334">
        <v>0</v>
      </c>
      <c r="H147" s="341">
        <v>0</v>
      </c>
      <c r="I147" s="334">
        <v>40.078000000000003</v>
      </c>
      <c r="J147" s="406"/>
      <c r="K147" s="417">
        <v>0</v>
      </c>
      <c r="L147" s="417">
        <f t="shared" si="17"/>
        <v>40.078000000000003</v>
      </c>
    </row>
    <row r="148" spans="1:12" ht="14.25" customHeight="1">
      <c r="A148" s="337"/>
      <c r="B148" s="337"/>
      <c r="C148" s="337" t="s">
        <v>743</v>
      </c>
      <c r="D148" s="341"/>
      <c r="E148" s="334"/>
      <c r="F148" s="341">
        <v>0</v>
      </c>
      <c r="G148" s="334">
        <v>0</v>
      </c>
      <c r="H148" s="341">
        <v>0</v>
      </c>
      <c r="I148" s="334">
        <v>0.91142999999999996</v>
      </c>
      <c r="J148" s="406"/>
      <c r="K148" s="417">
        <v>0</v>
      </c>
      <c r="L148" s="417">
        <f t="shared" si="17"/>
        <v>0.91142999999999996</v>
      </c>
    </row>
    <row r="149" spans="1:12" ht="14.25" customHeight="1">
      <c r="A149" s="337"/>
      <c r="B149" s="337"/>
      <c r="C149" s="337" t="s">
        <v>715</v>
      </c>
      <c r="D149" s="341"/>
      <c r="E149" s="334"/>
      <c r="F149" s="341">
        <v>0</v>
      </c>
      <c r="G149" s="334">
        <v>0</v>
      </c>
      <c r="H149" s="341">
        <v>3.3</v>
      </c>
      <c r="I149" s="334">
        <v>0</v>
      </c>
      <c r="J149" s="406"/>
      <c r="K149" s="417">
        <v>0</v>
      </c>
      <c r="L149" s="417">
        <f t="shared" si="17"/>
        <v>-3.3</v>
      </c>
    </row>
    <row r="150" spans="1:12" ht="14.25" customHeight="1">
      <c r="A150" s="337"/>
      <c r="B150" s="421" t="s">
        <v>740</v>
      </c>
      <c r="C150" s="337" t="s">
        <v>551</v>
      </c>
      <c r="D150" s="334">
        <v>4.0999999999999996</v>
      </c>
      <c r="E150" s="334">
        <v>4.0999999999999996</v>
      </c>
      <c r="F150" s="334">
        <v>3.3</v>
      </c>
      <c r="G150" s="334">
        <v>3.3</v>
      </c>
      <c r="H150" s="334">
        <f>2.7-0.3</f>
        <v>2.4000000000000004</v>
      </c>
      <c r="I150" s="334">
        <v>4.5439999999999996</v>
      </c>
      <c r="J150" s="406">
        <f t="shared" si="18"/>
        <v>-0.89999999999999947</v>
      </c>
      <c r="K150" s="417">
        <f t="shared" si="16"/>
        <v>1.376969696969697</v>
      </c>
      <c r="L150" s="417">
        <f t="shared" si="17"/>
        <v>2.1439999999999992</v>
      </c>
    </row>
    <row r="151" spans="1:12" ht="14.25" hidden="1" customHeight="1">
      <c r="A151" s="337"/>
      <c r="B151" s="337"/>
      <c r="C151" s="337" t="s">
        <v>393</v>
      </c>
      <c r="D151" s="334">
        <v>11</v>
      </c>
      <c r="E151" s="334">
        <v>11.04</v>
      </c>
      <c r="F151" s="341"/>
      <c r="G151" s="341"/>
      <c r="H151" s="341"/>
      <c r="I151" s="341"/>
      <c r="J151" s="406">
        <f t="shared" si="18"/>
        <v>0</v>
      </c>
      <c r="K151" s="407" t="e">
        <f t="shared" si="16"/>
        <v>#DIV/0!</v>
      </c>
      <c r="L151" s="407">
        <f t="shared" si="17"/>
        <v>0</v>
      </c>
    </row>
    <row r="152" spans="1:12" ht="14.25" customHeight="1">
      <c r="A152" s="415"/>
      <c r="B152" s="415"/>
      <c r="C152" s="416" t="s">
        <v>367</v>
      </c>
      <c r="D152" s="412">
        <f>D6+D20+D38+D77+D85+D96</f>
        <v>5847.2899999999991</v>
      </c>
      <c r="E152" s="412">
        <f>E6+E20+E38+E77+E85+E96</f>
        <v>9739.869999999999</v>
      </c>
      <c r="F152" s="410">
        <f t="shared" ref="F152:G152" si="19">F6+F20+F38+F77+F85+F96</f>
        <v>9031.75</v>
      </c>
      <c r="G152" s="410">
        <f t="shared" si="19"/>
        <v>9147.33</v>
      </c>
      <c r="H152" s="410">
        <f>H6+H20+H38+H77+H85+H96</f>
        <v>3513.2773599999996</v>
      </c>
      <c r="I152" s="410">
        <f>I6+I20+I38+I77+I85+I96</f>
        <v>2286.6634199999999</v>
      </c>
      <c r="J152" s="406">
        <f t="shared" si="18"/>
        <v>-5518.47264</v>
      </c>
      <c r="K152" s="407">
        <f t="shared" si="16"/>
        <v>0.24998151591775961</v>
      </c>
      <c r="L152" s="407">
        <f t="shared" si="17"/>
        <v>-1226.6139399999997</v>
      </c>
    </row>
    <row r="153" spans="1:12" ht="14.25" customHeight="1">
      <c r="A153" s="336" t="s">
        <v>368</v>
      </c>
      <c r="B153" s="336"/>
      <c r="C153" s="335" t="s">
        <v>369</v>
      </c>
      <c r="D153" s="333">
        <v>359.5</v>
      </c>
      <c r="E153" s="333">
        <v>722.74</v>
      </c>
      <c r="F153" s="333">
        <v>4013.8</v>
      </c>
      <c r="G153" s="333">
        <v>3202.6</v>
      </c>
      <c r="H153" s="333">
        <v>373.4</v>
      </c>
      <c r="I153" s="333">
        <v>212.34638000000001</v>
      </c>
      <c r="J153" s="406">
        <f t="shared" si="18"/>
        <v>-3640.4</v>
      </c>
      <c r="K153" s="417">
        <f t="shared" si="16"/>
        <v>6.630437144819834E-2</v>
      </c>
      <c r="L153" s="417">
        <f t="shared" si="17"/>
        <v>-161.05361999999997</v>
      </c>
    </row>
    <row r="154" spans="1:12" ht="14.25" customHeight="1">
      <c r="A154" s="336" t="s">
        <v>370</v>
      </c>
      <c r="B154" s="336"/>
      <c r="C154" s="335" t="s">
        <v>371</v>
      </c>
      <c r="D154" s="333">
        <v>3647.7</v>
      </c>
      <c r="E154" s="333">
        <v>3730.44</v>
      </c>
      <c r="F154" s="333">
        <v>4676.6000000000004</v>
      </c>
      <c r="G154" s="333">
        <v>4375.5</v>
      </c>
      <c r="H154" s="333">
        <v>4986.2</v>
      </c>
      <c r="I154" s="333">
        <v>4396.4389700000002</v>
      </c>
      <c r="J154" s="406">
        <f t="shared" si="18"/>
        <v>309.59999999999945</v>
      </c>
      <c r="K154" s="417">
        <f t="shared" si="16"/>
        <v>1.0047855033710433</v>
      </c>
      <c r="L154" s="417">
        <f t="shared" si="17"/>
        <v>-589.76102999999966</v>
      </c>
    </row>
    <row r="155" spans="1:12" ht="14.25" customHeight="1">
      <c r="A155" s="403"/>
      <c r="B155" s="403"/>
      <c r="C155" s="404" t="s">
        <v>372</v>
      </c>
      <c r="D155" s="412">
        <f>D152+D154+D153</f>
        <v>9854.489999999998</v>
      </c>
      <c r="E155" s="410">
        <f>E154+E153+E152</f>
        <v>14193.05</v>
      </c>
      <c r="F155" s="410">
        <f>F152+F154+F153</f>
        <v>17722.150000000001</v>
      </c>
      <c r="G155" s="410">
        <f>G152+G154+G153</f>
        <v>16725.43</v>
      </c>
      <c r="H155" s="410">
        <f>H152+H154+H153</f>
        <v>8872.8773599999986</v>
      </c>
      <c r="I155" s="410">
        <f>I152+I154+I153</f>
        <v>6895.44877</v>
      </c>
      <c r="J155" s="406">
        <f t="shared" si="18"/>
        <v>-8849.2726400000029</v>
      </c>
      <c r="K155" s="407">
        <f t="shared" si="16"/>
        <v>0.4122733328829214</v>
      </c>
      <c r="L155" s="407">
        <f t="shared" si="17"/>
        <v>-1977.4285899999986</v>
      </c>
    </row>
  </sheetData>
  <mergeCells count="7">
    <mergeCell ref="C2:L2"/>
    <mergeCell ref="A3:A5"/>
    <mergeCell ref="C3:C5"/>
    <mergeCell ref="D3:I4"/>
    <mergeCell ref="J3:J5"/>
    <mergeCell ref="K3:K5"/>
    <mergeCell ref="L3:L5"/>
  </mergeCells>
  <pageMargins left="0.5" right="0.19685039370078741" top="0.35433070866141736" bottom="0.19685039370078741" header="0.35433070866141736" footer="0.19685039370078741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0"/>
  <sheetViews>
    <sheetView view="pageBreakPreview" zoomScale="93" zoomScaleSheetLayoutView="93" workbookViewId="0">
      <pane xSplit="2" ySplit="4" topLeftCell="C90" activePane="bottomRight" state="frozen"/>
      <selection pane="topRight" activeCell="C1" sqref="C1"/>
      <selection pane="bottomLeft" activeCell="A5" sqref="A5"/>
      <selection pane="bottomRight" activeCell="I101" sqref="I101"/>
    </sheetView>
  </sheetViews>
  <sheetFormatPr defaultColWidth="9.109375" defaultRowHeight="13.2"/>
  <cols>
    <col min="1" max="1" width="21.109375" style="354" customWidth="1"/>
    <col min="2" max="2" width="49.109375" style="353" customWidth="1"/>
    <col min="3" max="4" width="10.44140625" style="353" customWidth="1"/>
    <col min="5" max="5" width="12.44140625" style="352" customWidth="1"/>
    <col min="6" max="6" width="12" style="352" customWidth="1"/>
    <col min="7" max="7" width="9.109375" style="352" customWidth="1"/>
    <col min="8" max="8" width="7.44140625" style="352" customWidth="1"/>
    <col min="9" max="16384" width="9.109375" style="352"/>
  </cols>
  <sheetData>
    <row r="1" spans="1:8" ht="15.6">
      <c r="A1" s="548" t="s">
        <v>247</v>
      </c>
      <c r="B1" s="548"/>
      <c r="C1" s="548"/>
      <c r="D1" s="548"/>
      <c r="E1" s="548"/>
      <c r="F1" s="549" t="s">
        <v>477</v>
      </c>
      <c r="G1" s="549"/>
      <c r="H1" s="549"/>
    </row>
    <row r="2" spans="1:8" ht="15.6">
      <c r="A2" s="548" t="s">
        <v>628</v>
      </c>
      <c r="B2" s="548"/>
      <c r="C2" s="548"/>
      <c r="D2" s="548"/>
      <c r="E2" s="548"/>
      <c r="F2" s="507"/>
      <c r="G2" s="507"/>
    </row>
    <row r="3" spans="1:8" ht="15.6">
      <c r="A3" s="547" t="s">
        <v>767</v>
      </c>
      <c r="B3" s="547"/>
      <c r="C3" s="547"/>
      <c r="D3" s="547"/>
      <c r="E3" s="547"/>
      <c r="F3" s="508"/>
      <c r="G3" s="399" t="s">
        <v>248</v>
      </c>
      <c r="H3" s="399"/>
    </row>
    <row r="4" spans="1:8" ht="56.25" customHeight="1">
      <c r="A4" s="398" t="s">
        <v>0</v>
      </c>
      <c r="B4" s="397" t="s">
        <v>1</v>
      </c>
      <c r="C4" s="396" t="s">
        <v>752</v>
      </c>
      <c r="D4" s="396" t="s">
        <v>465</v>
      </c>
      <c r="E4" s="395" t="s">
        <v>464</v>
      </c>
      <c r="F4" s="395" t="s">
        <v>768</v>
      </c>
      <c r="G4" s="395" t="s">
        <v>2</v>
      </c>
      <c r="H4" s="395" t="s">
        <v>3</v>
      </c>
    </row>
    <row r="5" spans="1:8">
      <c r="A5" s="391"/>
      <c r="B5" s="390" t="s">
        <v>4</v>
      </c>
      <c r="C5" s="389">
        <f>SUM(C6+C11+C15+C20+C23+C10)</f>
        <v>33345</v>
      </c>
      <c r="D5" s="389">
        <f t="shared" ref="D5:D14" si="0">E5-C5</f>
        <v>-1474</v>
      </c>
      <c r="E5" s="491">
        <f>SUM(E6+E11+E15+E20+E23+E10)</f>
        <v>31871</v>
      </c>
      <c r="F5" s="388">
        <f>SUM(F8+F11+F15+F20+F10)</f>
        <v>30157.802020000003</v>
      </c>
      <c r="G5" s="387">
        <f t="shared" ref="G5:G65" si="1">SUM(F5/E5%)</f>
        <v>94.62458667754386</v>
      </c>
      <c r="H5" s="387">
        <f t="shared" ref="H5:H16" si="2">SUM(F5-E5)</f>
        <v>-1713.1979799999972</v>
      </c>
    </row>
    <row r="6" spans="1:8" ht="48" hidden="1" customHeight="1">
      <c r="A6" s="393" t="s">
        <v>5</v>
      </c>
      <c r="B6" s="392" t="s">
        <v>6</v>
      </c>
      <c r="C6" s="362">
        <f>SUM(C7+C8)</f>
        <v>21185</v>
      </c>
      <c r="D6" s="362">
        <f t="shared" si="0"/>
        <v>-741</v>
      </c>
      <c r="E6" s="492">
        <f>SUM(E7+E8)</f>
        <v>20444</v>
      </c>
      <c r="F6" s="386">
        <f>SUM(F7+F8)</f>
        <v>20682.751670000001</v>
      </c>
      <c r="G6" s="387">
        <f t="shared" si="1"/>
        <v>101.16783246918412</v>
      </c>
      <c r="H6" s="370">
        <f t="shared" si="2"/>
        <v>238.75167000000147</v>
      </c>
    </row>
    <row r="7" spans="1:8" ht="36" hidden="1" customHeight="1">
      <c r="A7" s="365" t="s">
        <v>7</v>
      </c>
      <c r="B7" s="363" t="s">
        <v>8</v>
      </c>
      <c r="C7" s="371"/>
      <c r="D7" s="362">
        <f t="shared" si="0"/>
        <v>0</v>
      </c>
      <c r="E7" s="493"/>
      <c r="F7" s="332"/>
      <c r="G7" s="387" t="e">
        <f t="shared" si="1"/>
        <v>#DIV/0!</v>
      </c>
      <c r="H7" s="370">
        <f t="shared" si="2"/>
        <v>0</v>
      </c>
    </row>
    <row r="8" spans="1:8">
      <c r="A8" s="393" t="s">
        <v>9</v>
      </c>
      <c r="B8" s="392" t="s">
        <v>10</v>
      </c>
      <c r="C8" s="362">
        <f>C9</f>
        <v>21185</v>
      </c>
      <c r="D8" s="362">
        <f t="shared" si="0"/>
        <v>-741</v>
      </c>
      <c r="E8" s="492">
        <f>E9</f>
        <v>20444</v>
      </c>
      <c r="F8" s="386">
        <f>F9</f>
        <v>20682.751670000001</v>
      </c>
      <c r="G8" s="429">
        <f t="shared" si="1"/>
        <v>101.16783246918412</v>
      </c>
      <c r="H8" s="361">
        <f t="shared" si="2"/>
        <v>238.75167000000147</v>
      </c>
    </row>
    <row r="9" spans="1:8">
      <c r="A9" s="365" t="s">
        <v>9</v>
      </c>
      <c r="B9" s="363" t="s">
        <v>413</v>
      </c>
      <c r="C9" s="368">
        <v>21185</v>
      </c>
      <c r="D9" s="362">
        <f t="shared" si="0"/>
        <v>-741</v>
      </c>
      <c r="E9" s="367">
        <v>20444</v>
      </c>
      <c r="F9" s="338">
        <v>20682.751670000001</v>
      </c>
      <c r="G9" s="429">
        <f t="shared" si="1"/>
        <v>101.16783246918412</v>
      </c>
      <c r="H9" s="361">
        <f t="shared" si="2"/>
        <v>238.75167000000147</v>
      </c>
    </row>
    <row r="10" spans="1:8">
      <c r="A10" s="393" t="s">
        <v>284</v>
      </c>
      <c r="B10" s="392" t="s">
        <v>285</v>
      </c>
      <c r="C10" s="368">
        <v>1546</v>
      </c>
      <c r="D10" s="362">
        <f t="shared" si="0"/>
        <v>-140</v>
      </c>
      <c r="E10" s="492">
        <v>1406</v>
      </c>
      <c r="F10" s="386">
        <v>1380.15219</v>
      </c>
      <c r="G10" s="429">
        <f t="shared" si="1"/>
        <v>98.161606685633004</v>
      </c>
      <c r="H10" s="361">
        <f t="shared" si="2"/>
        <v>-25.847809999999981</v>
      </c>
    </row>
    <row r="11" spans="1:8">
      <c r="A11" s="393" t="s">
        <v>11</v>
      </c>
      <c r="B11" s="392" t="s">
        <v>12</v>
      </c>
      <c r="C11" s="362">
        <f>SUM(C12+C14+C13)</f>
        <v>6715</v>
      </c>
      <c r="D11" s="362">
        <f t="shared" si="0"/>
        <v>0</v>
      </c>
      <c r="E11" s="492">
        <f>SUM(E12+E14+E13)</f>
        <v>6715</v>
      </c>
      <c r="F11" s="386">
        <f>SUM(F12+F14+F13)</f>
        <v>4754.0105300000005</v>
      </c>
      <c r="G11" s="429">
        <f t="shared" si="1"/>
        <v>70.79688056589724</v>
      </c>
      <c r="H11" s="370">
        <f t="shared" si="2"/>
        <v>-1960.9894699999995</v>
      </c>
    </row>
    <row r="12" spans="1:8" ht="15" customHeight="1">
      <c r="A12" s="365" t="s">
        <v>13</v>
      </c>
      <c r="B12" s="363" t="s">
        <v>14</v>
      </c>
      <c r="C12" s="368">
        <v>5974</v>
      </c>
      <c r="D12" s="362">
        <f t="shared" si="0"/>
        <v>0</v>
      </c>
      <c r="E12" s="367">
        <v>5974</v>
      </c>
      <c r="F12" s="338">
        <v>4236.3266400000002</v>
      </c>
      <c r="G12" s="429">
        <f t="shared" si="1"/>
        <v>70.912732507532638</v>
      </c>
      <c r="H12" s="361">
        <f t="shared" si="2"/>
        <v>-1737.6733599999998</v>
      </c>
    </row>
    <row r="13" spans="1:8" ht="15" customHeight="1">
      <c r="A13" s="365" t="s">
        <v>230</v>
      </c>
      <c r="B13" s="363" t="s">
        <v>231</v>
      </c>
      <c r="C13" s="368">
        <v>23</v>
      </c>
      <c r="D13" s="362">
        <f t="shared" si="0"/>
        <v>0</v>
      </c>
      <c r="E13" s="367">
        <v>23</v>
      </c>
      <c r="F13" s="338">
        <v>22.211580000000001</v>
      </c>
      <c r="G13" s="429">
        <f t="shared" si="1"/>
        <v>96.572086956521744</v>
      </c>
      <c r="H13" s="361">
        <f t="shared" si="2"/>
        <v>-0.78841999999999857</v>
      </c>
    </row>
    <row r="14" spans="1:8">
      <c r="A14" s="364" t="s">
        <v>241</v>
      </c>
      <c r="B14" s="394" t="s">
        <v>242</v>
      </c>
      <c r="C14" s="330">
        <v>718</v>
      </c>
      <c r="D14" s="362">
        <f t="shared" si="0"/>
        <v>0</v>
      </c>
      <c r="E14" s="494">
        <v>718</v>
      </c>
      <c r="F14" s="333">
        <v>495.47230999999999</v>
      </c>
      <c r="G14" s="429">
        <f t="shared" si="1"/>
        <v>69.007285515320334</v>
      </c>
      <c r="H14" s="361">
        <f t="shared" si="2"/>
        <v>-222.52769000000001</v>
      </c>
    </row>
    <row r="15" spans="1:8">
      <c r="A15" s="393" t="s">
        <v>15</v>
      </c>
      <c r="B15" s="392" t="s">
        <v>16</v>
      </c>
      <c r="C15" s="362">
        <f>C16+C17</f>
        <v>3399</v>
      </c>
      <c r="D15" s="362">
        <f>D16+D17</f>
        <v>-493</v>
      </c>
      <c r="E15" s="492">
        <f>E16+E17</f>
        <v>2906</v>
      </c>
      <c r="F15" s="386">
        <f>F16+F17</f>
        <v>2967.7875199999999</v>
      </c>
      <c r="G15" s="429">
        <f t="shared" si="1"/>
        <v>102.12620509291122</v>
      </c>
      <c r="H15" s="361">
        <f t="shared" si="2"/>
        <v>61.787519999999859</v>
      </c>
    </row>
    <row r="16" spans="1:8">
      <c r="A16" s="365" t="s">
        <v>17</v>
      </c>
      <c r="B16" s="363" t="s">
        <v>18</v>
      </c>
      <c r="C16" s="368">
        <v>1659</v>
      </c>
      <c r="D16" s="362">
        <f>E16-C16</f>
        <v>-528</v>
      </c>
      <c r="E16" s="367">
        <v>1131</v>
      </c>
      <c r="F16" s="338">
        <v>1173.6277399999999</v>
      </c>
      <c r="G16" s="429">
        <f t="shared" si="1"/>
        <v>103.76903094606541</v>
      </c>
      <c r="H16" s="361">
        <f t="shared" si="2"/>
        <v>42.627739999999903</v>
      </c>
    </row>
    <row r="17" spans="1:8">
      <c r="A17" s="393" t="s">
        <v>19</v>
      </c>
      <c r="B17" s="392" t="s">
        <v>611</v>
      </c>
      <c r="C17" s="362">
        <f>C18+C19</f>
        <v>1740</v>
      </c>
      <c r="D17" s="362">
        <f>D18+D19</f>
        <v>35</v>
      </c>
      <c r="E17" s="492">
        <f>E18+E19</f>
        <v>1775</v>
      </c>
      <c r="F17" s="386">
        <f>F18+F19</f>
        <v>1794.15978</v>
      </c>
      <c r="G17" s="429">
        <f t="shared" si="1"/>
        <v>101.07942422535211</v>
      </c>
      <c r="H17" s="362">
        <f>F17-E17</f>
        <v>19.159779999999955</v>
      </c>
    </row>
    <row r="18" spans="1:8" ht="16.5" customHeight="1">
      <c r="A18" s="365" t="s">
        <v>618</v>
      </c>
      <c r="B18" s="363" t="s">
        <v>696</v>
      </c>
      <c r="C18" s="368">
        <v>900</v>
      </c>
      <c r="D18" s="362">
        <f t="shared" ref="D18:D53" si="3">E18-C18</f>
        <v>-274</v>
      </c>
      <c r="E18" s="367">
        <v>626</v>
      </c>
      <c r="F18" s="338">
        <v>645.30516</v>
      </c>
      <c r="G18" s="429">
        <f t="shared" si="1"/>
        <v>103.08389137380192</v>
      </c>
      <c r="H18" s="361">
        <f t="shared" ref="H18:H62" si="4">SUM(F18-E18)</f>
        <v>19.305160000000001</v>
      </c>
    </row>
    <row r="19" spans="1:8">
      <c r="A19" s="365" t="s">
        <v>619</v>
      </c>
      <c r="B19" s="363" t="s">
        <v>697</v>
      </c>
      <c r="C19" s="368">
        <v>840</v>
      </c>
      <c r="D19" s="362">
        <f t="shared" si="3"/>
        <v>309</v>
      </c>
      <c r="E19" s="367">
        <v>1149</v>
      </c>
      <c r="F19" s="338">
        <v>1148.8546200000001</v>
      </c>
      <c r="G19" s="429">
        <f t="shared" si="1"/>
        <v>99.987347258485642</v>
      </c>
      <c r="H19" s="361">
        <f t="shared" si="4"/>
        <v>-0.1453799999999319</v>
      </c>
    </row>
    <row r="20" spans="1:8">
      <c r="A20" s="393" t="s">
        <v>20</v>
      </c>
      <c r="B20" s="392" t="s">
        <v>21</v>
      </c>
      <c r="C20" s="362">
        <f>SUM(C21)</f>
        <v>500</v>
      </c>
      <c r="D20" s="362">
        <f t="shared" si="3"/>
        <v>-100</v>
      </c>
      <c r="E20" s="492">
        <f>+E22</f>
        <v>400</v>
      </c>
      <c r="F20" s="362">
        <f>+F22</f>
        <v>373.10010999999997</v>
      </c>
      <c r="G20" s="429">
        <f t="shared" si="1"/>
        <v>93.275027499999993</v>
      </c>
      <c r="H20" s="370">
        <f t="shared" si="4"/>
        <v>-26.899890000000028</v>
      </c>
    </row>
    <row r="21" spans="1:8" ht="96" hidden="1" customHeight="1">
      <c r="A21" s="365" t="s">
        <v>22</v>
      </c>
      <c r="B21" s="363" t="s">
        <v>23</v>
      </c>
      <c r="C21" s="368">
        <f>C22</f>
        <v>500</v>
      </c>
      <c r="D21" s="362">
        <f t="shared" si="3"/>
        <v>-100</v>
      </c>
      <c r="E21" s="367">
        <f>E22</f>
        <v>400</v>
      </c>
      <c r="F21" s="338">
        <f>F22</f>
        <v>373.10010999999997</v>
      </c>
      <c r="G21" s="429">
        <f t="shared" si="1"/>
        <v>93.275027499999993</v>
      </c>
      <c r="H21" s="370">
        <f t="shared" si="4"/>
        <v>-26.899890000000028</v>
      </c>
    </row>
    <row r="22" spans="1:8" ht="43.5" customHeight="1">
      <c r="A22" s="365" t="s">
        <v>24</v>
      </c>
      <c r="B22" s="363" t="s">
        <v>698</v>
      </c>
      <c r="C22" s="368">
        <v>500</v>
      </c>
      <c r="D22" s="362">
        <f t="shared" si="3"/>
        <v>-100</v>
      </c>
      <c r="E22" s="367">
        <v>400</v>
      </c>
      <c r="F22" s="338">
        <v>373.10010999999997</v>
      </c>
      <c r="G22" s="429">
        <f t="shared" si="1"/>
        <v>93.275027499999993</v>
      </c>
      <c r="H22" s="361">
        <f t="shared" si="4"/>
        <v>-26.899890000000028</v>
      </c>
    </row>
    <row r="23" spans="1:8" s="356" customFormat="1" ht="84" hidden="1" customHeight="1">
      <c r="A23" s="393" t="s">
        <v>140</v>
      </c>
      <c r="B23" s="392" t="s">
        <v>142</v>
      </c>
      <c r="C23" s="362"/>
      <c r="D23" s="362">
        <f t="shared" si="3"/>
        <v>0</v>
      </c>
      <c r="E23" s="492"/>
      <c r="F23" s="386"/>
      <c r="G23" s="387" t="e">
        <f t="shared" si="1"/>
        <v>#DIV/0!</v>
      </c>
      <c r="H23" s="370">
        <f t="shared" si="4"/>
        <v>0</v>
      </c>
    </row>
    <row r="24" spans="1:8" ht="72" hidden="1" customHeight="1">
      <c r="A24" s="365" t="s">
        <v>141</v>
      </c>
      <c r="B24" s="363" t="s">
        <v>143</v>
      </c>
      <c r="C24" s="368">
        <v>6</v>
      </c>
      <c r="D24" s="362">
        <f t="shared" si="3"/>
        <v>0</v>
      </c>
      <c r="E24" s="367">
        <v>6</v>
      </c>
      <c r="F24" s="338">
        <v>6.2149999999999999</v>
      </c>
      <c r="G24" s="387">
        <f t="shared" si="1"/>
        <v>103.58333333333333</v>
      </c>
      <c r="H24" s="370">
        <f t="shared" si="4"/>
        <v>0.21499999999999986</v>
      </c>
    </row>
    <row r="25" spans="1:8">
      <c r="A25" s="391" t="s">
        <v>0</v>
      </c>
      <c r="B25" s="390" t="s">
        <v>26</v>
      </c>
      <c r="C25" s="389">
        <f>SUM(C26+C31+C38+C52+C33+C35+C51)</f>
        <v>3579</v>
      </c>
      <c r="D25" s="389">
        <f t="shared" si="3"/>
        <v>-72</v>
      </c>
      <c r="E25" s="491">
        <f>SUM(E26+E31+E38+E52+E33+E35+E51)</f>
        <v>3507</v>
      </c>
      <c r="F25" s="388">
        <f>SUM(F26+F31+F38+F52+F33+F35+F51)</f>
        <v>3612.3150700000001</v>
      </c>
      <c r="G25" s="387">
        <f t="shared" si="1"/>
        <v>103.00299600798404</v>
      </c>
      <c r="H25" s="387">
        <f t="shared" si="4"/>
        <v>105.31507000000011</v>
      </c>
    </row>
    <row r="26" spans="1:8" ht="34.200000000000003">
      <c r="A26" s="393" t="s">
        <v>27</v>
      </c>
      <c r="B26" s="392" t="s">
        <v>28</v>
      </c>
      <c r="C26" s="362">
        <f>C29+C27</f>
        <v>2837</v>
      </c>
      <c r="D26" s="362">
        <f t="shared" si="3"/>
        <v>-190</v>
      </c>
      <c r="E26" s="492">
        <f>E29+E27</f>
        <v>2647</v>
      </c>
      <c r="F26" s="386">
        <f>F29+F27</f>
        <v>2717.21828</v>
      </c>
      <c r="G26" s="429">
        <f t="shared" si="1"/>
        <v>102.65274952776728</v>
      </c>
      <c r="H26" s="370">
        <f t="shared" si="4"/>
        <v>70.21828000000005</v>
      </c>
    </row>
    <row r="27" spans="1:8" ht="84" hidden="1" customHeight="1">
      <c r="A27" s="365" t="s">
        <v>29</v>
      </c>
      <c r="B27" s="363" t="s">
        <v>30</v>
      </c>
      <c r="C27" s="368">
        <f>C28</f>
        <v>870</v>
      </c>
      <c r="D27" s="362">
        <f t="shared" si="3"/>
        <v>490</v>
      </c>
      <c r="E27" s="367">
        <f>E28</f>
        <v>1360</v>
      </c>
      <c r="F27" s="338">
        <f>F28</f>
        <v>1340.5730799999999</v>
      </c>
      <c r="G27" s="429">
        <f t="shared" si="1"/>
        <v>98.571549999999988</v>
      </c>
      <c r="H27" s="370">
        <f t="shared" si="4"/>
        <v>-19.426920000000109</v>
      </c>
    </row>
    <row r="28" spans="1:8" ht="60">
      <c r="A28" s="365" t="s">
        <v>31</v>
      </c>
      <c r="B28" s="363" t="s">
        <v>701</v>
      </c>
      <c r="C28" s="368">
        <v>870</v>
      </c>
      <c r="D28" s="362">
        <f t="shared" si="3"/>
        <v>490</v>
      </c>
      <c r="E28" s="367">
        <v>1360</v>
      </c>
      <c r="F28" s="338">
        <v>1340.5730799999999</v>
      </c>
      <c r="G28" s="429">
        <f t="shared" si="1"/>
        <v>98.571549999999988</v>
      </c>
      <c r="H28" s="361">
        <f t="shared" si="4"/>
        <v>-19.426920000000109</v>
      </c>
    </row>
    <row r="29" spans="1:8" ht="96" hidden="1" customHeight="1">
      <c r="A29" s="365" t="s">
        <v>33</v>
      </c>
      <c r="B29" s="363" t="s">
        <v>34</v>
      </c>
      <c r="C29" s="368">
        <f>C30</f>
        <v>1967</v>
      </c>
      <c r="D29" s="362">
        <f t="shared" si="3"/>
        <v>-680</v>
      </c>
      <c r="E29" s="367">
        <f>E30</f>
        <v>1287</v>
      </c>
      <c r="F29" s="338">
        <f>F30</f>
        <v>1376.6451999999999</v>
      </c>
      <c r="G29" s="429">
        <f t="shared" si="1"/>
        <v>106.96543900543901</v>
      </c>
      <c r="H29" s="361">
        <f t="shared" si="4"/>
        <v>89.645199999999932</v>
      </c>
    </row>
    <row r="30" spans="1:8" ht="24">
      <c r="A30" s="365" t="s">
        <v>35</v>
      </c>
      <c r="B30" s="363" t="s">
        <v>36</v>
      </c>
      <c r="C30" s="368">
        <v>1967</v>
      </c>
      <c r="D30" s="362">
        <f t="shared" si="3"/>
        <v>-680</v>
      </c>
      <c r="E30" s="367">
        <v>1287</v>
      </c>
      <c r="F30" s="338">
        <v>1376.6451999999999</v>
      </c>
      <c r="G30" s="429">
        <f t="shared" si="1"/>
        <v>106.96543900543901</v>
      </c>
      <c r="H30" s="361">
        <f t="shared" si="4"/>
        <v>89.645199999999932</v>
      </c>
    </row>
    <row r="31" spans="1:8" ht="22.8">
      <c r="A31" s="393" t="s">
        <v>37</v>
      </c>
      <c r="B31" s="392" t="s">
        <v>38</v>
      </c>
      <c r="C31" s="362">
        <f>C32</f>
        <v>290</v>
      </c>
      <c r="D31" s="362">
        <f t="shared" si="3"/>
        <v>-10</v>
      </c>
      <c r="E31" s="492">
        <f>E32</f>
        <v>280</v>
      </c>
      <c r="F31" s="386">
        <f>F32</f>
        <v>279.83276000000001</v>
      </c>
      <c r="G31" s="429">
        <f t="shared" si="1"/>
        <v>99.940271428571435</v>
      </c>
      <c r="H31" s="370">
        <f t="shared" si="4"/>
        <v>-0.16723999999999251</v>
      </c>
    </row>
    <row r="32" spans="1:8">
      <c r="A32" s="365" t="s">
        <v>39</v>
      </c>
      <c r="B32" s="363" t="s">
        <v>40</v>
      </c>
      <c r="C32" s="368">
        <v>290</v>
      </c>
      <c r="D32" s="362">
        <f t="shared" si="3"/>
        <v>-10</v>
      </c>
      <c r="E32" s="367">
        <v>280</v>
      </c>
      <c r="F32" s="338">
        <v>279.83276000000001</v>
      </c>
      <c r="G32" s="429">
        <f t="shared" si="1"/>
        <v>99.940271428571435</v>
      </c>
      <c r="H32" s="361">
        <f t="shared" si="4"/>
        <v>-0.16723999999999251</v>
      </c>
    </row>
    <row r="33" spans="1:8" s="356" customFormat="1" ht="22.8">
      <c r="A33" s="393" t="s">
        <v>145</v>
      </c>
      <c r="B33" s="392" t="s">
        <v>144</v>
      </c>
      <c r="C33" s="386">
        <f>C34</f>
        <v>62</v>
      </c>
      <c r="D33" s="362">
        <f t="shared" si="3"/>
        <v>-22</v>
      </c>
      <c r="E33" s="492">
        <f>E34</f>
        <v>40</v>
      </c>
      <c r="F33" s="386">
        <f>F34</f>
        <v>42.689450000000001</v>
      </c>
      <c r="G33" s="429">
        <f t="shared" si="1"/>
        <v>106.723625</v>
      </c>
      <c r="H33" s="370">
        <f t="shared" si="4"/>
        <v>2.6894500000000008</v>
      </c>
    </row>
    <row r="34" spans="1:8" ht="36">
      <c r="A34" s="365" t="s">
        <v>146</v>
      </c>
      <c r="B34" s="363" t="s">
        <v>147</v>
      </c>
      <c r="C34" s="368">
        <v>62</v>
      </c>
      <c r="D34" s="362">
        <f t="shared" si="3"/>
        <v>-22</v>
      </c>
      <c r="E34" s="367">
        <v>40</v>
      </c>
      <c r="F34" s="338">
        <v>42.689450000000001</v>
      </c>
      <c r="G34" s="429">
        <f t="shared" si="1"/>
        <v>106.723625</v>
      </c>
      <c r="H34" s="361">
        <f t="shared" si="4"/>
        <v>2.6894500000000008</v>
      </c>
    </row>
    <row r="35" spans="1:8" s="356" customFormat="1" ht="22.8">
      <c r="A35" s="393" t="s">
        <v>148</v>
      </c>
      <c r="B35" s="392" t="s">
        <v>149</v>
      </c>
      <c r="C35" s="386">
        <f>C37+C36</f>
        <v>200</v>
      </c>
      <c r="D35" s="362">
        <f t="shared" si="3"/>
        <v>70</v>
      </c>
      <c r="E35" s="492">
        <f>E37+E36</f>
        <v>270</v>
      </c>
      <c r="F35" s="386">
        <f>F37+F36</f>
        <v>269.6515</v>
      </c>
      <c r="G35" s="429">
        <f t="shared" si="1"/>
        <v>99.870925925925917</v>
      </c>
      <c r="H35" s="370">
        <f t="shared" si="4"/>
        <v>-0.34850000000000136</v>
      </c>
    </row>
    <row r="36" spans="1:8" hidden="1">
      <c r="A36" s="365" t="s">
        <v>222</v>
      </c>
      <c r="B36" s="363" t="s">
        <v>223</v>
      </c>
      <c r="C36" s="338">
        <v>0</v>
      </c>
      <c r="D36" s="362">
        <f t="shared" si="3"/>
        <v>0</v>
      </c>
      <c r="E36" s="367">
        <v>0</v>
      </c>
      <c r="F36" s="338">
        <v>0</v>
      </c>
      <c r="G36" s="429" t="e">
        <f t="shared" si="1"/>
        <v>#DIV/0!</v>
      </c>
      <c r="H36" s="361">
        <f t="shared" si="4"/>
        <v>0</v>
      </c>
    </row>
    <row r="37" spans="1:8" ht="12.75" customHeight="1">
      <c r="A37" s="365" t="s">
        <v>41</v>
      </c>
      <c r="B37" s="363" t="s">
        <v>150</v>
      </c>
      <c r="C37" s="368">
        <v>200</v>
      </c>
      <c r="D37" s="362">
        <f t="shared" si="3"/>
        <v>70</v>
      </c>
      <c r="E37" s="367">
        <v>270</v>
      </c>
      <c r="F37" s="338">
        <v>269.6515</v>
      </c>
      <c r="G37" s="429">
        <f t="shared" si="1"/>
        <v>99.870925925925917</v>
      </c>
      <c r="H37" s="361">
        <f t="shared" si="4"/>
        <v>-0.34850000000000136</v>
      </c>
    </row>
    <row r="38" spans="1:8" ht="13.5" customHeight="1">
      <c r="A38" s="393" t="s">
        <v>42</v>
      </c>
      <c r="B38" s="392" t="s">
        <v>43</v>
      </c>
      <c r="C38" s="362">
        <v>170</v>
      </c>
      <c r="D38" s="362">
        <f t="shared" si="3"/>
        <v>100</v>
      </c>
      <c r="E38" s="492">
        <v>270</v>
      </c>
      <c r="F38" s="386">
        <v>302.92308000000003</v>
      </c>
      <c r="G38" s="429">
        <f t="shared" si="1"/>
        <v>112.19373333333334</v>
      </c>
      <c r="H38" s="370">
        <f t="shared" si="4"/>
        <v>32.923080000000027</v>
      </c>
    </row>
    <row r="39" spans="1:8" ht="60" hidden="1" customHeight="1">
      <c r="A39" s="365" t="s">
        <v>44</v>
      </c>
      <c r="B39" s="363" t="s">
        <v>45</v>
      </c>
      <c r="C39" s="368"/>
      <c r="D39" s="362">
        <f t="shared" si="3"/>
        <v>0</v>
      </c>
      <c r="E39" s="367"/>
      <c r="F39" s="338"/>
      <c r="G39" s="429" t="e">
        <f t="shared" si="1"/>
        <v>#DIV/0!</v>
      </c>
      <c r="H39" s="361">
        <f t="shared" si="4"/>
        <v>0</v>
      </c>
    </row>
    <row r="40" spans="1:8" ht="60" hidden="1" customHeight="1">
      <c r="A40" s="365" t="s">
        <v>46</v>
      </c>
      <c r="B40" s="363" t="s">
        <v>45</v>
      </c>
      <c r="C40" s="368"/>
      <c r="D40" s="362">
        <f t="shared" si="3"/>
        <v>0</v>
      </c>
      <c r="E40" s="367"/>
      <c r="F40" s="338"/>
      <c r="G40" s="429" t="e">
        <f t="shared" si="1"/>
        <v>#DIV/0!</v>
      </c>
      <c r="H40" s="361">
        <f t="shared" si="4"/>
        <v>0</v>
      </c>
    </row>
    <row r="41" spans="1:8" ht="72" hidden="1" customHeight="1">
      <c r="A41" s="365" t="s">
        <v>47</v>
      </c>
      <c r="B41" s="363" t="s">
        <v>48</v>
      </c>
      <c r="C41" s="368"/>
      <c r="D41" s="362">
        <f t="shared" si="3"/>
        <v>0</v>
      </c>
      <c r="E41" s="367"/>
      <c r="F41" s="338"/>
      <c r="G41" s="429" t="e">
        <f t="shared" si="1"/>
        <v>#DIV/0!</v>
      </c>
      <c r="H41" s="361">
        <f t="shared" si="4"/>
        <v>0</v>
      </c>
    </row>
    <row r="42" spans="1:8" ht="60" hidden="1" customHeight="1">
      <c r="A42" s="365" t="s">
        <v>49</v>
      </c>
      <c r="B42" s="363" t="s">
        <v>50</v>
      </c>
      <c r="C42" s="368"/>
      <c r="D42" s="362">
        <f t="shared" si="3"/>
        <v>0</v>
      </c>
      <c r="E42" s="367"/>
      <c r="F42" s="338"/>
      <c r="G42" s="429" t="e">
        <f t="shared" si="1"/>
        <v>#DIV/0!</v>
      </c>
      <c r="H42" s="361">
        <f t="shared" si="4"/>
        <v>0</v>
      </c>
    </row>
    <row r="43" spans="1:8" ht="144" hidden="1" customHeight="1">
      <c r="A43" s="365" t="s">
        <v>51</v>
      </c>
      <c r="B43" s="363" t="s">
        <v>52</v>
      </c>
      <c r="C43" s="368"/>
      <c r="D43" s="362">
        <f t="shared" si="3"/>
        <v>0</v>
      </c>
      <c r="E43" s="367"/>
      <c r="F43" s="338"/>
      <c r="G43" s="429" t="e">
        <f t="shared" si="1"/>
        <v>#DIV/0!</v>
      </c>
      <c r="H43" s="361">
        <f t="shared" si="4"/>
        <v>0</v>
      </c>
    </row>
    <row r="44" spans="1:8" ht="60" hidden="1" customHeight="1">
      <c r="A44" s="365" t="s">
        <v>53</v>
      </c>
      <c r="B44" s="363" t="s">
        <v>54</v>
      </c>
      <c r="C44" s="368"/>
      <c r="D44" s="362">
        <f t="shared" si="3"/>
        <v>0</v>
      </c>
      <c r="E44" s="367"/>
      <c r="F44" s="338"/>
      <c r="G44" s="429" t="e">
        <f t="shared" si="1"/>
        <v>#DIV/0!</v>
      </c>
      <c r="H44" s="361">
        <f t="shared" si="4"/>
        <v>0</v>
      </c>
    </row>
    <row r="45" spans="1:8" ht="60" hidden="1" customHeight="1">
      <c r="A45" s="365" t="s">
        <v>55</v>
      </c>
      <c r="B45" s="363" t="s">
        <v>56</v>
      </c>
      <c r="C45" s="368"/>
      <c r="D45" s="362">
        <f t="shared" si="3"/>
        <v>0</v>
      </c>
      <c r="E45" s="367"/>
      <c r="F45" s="338"/>
      <c r="G45" s="429" t="e">
        <f t="shared" si="1"/>
        <v>#DIV/0!</v>
      </c>
      <c r="H45" s="361">
        <f t="shared" si="4"/>
        <v>0</v>
      </c>
    </row>
    <row r="46" spans="1:8" ht="120" hidden="1" customHeight="1">
      <c r="A46" s="365" t="s">
        <v>57</v>
      </c>
      <c r="B46" s="363" t="s">
        <v>58</v>
      </c>
      <c r="C46" s="368"/>
      <c r="D46" s="362">
        <f t="shared" si="3"/>
        <v>0</v>
      </c>
      <c r="E46" s="367"/>
      <c r="F46" s="338"/>
      <c r="G46" s="429" t="e">
        <f t="shared" si="1"/>
        <v>#DIV/0!</v>
      </c>
      <c r="H46" s="361">
        <f t="shared" si="4"/>
        <v>0</v>
      </c>
    </row>
    <row r="47" spans="1:8" ht="72" hidden="1" customHeight="1">
      <c r="A47" s="365" t="s">
        <v>243</v>
      </c>
      <c r="B47" s="363" t="s">
        <v>244</v>
      </c>
      <c r="C47" s="368"/>
      <c r="D47" s="362">
        <f t="shared" si="3"/>
        <v>0</v>
      </c>
      <c r="E47" s="367"/>
      <c r="F47" s="338"/>
      <c r="G47" s="429" t="e">
        <f t="shared" si="1"/>
        <v>#DIV/0!</v>
      </c>
      <c r="H47" s="361">
        <f t="shared" si="4"/>
        <v>0</v>
      </c>
    </row>
    <row r="48" spans="1:8" ht="25.5" hidden="1" customHeight="1">
      <c r="A48" s="365" t="s">
        <v>137</v>
      </c>
      <c r="B48" s="363" t="s">
        <v>138</v>
      </c>
      <c r="C48" s="368"/>
      <c r="D48" s="362">
        <f t="shared" si="3"/>
        <v>0</v>
      </c>
      <c r="E48" s="367"/>
      <c r="F48" s="338"/>
      <c r="G48" s="429" t="e">
        <f t="shared" si="1"/>
        <v>#DIV/0!</v>
      </c>
      <c r="H48" s="361">
        <f t="shared" si="4"/>
        <v>0</v>
      </c>
    </row>
    <row r="49" spans="1:9" ht="60" hidden="1" customHeight="1">
      <c r="A49" s="365" t="s">
        <v>59</v>
      </c>
      <c r="B49" s="363" t="s">
        <v>60</v>
      </c>
      <c r="C49" s="368"/>
      <c r="D49" s="362">
        <f t="shared" si="3"/>
        <v>0</v>
      </c>
      <c r="E49" s="367"/>
      <c r="F49" s="338"/>
      <c r="G49" s="429" t="e">
        <f t="shared" si="1"/>
        <v>#DIV/0!</v>
      </c>
      <c r="H49" s="361">
        <f t="shared" si="4"/>
        <v>0</v>
      </c>
    </row>
    <row r="50" spans="1:9" ht="108" hidden="1" customHeight="1">
      <c r="A50" s="365" t="s">
        <v>61</v>
      </c>
      <c r="B50" s="363" t="s">
        <v>62</v>
      </c>
      <c r="C50" s="368"/>
      <c r="D50" s="362">
        <f t="shared" si="3"/>
        <v>0</v>
      </c>
      <c r="E50" s="367"/>
      <c r="F50" s="338"/>
      <c r="G50" s="429" t="e">
        <f t="shared" si="1"/>
        <v>#DIV/0!</v>
      </c>
      <c r="H50" s="361">
        <f t="shared" si="4"/>
        <v>0</v>
      </c>
    </row>
    <row r="51" spans="1:9">
      <c r="A51" s="393" t="s">
        <v>245</v>
      </c>
      <c r="B51" s="363" t="s">
        <v>246</v>
      </c>
      <c r="C51" s="368">
        <v>20</v>
      </c>
      <c r="D51" s="362">
        <f t="shared" si="3"/>
        <v>-20</v>
      </c>
      <c r="E51" s="367">
        <v>0</v>
      </c>
      <c r="F51" s="338">
        <v>0</v>
      </c>
      <c r="G51" s="429">
        <v>0</v>
      </c>
      <c r="H51" s="361">
        <f t="shared" si="4"/>
        <v>0</v>
      </c>
    </row>
    <row r="52" spans="1:9" hidden="1">
      <c r="A52" s="393" t="s">
        <v>63</v>
      </c>
      <c r="B52" s="392" t="s">
        <v>64</v>
      </c>
      <c r="C52" s="386">
        <v>0</v>
      </c>
      <c r="D52" s="362">
        <f t="shared" si="3"/>
        <v>0</v>
      </c>
      <c r="E52" s="492">
        <v>0</v>
      </c>
      <c r="F52" s="386">
        <v>0</v>
      </c>
      <c r="G52" s="429" t="e">
        <f t="shared" si="1"/>
        <v>#DIV/0!</v>
      </c>
      <c r="H52" s="361">
        <f t="shared" si="4"/>
        <v>0</v>
      </c>
    </row>
    <row r="53" spans="1:9">
      <c r="A53" s="391" t="s">
        <v>65</v>
      </c>
      <c r="B53" s="390" t="s">
        <v>170</v>
      </c>
      <c r="C53" s="389">
        <f>C5+C25</f>
        <v>36924</v>
      </c>
      <c r="D53" s="389">
        <f t="shared" si="3"/>
        <v>-1546</v>
      </c>
      <c r="E53" s="491">
        <f>E5+E25</f>
        <v>35378</v>
      </c>
      <c r="F53" s="388">
        <f>SUM(F5+F25)</f>
        <v>33770.11709</v>
      </c>
      <c r="G53" s="387">
        <f t="shared" si="1"/>
        <v>95.455133387981235</v>
      </c>
      <c r="H53" s="387">
        <f t="shared" si="4"/>
        <v>-1607.8829100000003</v>
      </c>
      <c r="I53" s="355"/>
    </row>
    <row r="54" spans="1:9" s="356" customFormat="1" ht="22.8">
      <c r="A54" s="359" t="s">
        <v>650</v>
      </c>
      <c r="B54" s="358" t="s">
        <v>161</v>
      </c>
      <c r="C54" s="171">
        <f>C55+C56</f>
        <v>154669.09999999998</v>
      </c>
      <c r="D54" s="172">
        <f>D55+D56</f>
        <v>0</v>
      </c>
      <c r="E54" s="495">
        <f>E55+E56</f>
        <v>160054.935</v>
      </c>
      <c r="F54" s="171">
        <f>F55+F56</f>
        <v>160054.935</v>
      </c>
      <c r="G54" s="357">
        <f t="shared" si="1"/>
        <v>100</v>
      </c>
      <c r="H54" s="357">
        <f t="shared" si="4"/>
        <v>0</v>
      </c>
    </row>
    <row r="55" spans="1:9" ht="24" customHeight="1">
      <c r="A55" s="365" t="s">
        <v>631</v>
      </c>
      <c r="B55" s="504" t="s">
        <v>772</v>
      </c>
      <c r="C55" s="339">
        <v>143502.29999999999</v>
      </c>
      <c r="D55" s="362">
        <v>0</v>
      </c>
      <c r="E55" s="496">
        <v>143502.29999999999</v>
      </c>
      <c r="F55" s="16">
        <v>143502.29999999999</v>
      </c>
      <c r="G55" s="429">
        <f t="shared" si="1"/>
        <v>100</v>
      </c>
      <c r="H55" s="361">
        <f t="shared" si="4"/>
        <v>0</v>
      </c>
    </row>
    <row r="56" spans="1:9" ht="24">
      <c r="A56" s="364" t="s">
        <v>632</v>
      </c>
      <c r="B56" s="504" t="s">
        <v>139</v>
      </c>
      <c r="C56" s="339">
        <v>11166.8</v>
      </c>
      <c r="D56" s="386"/>
      <c r="E56" s="367">
        <v>16552.634999999998</v>
      </c>
      <c r="F56" s="385">
        <v>16552.634999999998</v>
      </c>
      <c r="G56" s="429">
        <f t="shared" si="1"/>
        <v>100</v>
      </c>
      <c r="H56" s="361">
        <f t="shared" si="4"/>
        <v>0</v>
      </c>
    </row>
    <row r="57" spans="1:9" ht="22.8">
      <c r="A57" s="359" t="s">
        <v>633</v>
      </c>
      <c r="B57" s="358" t="s">
        <v>439</v>
      </c>
      <c r="C57" s="384">
        <f>SUM(C58:C64)</f>
        <v>36929.9</v>
      </c>
      <c r="D57" s="384">
        <f>SUM(D58:D64)</f>
        <v>-27133.258999999998</v>
      </c>
      <c r="E57" s="497">
        <f>SUM(E58:E64)</f>
        <v>94405.950280000005</v>
      </c>
      <c r="F57" s="384">
        <f>SUM(F58:F64)</f>
        <v>93883.414000000004</v>
      </c>
      <c r="G57" s="357">
        <f t="shared" si="1"/>
        <v>99.446500693600143</v>
      </c>
      <c r="H57" s="360">
        <f t="shared" si="4"/>
        <v>-522.53628000000026</v>
      </c>
    </row>
    <row r="58" spans="1:9" s="344" customFormat="1" ht="57.75" customHeight="1">
      <c r="A58" s="373" t="s">
        <v>651</v>
      </c>
      <c r="B58" s="369" t="s">
        <v>700</v>
      </c>
      <c r="C58" s="332">
        <v>0</v>
      </c>
      <c r="D58" s="362">
        <f t="shared" ref="D58:D61" si="5">E58-C58</f>
        <v>26718.855</v>
      </c>
      <c r="E58" s="367">
        <v>26718.855</v>
      </c>
      <c r="F58" s="338">
        <v>26718.841</v>
      </c>
      <c r="G58" s="429">
        <f t="shared" si="1"/>
        <v>99.999947602545092</v>
      </c>
      <c r="H58" s="371">
        <f t="shared" si="4"/>
        <v>-1.3999999999214197E-2</v>
      </c>
    </row>
    <row r="59" spans="1:9" s="381" customFormat="1" ht="24" customHeight="1">
      <c r="A59" s="383" t="s">
        <v>635</v>
      </c>
      <c r="B59" s="504" t="s">
        <v>773</v>
      </c>
      <c r="C59" s="375">
        <v>2.1</v>
      </c>
      <c r="D59" s="380">
        <f t="shared" si="5"/>
        <v>-2.1</v>
      </c>
      <c r="E59" s="498">
        <v>0</v>
      </c>
      <c r="F59" s="379"/>
      <c r="G59" s="429">
        <v>0</v>
      </c>
      <c r="H59" s="371">
        <f t="shared" si="4"/>
        <v>0</v>
      </c>
    </row>
    <row r="60" spans="1:9" s="381" customFormat="1" ht="24" customHeight="1">
      <c r="A60" s="383" t="s">
        <v>637</v>
      </c>
      <c r="B60" s="504" t="s">
        <v>774</v>
      </c>
      <c r="C60" s="375"/>
      <c r="D60" s="380"/>
      <c r="E60" s="498">
        <v>950</v>
      </c>
      <c r="F60" s="379">
        <v>950</v>
      </c>
      <c r="G60" s="429">
        <f t="shared" si="1"/>
        <v>100</v>
      </c>
      <c r="H60" s="371">
        <f t="shared" si="4"/>
        <v>0</v>
      </c>
    </row>
    <row r="61" spans="1:9" s="381" customFormat="1" ht="30" customHeight="1">
      <c r="A61" s="383" t="s">
        <v>636</v>
      </c>
      <c r="B61" s="504" t="s">
        <v>775</v>
      </c>
      <c r="C61" s="375">
        <v>3330</v>
      </c>
      <c r="D61" s="380">
        <f t="shared" si="5"/>
        <v>-1814.5</v>
      </c>
      <c r="E61" s="498">
        <v>1515.5</v>
      </c>
      <c r="F61" s="379">
        <v>1515.5</v>
      </c>
      <c r="G61" s="429">
        <f t="shared" si="1"/>
        <v>100</v>
      </c>
      <c r="H61" s="382">
        <f t="shared" si="4"/>
        <v>0</v>
      </c>
    </row>
    <row r="62" spans="1:9" s="345" customFormat="1" ht="53.25" customHeight="1">
      <c r="A62" s="378" t="s">
        <v>771</v>
      </c>
      <c r="B62" s="503" t="s">
        <v>776</v>
      </c>
      <c r="C62" s="376"/>
      <c r="D62" s="380">
        <v>7264.4859999999999</v>
      </c>
      <c r="E62" s="498">
        <v>7264.4859999999999</v>
      </c>
      <c r="F62" s="379">
        <v>7264.4859999999999</v>
      </c>
      <c r="G62" s="429">
        <f t="shared" si="1"/>
        <v>100</v>
      </c>
      <c r="H62" s="382">
        <f t="shared" si="4"/>
        <v>0</v>
      </c>
    </row>
    <row r="63" spans="1:9" s="345" customFormat="1" ht="38.25" customHeight="1">
      <c r="A63" s="378" t="s">
        <v>639</v>
      </c>
      <c r="B63" s="377" t="s">
        <v>440</v>
      </c>
      <c r="C63" s="376">
        <v>33597.800000000003</v>
      </c>
      <c r="D63" s="380">
        <f t="shared" ref="D63" si="6">E63-C63</f>
        <v>0</v>
      </c>
      <c r="E63" s="498">
        <v>33597.800000000003</v>
      </c>
      <c r="F63" s="379">
        <v>33597.800000000003</v>
      </c>
      <c r="G63" s="429">
        <f t="shared" ref="G63:G64" si="7">SUM(F63/E63%)</f>
        <v>100</v>
      </c>
      <c r="H63" s="374">
        <f t="shared" ref="H63:H64" si="8">SUM(F63-E63)</f>
        <v>0</v>
      </c>
    </row>
    <row r="64" spans="1:9" s="345" customFormat="1" ht="38.25" customHeight="1">
      <c r="A64" s="378" t="s">
        <v>639</v>
      </c>
      <c r="B64" s="156" t="s">
        <v>769</v>
      </c>
      <c r="C64" s="376"/>
      <c r="D64" s="380">
        <v>-59300</v>
      </c>
      <c r="E64" s="498">
        <v>24359.309280000001</v>
      </c>
      <c r="F64" s="379">
        <v>23836.787</v>
      </c>
      <c r="G64" s="429">
        <f t="shared" si="7"/>
        <v>97.854938028029338</v>
      </c>
      <c r="H64" s="374">
        <f t="shared" si="8"/>
        <v>-522.52228000000105</v>
      </c>
    </row>
    <row r="65" spans="1:8" ht="27.75" customHeight="1">
      <c r="A65" s="359" t="s">
        <v>640</v>
      </c>
      <c r="B65" s="358" t="s">
        <v>167</v>
      </c>
      <c r="C65" s="366">
        <f>SUM(C66:C90)</f>
        <v>455743.20000000007</v>
      </c>
      <c r="D65" s="366">
        <f>SUM(D66:D90)</f>
        <v>11834.393579999994</v>
      </c>
      <c r="E65" s="499">
        <f>SUM(E66:E90)</f>
        <v>476075.62633000006</v>
      </c>
      <c r="F65" s="366">
        <f>SUM(F66:F90)</f>
        <v>472849.80749999988</v>
      </c>
      <c r="G65" s="357">
        <f t="shared" si="1"/>
        <v>99.322414622469211</v>
      </c>
      <c r="H65" s="360">
        <f t="shared" ref="H65:H95" si="9">SUM(F65-E65)</f>
        <v>-3225.8188300001784</v>
      </c>
    </row>
    <row r="66" spans="1:8" s="356" customFormat="1" ht="36">
      <c r="A66" s="373" t="s">
        <v>641</v>
      </c>
      <c r="B66" s="505" t="s">
        <v>164</v>
      </c>
      <c r="C66" s="332">
        <v>11.2</v>
      </c>
      <c r="D66" s="362">
        <f t="shared" ref="D66:D86" si="10">E66-C66</f>
        <v>-0.18599999999999994</v>
      </c>
      <c r="E66" s="367">
        <v>11.013999999999999</v>
      </c>
      <c r="F66" s="338">
        <v>11.013999999999999</v>
      </c>
      <c r="G66" s="429">
        <f t="shared" ref="G66:G95" si="11">SUM(F66/E66%)</f>
        <v>100</v>
      </c>
      <c r="H66" s="429">
        <f t="shared" si="9"/>
        <v>0</v>
      </c>
    </row>
    <row r="67" spans="1:8" ht="36">
      <c r="A67" s="373" t="s">
        <v>642</v>
      </c>
      <c r="B67" s="505" t="s">
        <v>166</v>
      </c>
      <c r="C67" s="464">
        <v>59019</v>
      </c>
      <c r="D67" s="362">
        <f t="shared" si="10"/>
        <v>-13425.699999999997</v>
      </c>
      <c r="E67" s="367">
        <v>45593.3</v>
      </c>
      <c r="F67" s="338">
        <v>45593.3</v>
      </c>
      <c r="G67" s="429">
        <f t="shared" si="11"/>
        <v>100</v>
      </c>
      <c r="H67" s="371">
        <f t="shared" si="9"/>
        <v>0</v>
      </c>
    </row>
    <row r="68" spans="1:8" s="344" customFormat="1" ht="24">
      <c r="A68" s="373" t="s">
        <v>643</v>
      </c>
      <c r="B68" s="369" t="s">
        <v>786</v>
      </c>
      <c r="C68" s="332">
        <v>4002.2</v>
      </c>
      <c r="D68" s="386">
        <f t="shared" si="10"/>
        <v>-182.0949999999998</v>
      </c>
      <c r="E68" s="493">
        <v>3820.105</v>
      </c>
      <c r="F68" s="338">
        <v>3819.33592</v>
      </c>
      <c r="G68" s="429">
        <f t="shared" si="11"/>
        <v>99.979867569085144</v>
      </c>
      <c r="H68" s="371">
        <f t="shared" si="9"/>
        <v>-0.76908000000003085</v>
      </c>
    </row>
    <row r="69" spans="1:8" s="344" customFormat="1" ht="24">
      <c r="A69" s="373" t="s">
        <v>643</v>
      </c>
      <c r="B69" s="369" t="s">
        <v>449</v>
      </c>
      <c r="C69" s="332">
        <v>7712.3</v>
      </c>
      <c r="D69" s="362">
        <f t="shared" si="10"/>
        <v>496.20599999999922</v>
      </c>
      <c r="E69" s="493">
        <v>8208.5059999999994</v>
      </c>
      <c r="F69" s="338">
        <v>8115.2619999999997</v>
      </c>
      <c r="G69" s="429">
        <f t="shared" si="11"/>
        <v>98.864056382489096</v>
      </c>
      <c r="H69" s="371">
        <f t="shared" si="9"/>
        <v>-93.243999999999687</v>
      </c>
    </row>
    <row r="70" spans="1:8" s="344" customFormat="1" ht="24">
      <c r="A70" s="373" t="s">
        <v>643</v>
      </c>
      <c r="B70" s="369" t="s">
        <v>450</v>
      </c>
      <c r="C70" s="332">
        <v>463.4</v>
      </c>
      <c r="D70" s="362">
        <f t="shared" si="10"/>
        <v>0</v>
      </c>
      <c r="E70" s="493">
        <v>463.4</v>
      </c>
      <c r="F70" s="338">
        <v>463.4</v>
      </c>
      <c r="G70" s="429">
        <f t="shared" si="11"/>
        <v>100</v>
      </c>
      <c r="H70" s="371">
        <f t="shared" si="9"/>
        <v>0</v>
      </c>
    </row>
    <row r="71" spans="1:8" s="344" customFormat="1" ht="36">
      <c r="A71" s="373" t="s">
        <v>748</v>
      </c>
      <c r="B71" s="369" t="s">
        <v>749</v>
      </c>
      <c r="C71" s="332">
        <v>0</v>
      </c>
      <c r="D71" s="362">
        <f t="shared" si="10"/>
        <v>232.7</v>
      </c>
      <c r="E71" s="367">
        <v>232.7</v>
      </c>
      <c r="F71" s="338">
        <v>232.7</v>
      </c>
      <c r="G71" s="429">
        <f t="shared" si="11"/>
        <v>100</v>
      </c>
      <c r="H71" s="371">
        <f t="shared" si="9"/>
        <v>0</v>
      </c>
    </row>
    <row r="72" spans="1:8" s="344" customFormat="1" ht="39" customHeight="1">
      <c r="A72" s="373" t="s">
        <v>643</v>
      </c>
      <c r="B72" s="369" t="s">
        <v>451</v>
      </c>
      <c r="C72" s="332">
        <v>551.1</v>
      </c>
      <c r="D72" s="362">
        <f t="shared" si="10"/>
        <v>0</v>
      </c>
      <c r="E72" s="493">
        <v>551.1</v>
      </c>
      <c r="F72" s="338">
        <v>446.5086</v>
      </c>
      <c r="G72" s="429">
        <f t="shared" si="11"/>
        <v>81.021339139902011</v>
      </c>
      <c r="H72" s="371">
        <f t="shared" si="9"/>
        <v>-104.59140000000002</v>
      </c>
    </row>
    <row r="73" spans="1:8" s="344" customFormat="1" ht="68.25" customHeight="1">
      <c r="A73" s="373" t="s">
        <v>643</v>
      </c>
      <c r="B73" s="369" t="s">
        <v>452</v>
      </c>
      <c r="C73" s="371">
        <v>141704</v>
      </c>
      <c r="D73" s="362">
        <f t="shared" si="10"/>
        <v>0</v>
      </c>
      <c r="E73" s="493">
        <v>141704</v>
      </c>
      <c r="F73" s="338">
        <v>141704</v>
      </c>
      <c r="G73" s="429">
        <f t="shared" si="11"/>
        <v>100</v>
      </c>
      <c r="H73" s="371">
        <f t="shared" si="9"/>
        <v>0</v>
      </c>
    </row>
    <row r="74" spans="1:8" s="344" customFormat="1" ht="61.5" customHeight="1">
      <c r="A74" s="373" t="s">
        <v>643</v>
      </c>
      <c r="B74" s="369" t="s">
        <v>453</v>
      </c>
      <c r="C74" s="332">
        <v>95883.1</v>
      </c>
      <c r="D74" s="362">
        <f t="shared" si="10"/>
        <v>0</v>
      </c>
      <c r="E74" s="493">
        <v>95883.1</v>
      </c>
      <c r="F74" s="338">
        <v>95882.8</v>
      </c>
      <c r="G74" s="429">
        <f t="shared" si="11"/>
        <v>99.999687119002203</v>
      </c>
      <c r="H74" s="371">
        <f t="shared" si="9"/>
        <v>-0.30000000000291038</v>
      </c>
    </row>
    <row r="75" spans="1:8" s="344" customFormat="1" ht="27" customHeight="1">
      <c r="A75" s="373" t="s">
        <v>643</v>
      </c>
      <c r="B75" s="369" t="s">
        <v>454</v>
      </c>
      <c r="C75" s="371">
        <v>100.8</v>
      </c>
      <c r="D75" s="362">
        <f t="shared" si="10"/>
        <v>-100.8</v>
      </c>
      <c r="E75" s="493">
        <v>0</v>
      </c>
      <c r="F75" s="338">
        <v>0</v>
      </c>
      <c r="G75" s="429">
        <v>0</v>
      </c>
      <c r="H75" s="371">
        <f t="shared" si="9"/>
        <v>0</v>
      </c>
    </row>
    <row r="76" spans="1:8" s="344" customFormat="1" ht="27" customHeight="1">
      <c r="A76" s="373" t="s">
        <v>643</v>
      </c>
      <c r="B76" s="369" t="s">
        <v>747</v>
      </c>
      <c r="C76" s="371">
        <v>2750</v>
      </c>
      <c r="D76" s="362">
        <f t="shared" si="10"/>
        <v>-1956.2</v>
      </c>
      <c r="E76" s="367">
        <v>793.8</v>
      </c>
      <c r="F76" s="338">
        <v>793.8</v>
      </c>
      <c r="G76" s="429">
        <f t="shared" si="11"/>
        <v>100</v>
      </c>
      <c r="H76" s="371">
        <f t="shared" si="9"/>
        <v>0</v>
      </c>
    </row>
    <row r="77" spans="1:8" s="344" customFormat="1" ht="60.75" customHeight="1">
      <c r="A77" s="373" t="s">
        <v>643</v>
      </c>
      <c r="B77" s="369" t="s">
        <v>746</v>
      </c>
      <c r="C77" s="372">
        <v>862.3</v>
      </c>
      <c r="D77" s="362">
        <f t="shared" si="10"/>
        <v>0</v>
      </c>
      <c r="E77" s="367">
        <v>862.3</v>
      </c>
      <c r="F77" s="338">
        <v>862.3</v>
      </c>
      <c r="G77" s="429">
        <f t="shared" si="11"/>
        <v>100</v>
      </c>
      <c r="H77" s="371">
        <f t="shared" si="9"/>
        <v>0</v>
      </c>
    </row>
    <row r="78" spans="1:8" s="344" customFormat="1" ht="28.5" customHeight="1">
      <c r="A78" s="373" t="s">
        <v>643</v>
      </c>
      <c r="B78" s="369" t="s">
        <v>459</v>
      </c>
      <c r="C78" s="332">
        <v>291.39999999999998</v>
      </c>
      <c r="D78" s="362">
        <f t="shared" si="10"/>
        <v>13.501329999999996</v>
      </c>
      <c r="E78" s="493">
        <v>304.90132999999997</v>
      </c>
      <c r="F78" s="338">
        <v>267.63447000000002</v>
      </c>
      <c r="G78" s="429">
        <f t="shared" si="11"/>
        <v>87.777403266820784</v>
      </c>
      <c r="H78" s="371">
        <f t="shared" si="9"/>
        <v>-37.266859999999951</v>
      </c>
    </row>
    <row r="79" spans="1:8" s="344" customFormat="1" ht="27" customHeight="1">
      <c r="A79" s="373" t="s">
        <v>643</v>
      </c>
      <c r="B79" s="369" t="s">
        <v>460</v>
      </c>
      <c r="C79" s="332">
        <v>10869.6</v>
      </c>
      <c r="D79" s="362">
        <f t="shared" si="10"/>
        <v>-2729.9670000000006</v>
      </c>
      <c r="E79" s="367">
        <v>8139.6329999999998</v>
      </c>
      <c r="F79" s="338">
        <v>8139.6329999999998</v>
      </c>
      <c r="G79" s="429">
        <f t="shared" si="11"/>
        <v>100.00000000000001</v>
      </c>
      <c r="H79" s="371">
        <f t="shared" si="9"/>
        <v>0</v>
      </c>
    </row>
    <row r="80" spans="1:8" ht="36.75" customHeight="1">
      <c r="A80" s="373" t="s">
        <v>777</v>
      </c>
      <c r="B80" s="502" t="s">
        <v>778</v>
      </c>
      <c r="C80" s="332"/>
      <c r="D80" s="362"/>
      <c r="E80" s="367">
        <v>8498.0347500000007</v>
      </c>
      <c r="F80" s="338">
        <v>8498.0347500000007</v>
      </c>
      <c r="G80" s="429">
        <f t="shared" si="11"/>
        <v>100</v>
      </c>
      <c r="H80" s="371">
        <f t="shared" si="9"/>
        <v>0</v>
      </c>
    </row>
    <row r="81" spans="1:10" ht="36">
      <c r="A81" s="373" t="s">
        <v>644</v>
      </c>
      <c r="B81" s="505" t="s">
        <v>165</v>
      </c>
      <c r="C81" s="332">
        <v>1242.3</v>
      </c>
      <c r="D81" s="386">
        <f t="shared" si="10"/>
        <v>45.400000000000091</v>
      </c>
      <c r="E81" s="367">
        <v>1287.7</v>
      </c>
      <c r="F81" s="338">
        <v>1151.4946</v>
      </c>
      <c r="G81" s="429">
        <f t="shared" si="11"/>
        <v>89.42258289974373</v>
      </c>
      <c r="H81" s="371">
        <f t="shared" si="9"/>
        <v>-136.20540000000005</v>
      </c>
    </row>
    <row r="82" spans="1:10" ht="48" customHeight="1">
      <c r="A82" s="373" t="s">
        <v>645</v>
      </c>
      <c r="B82" s="505" t="s">
        <v>779</v>
      </c>
      <c r="C82" s="372">
        <v>46.7</v>
      </c>
      <c r="D82" s="362">
        <f t="shared" si="10"/>
        <v>0</v>
      </c>
      <c r="E82" s="367">
        <v>46.7</v>
      </c>
      <c r="F82" s="338">
        <v>46.7</v>
      </c>
      <c r="G82" s="429">
        <f t="shared" si="11"/>
        <v>100</v>
      </c>
      <c r="H82" s="371">
        <f t="shared" si="9"/>
        <v>0</v>
      </c>
    </row>
    <row r="83" spans="1:10" ht="25.5" customHeight="1">
      <c r="A83" s="373" t="s">
        <v>646</v>
      </c>
      <c r="B83" s="505" t="s">
        <v>163</v>
      </c>
      <c r="C83" s="332">
        <v>8374</v>
      </c>
      <c r="D83" s="386">
        <f t="shared" si="10"/>
        <v>1848.6836700000003</v>
      </c>
      <c r="E83" s="493">
        <v>10222.68367</v>
      </c>
      <c r="F83" s="338">
        <v>10222.68367</v>
      </c>
      <c r="G83" s="429">
        <f t="shared" si="11"/>
        <v>100</v>
      </c>
      <c r="H83" s="371">
        <f t="shared" si="9"/>
        <v>0</v>
      </c>
    </row>
    <row r="84" spans="1:10" ht="76.5" customHeight="1">
      <c r="A84" s="364" t="s">
        <v>647</v>
      </c>
      <c r="B84" s="505" t="s">
        <v>780</v>
      </c>
      <c r="C84" s="332">
        <v>29134.9</v>
      </c>
      <c r="D84" s="362">
        <f t="shared" si="10"/>
        <v>-1915.167260000002</v>
      </c>
      <c r="E84" s="493">
        <v>27219.732739999999</v>
      </c>
      <c r="F84" s="338">
        <v>26765.250049999999</v>
      </c>
      <c r="G84" s="429">
        <f t="shared" si="11"/>
        <v>98.33031905808491</v>
      </c>
      <c r="H84" s="371">
        <f t="shared" si="9"/>
        <v>-454.48269000000073</v>
      </c>
    </row>
    <row r="85" spans="1:10" ht="106.5" customHeight="1">
      <c r="A85" s="364" t="s">
        <v>647</v>
      </c>
      <c r="B85" s="156" t="s">
        <v>770</v>
      </c>
      <c r="C85" s="332"/>
      <c r="D85" s="362">
        <v>3484.7</v>
      </c>
      <c r="E85" s="493">
        <v>3484.7</v>
      </c>
      <c r="F85" s="338">
        <v>2257.9616000000001</v>
      </c>
      <c r="G85" s="429">
        <f t="shared" si="11"/>
        <v>64.796441587511126</v>
      </c>
      <c r="H85" s="371">
        <f t="shared" si="9"/>
        <v>-1226.7383999999997</v>
      </c>
    </row>
    <row r="86" spans="1:10" ht="36" customHeight="1">
      <c r="A86" s="364" t="s">
        <v>648</v>
      </c>
      <c r="B86" s="505" t="s">
        <v>781</v>
      </c>
      <c r="C86" s="465">
        <v>26.4</v>
      </c>
      <c r="D86" s="386">
        <f t="shared" si="10"/>
        <v>-10.499999999999998</v>
      </c>
      <c r="E86" s="367">
        <v>15.9</v>
      </c>
      <c r="F86" s="338">
        <v>15.9</v>
      </c>
      <c r="G86" s="429">
        <f t="shared" si="11"/>
        <v>100</v>
      </c>
      <c r="H86" s="371">
        <f t="shared" si="9"/>
        <v>0</v>
      </c>
    </row>
    <row r="87" spans="1:10" ht="52.5" customHeight="1">
      <c r="A87" s="364" t="s">
        <v>649</v>
      </c>
      <c r="B87" s="505" t="s">
        <v>699</v>
      </c>
      <c r="C87" s="332">
        <v>92698.5</v>
      </c>
      <c r="D87" s="386">
        <f t="shared" ref="D87:D90" si="12">E87-C87</f>
        <v>-71250.163</v>
      </c>
      <c r="E87" s="493">
        <v>21448.337</v>
      </c>
      <c r="F87" s="338">
        <v>21398</v>
      </c>
      <c r="G87" s="429">
        <f t="shared" ref="G87:G89" si="13">SUM(F87/E87%)</f>
        <v>99.765310476052292</v>
      </c>
      <c r="H87" s="371">
        <f>SUM(F87-E87)</f>
        <v>-50.336999999999534</v>
      </c>
    </row>
    <row r="88" spans="1:10" ht="38.25" customHeight="1">
      <c r="A88" s="36" t="s">
        <v>754</v>
      </c>
      <c r="B88" s="505" t="s">
        <v>782</v>
      </c>
      <c r="C88" s="465">
        <v>0</v>
      </c>
      <c r="D88" s="386">
        <f t="shared" si="12"/>
        <v>39841.127999999997</v>
      </c>
      <c r="E88" s="367">
        <f>50638.28283-10797.15483</f>
        <v>39841.127999999997</v>
      </c>
      <c r="F88" s="338">
        <f>39442.71672+398.41128</f>
        <v>39841.127999999997</v>
      </c>
      <c r="G88" s="429">
        <f t="shared" si="13"/>
        <v>100</v>
      </c>
      <c r="H88" s="371">
        <f t="shared" ref="H88:H90" si="14">SUM(F88-E88)</f>
        <v>0</v>
      </c>
    </row>
    <row r="89" spans="1:10" ht="54" customHeight="1">
      <c r="A89" s="36" t="s">
        <v>754</v>
      </c>
      <c r="B89" s="156" t="s">
        <v>783</v>
      </c>
      <c r="C89" s="465"/>
      <c r="D89" s="386">
        <v>57455.42</v>
      </c>
      <c r="E89" s="367">
        <v>57455.417999999998</v>
      </c>
      <c r="F89" s="338">
        <f>55770.19944+563.33456</f>
        <v>56333.534</v>
      </c>
      <c r="G89" s="429">
        <f t="shared" si="13"/>
        <v>98.047383451287402</v>
      </c>
      <c r="H89" s="371">
        <f t="shared" si="14"/>
        <v>-1121.8839999999982</v>
      </c>
    </row>
    <row r="90" spans="1:10" ht="39" customHeight="1">
      <c r="A90" s="364" t="s">
        <v>756</v>
      </c>
      <c r="B90" s="502" t="s">
        <v>784</v>
      </c>
      <c r="C90" s="465">
        <v>0</v>
      </c>
      <c r="D90" s="501">
        <f t="shared" si="12"/>
        <v>-12.567159999999999</v>
      </c>
      <c r="E90" s="493">
        <v>-12.567159999999999</v>
      </c>
      <c r="F90" s="332">
        <v>-12.567159999999999</v>
      </c>
      <c r="G90" s="429">
        <v>0</v>
      </c>
      <c r="H90" s="371">
        <f t="shared" si="14"/>
        <v>0</v>
      </c>
      <c r="I90" s="356"/>
      <c r="J90" s="356"/>
    </row>
    <row r="91" spans="1:10" s="480" customFormat="1" ht="27.75" customHeight="1">
      <c r="A91" s="475"/>
      <c r="B91" s="476" t="s">
        <v>757</v>
      </c>
      <c r="C91" s="477"/>
      <c r="D91" s="478"/>
      <c r="E91" s="499">
        <f>+E92+E93</f>
        <v>14814.73</v>
      </c>
      <c r="F91" s="366">
        <f>+F92+F93</f>
        <v>14807.316499999999</v>
      </c>
      <c r="G91" s="357"/>
      <c r="H91" s="360"/>
      <c r="I91" s="479"/>
      <c r="J91" s="479"/>
    </row>
    <row r="92" spans="1:10" ht="53.25" customHeight="1">
      <c r="A92" s="506" t="s">
        <v>753</v>
      </c>
      <c r="B92" s="505" t="s">
        <v>755</v>
      </c>
      <c r="C92" s="465">
        <v>0</v>
      </c>
      <c r="D92" s="386">
        <v>5994.01</v>
      </c>
      <c r="E92" s="367">
        <v>5994.01</v>
      </c>
      <c r="F92" s="338">
        <v>5986.5964999999997</v>
      </c>
      <c r="G92" s="429">
        <f t="shared" ref="G92" si="15">SUM(F92/E92%)</f>
        <v>99.876318190993999</v>
      </c>
      <c r="H92" s="371">
        <f t="shared" ref="H92:H93" si="16">SUM(F92-E92)</f>
        <v>-7.4135000000005675</v>
      </c>
    </row>
    <row r="93" spans="1:10" ht="53.25" customHeight="1">
      <c r="A93" s="36" t="s">
        <v>758</v>
      </c>
      <c r="B93" s="505" t="s">
        <v>785</v>
      </c>
      <c r="C93" s="465"/>
      <c r="D93" s="386"/>
      <c r="E93" s="367">
        <v>8820.7199999999993</v>
      </c>
      <c r="F93" s="338">
        <v>8820.7199999999993</v>
      </c>
      <c r="G93" s="429"/>
      <c r="H93" s="371">
        <f t="shared" si="16"/>
        <v>0</v>
      </c>
    </row>
    <row r="94" spans="1:10" ht="21.75" customHeight="1">
      <c r="A94" s="373" t="s">
        <v>66</v>
      </c>
      <c r="B94" s="466" t="s">
        <v>462</v>
      </c>
      <c r="C94" s="467">
        <f>C54+C57+C65+C92</f>
        <v>647342.20000000007</v>
      </c>
      <c r="D94" s="386">
        <f>E94-C94</f>
        <v>98009.041609999957</v>
      </c>
      <c r="E94" s="500">
        <f>E54+E57+E65+E91</f>
        <v>745351.24161000003</v>
      </c>
      <c r="F94" s="467">
        <f>F54+F65+F57+F91</f>
        <v>741595.47299999988</v>
      </c>
      <c r="G94" s="429">
        <f t="shared" si="11"/>
        <v>99.496107553012521</v>
      </c>
      <c r="H94" s="371">
        <f t="shared" si="9"/>
        <v>-3755.7686100001447</v>
      </c>
      <c r="I94" s="356"/>
      <c r="J94" s="356"/>
    </row>
    <row r="95" spans="1:10">
      <c r="A95" s="468"/>
      <c r="B95" s="469" t="s">
        <v>238</v>
      </c>
      <c r="C95" s="386">
        <f>C94+C53</f>
        <v>684266.20000000007</v>
      </c>
      <c r="D95" s="386">
        <f>E95-C95</f>
        <v>96463.041609999957</v>
      </c>
      <c r="E95" s="492">
        <f>E94+E53</f>
        <v>780729.24161000003</v>
      </c>
      <c r="F95" s="386">
        <f>F94+F53</f>
        <v>775365.59008999984</v>
      </c>
      <c r="G95" s="429">
        <f t="shared" si="11"/>
        <v>99.312994667787848</v>
      </c>
      <c r="H95" s="429">
        <f t="shared" si="9"/>
        <v>-5363.6515200001886</v>
      </c>
      <c r="I95" s="356"/>
      <c r="J95" s="356"/>
    </row>
    <row r="96" spans="1:10">
      <c r="A96" s="344"/>
      <c r="B96" s="344"/>
      <c r="C96" s="344"/>
      <c r="D96" s="344"/>
      <c r="E96" s="344"/>
      <c r="F96" s="470"/>
      <c r="G96" s="344"/>
      <c r="H96" s="344"/>
    </row>
    <row r="97" spans="1:8">
      <c r="A97" s="344"/>
      <c r="B97" s="344"/>
      <c r="C97" s="344"/>
      <c r="D97" s="344"/>
      <c r="E97" s="344"/>
      <c r="F97" s="471"/>
      <c r="G97" s="344"/>
      <c r="H97" s="344"/>
    </row>
    <row r="98" spans="1:8">
      <c r="A98" s="472"/>
      <c r="B98" s="473"/>
      <c r="C98" s="473"/>
      <c r="D98" s="473"/>
      <c r="E98" s="344"/>
      <c r="F98" s="344"/>
      <c r="G98" s="344"/>
      <c r="H98" s="344"/>
    </row>
    <row r="99" spans="1:8">
      <c r="A99" s="344"/>
      <c r="B99" s="344"/>
      <c r="C99" s="344"/>
      <c r="D99" s="344"/>
      <c r="E99" s="344"/>
      <c r="F99" s="470"/>
      <c r="G99" s="344"/>
      <c r="H99" s="344"/>
    </row>
    <row r="100" spans="1:8">
      <c r="A100" s="472"/>
      <c r="B100" s="473"/>
      <c r="C100" s="473"/>
      <c r="D100" s="473"/>
      <c r="E100" s="344"/>
      <c r="F100" s="344"/>
      <c r="G100" s="344"/>
      <c r="H100" s="344"/>
    </row>
  </sheetData>
  <mergeCells count="4">
    <mergeCell ref="A3:E3"/>
    <mergeCell ref="A1:E1"/>
    <mergeCell ref="F1:H1"/>
    <mergeCell ref="A2:E2"/>
  </mergeCells>
  <pageMargins left="0.39370078740157483" right="0" top="0" bottom="0" header="0" footer="0"/>
  <pageSetup paperSize="9" scale="71" orientation="portrait" verticalDpi="0" r:id="rId1"/>
  <rowBreaks count="1" manualBreakCount="1">
    <brk id="6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98" customWidth="1"/>
    <col min="2" max="3" width="9.109375" style="98"/>
    <col min="4" max="4" width="7.109375" style="98" customWidth="1"/>
    <col min="5" max="5" width="5" style="98" customWidth="1"/>
    <col min="6" max="6" width="5.5546875" style="98" customWidth="1"/>
    <col min="7" max="7" width="4" style="133" customWidth="1"/>
    <col min="8" max="8" width="5.44140625" style="98" customWidth="1"/>
    <col min="9" max="9" width="5.109375" style="98" customWidth="1"/>
    <col min="10" max="10" width="6.33203125" style="98" customWidth="1"/>
    <col min="11" max="11" width="3.33203125" style="98" customWidth="1"/>
    <col min="12" max="12" width="5" style="98" customWidth="1"/>
    <col min="13" max="13" width="5.6640625" style="98" customWidth="1"/>
    <col min="14" max="14" width="7" style="98" customWidth="1"/>
    <col min="15" max="15" width="3" style="98" customWidth="1"/>
    <col min="16" max="16" width="6.33203125" style="98" customWidth="1"/>
    <col min="17" max="17" width="5" style="98" customWidth="1"/>
    <col min="18" max="18" width="6.6640625" style="98" customWidth="1"/>
    <col min="19" max="19" width="4" style="98" customWidth="1"/>
    <col min="20" max="20" width="6.109375" style="98" customWidth="1"/>
    <col min="21" max="21" width="5.88671875" style="98" customWidth="1"/>
    <col min="22" max="22" width="6.44140625" style="98" customWidth="1"/>
    <col min="23" max="23" width="4" style="98" customWidth="1"/>
    <col min="24" max="24" width="5.44140625" style="98" customWidth="1"/>
    <col min="25" max="25" width="5.109375" style="98" customWidth="1"/>
    <col min="26" max="26" width="6.5546875" style="98" customWidth="1"/>
    <col min="27" max="27" width="4" style="98" customWidth="1"/>
    <col min="28" max="28" width="5.6640625" style="98" customWidth="1"/>
    <col min="29" max="29" width="5.44140625" style="98" customWidth="1"/>
    <col min="30" max="30" width="7.33203125" style="98" customWidth="1"/>
    <col min="31" max="31" width="4" style="98" customWidth="1"/>
    <col min="32" max="32" width="6.44140625" style="98" customWidth="1"/>
    <col min="33" max="33" width="5.88671875" style="98" customWidth="1"/>
    <col min="34" max="34" width="5.6640625" style="98" customWidth="1"/>
    <col min="35" max="35" width="4" style="98" customWidth="1"/>
    <col min="36" max="36" width="6.44140625" style="98" customWidth="1"/>
    <col min="37" max="37" width="4" style="98" customWidth="1"/>
    <col min="38" max="38" width="6.33203125" style="98" customWidth="1"/>
    <col min="39" max="39" width="4" style="98" customWidth="1"/>
    <col min="40" max="40" width="4.6640625" style="98" customWidth="1"/>
    <col min="41" max="41" width="4" style="98" customWidth="1"/>
    <col min="42" max="42" width="5.44140625" style="98" customWidth="1"/>
    <col min="43" max="43" width="4" style="98" customWidth="1"/>
    <col min="44" max="44" width="4.44140625" style="98" customWidth="1"/>
    <col min="45" max="45" width="4" style="98" customWidth="1"/>
    <col min="46" max="46" width="6" style="98" customWidth="1"/>
    <col min="47" max="47" width="4" style="98" customWidth="1"/>
    <col min="48" max="48" width="5.109375" style="98" customWidth="1"/>
    <col min="49" max="49" width="4.6640625" style="98" customWidth="1"/>
    <col min="50" max="50" width="5.44140625" style="98" customWidth="1"/>
    <col min="51" max="51" width="3.6640625" style="98" customWidth="1"/>
    <col min="52" max="52" width="5.44140625" style="98" customWidth="1"/>
    <col min="53" max="53" width="5.109375" style="98" customWidth="1"/>
    <col min="54" max="54" width="4.44140625" style="98" customWidth="1"/>
    <col min="55" max="55" width="4" style="98" customWidth="1"/>
    <col min="56" max="56" width="4.6640625" style="98" customWidth="1"/>
    <col min="57" max="64" width="4" style="98" customWidth="1"/>
    <col min="65" max="65" width="5" style="98" customWidth="1"/>
    <col min="66" max="66" width="4.6640625" style="98" customWidth="1"/>
    <col min="67" max="67" width="3.88671875" style="98" customWidth="1"/>
    <col min="68" max="68" width="4" style="98" customWidth="1"/>
    <col min="69" max="69" width="4.6640625" style="98" customWidth="1"/>
    <col min="70" max="70" width="4" style="98" customWidth="1"/>
    <col min="71" max="71" width="5" style="98" customWidth="1"/>
    <col min="72" max="72" width="4" style="98" customWidth="1"/>
    <col min="73" max="73" width="5.109375" style="98" customWidth="1"/>
    <col min="74" max="74" width="5.5546875" style="98" customWidth="1"/>
    <col min="75" max="75" width="4" style="98" customWidth="1"/>
    <col min="76" max="76" width="5" style="134" customWidth="1"/>
    <col min="77" max="77" width="4.5546875" style="115" customWidth="1"/>
    <col min="78" max="78" width="4.44140625" style="115" customWidth="1"/>
    <col min="79" max="80" width="4" style="115" customWidth="1"/>
    <col min="81" max="81" width="5.6640625" style="98" customWidth="1"/>
    <col min="82" max="82" width="6.10937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09375" style="98"/>
  </cols>
  <sheetData>
    <row r="1" spans="1:124" ht="13.8">
      <c r="A1" s="550" t="s">
        <v>591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394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240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>
      <c r="A3" s="551"/>
      <c r="B3" s="551"/>
      <c r="C3" s="551"/>
      <c r="D3" s="551"/>
      <c r="E3" s="551" t="s">
        <v>171</v>
      </c>
      <c r="F3" s="551"/>
      <c r="G3" s="551"/>
      <c r="H3" s="551"/>
      <c r="I3" s="551" t="s">
        <v>172</v>
      </c>
      <c r="J3" s="551"/>
      <c r="K3" s="551"/>
      <c r="L3" s="551"/>
      <c r="M3" s="551" t="s">
        <v>173</v>
      </c>
      <c r="N3" s="551"/>
      <c r="O3" s="551"/>
      <c r="P3" s="551"/>
      <c r="Q3" s="551" t="s">
        <v>174</v>
      </c>
      <c r="R3" s="551"/>
      <c r="S3" s="551"/>
      <c r="T3" s="551"/>
      <c r="U3" s="551" t="s">
        <v>175</v>
      </c>
      <c r="V3" s="551"/>
      <c r="W3" s="551"/>
      <c r="X3" s="551"/>
      <c r="Y3" s="551" t="s">
        <v>176</v>
      </c>
      <c r="Z3" s="551"/>
      <c r="AA3" s="551"/>
      <c r="AB3" s="551"/>
      <c r="AC3" s="551" t="s">
        <v>177</v>
      </c>
      <c r="AD3" s="551"/>
      <c r="AE3" s="551"/>
      <c r="AF3" s="551"/>
      <c r="AG3" s="552" t="s">
        <v>178</v>
      </c>
      <c r="AH3" s="553"/>
      <c r="AI3" s="553"/>
      <c r="AJ3" s="554"/>
      <c r="AK3" s="552" t="s">
        <v>271</v>
      </c>
      <c r="AL3" s="553"/>
      <c r="AM3" s="553"/>
      <c r="AN3" s="554"/>
      <c r="AO3" s="552" t="s">
        <v>385</v>
      </c>
      <c r="AP3" s="553"/>
      <c r="AQ3" s="553"/>
      <c r="AR3" s="554"/>
      <c r="AS3" s="552" t="s">
        <v>386</v>
      </c>
      <c r="AT3" s="553"/>
      <c r="AU3" s="553"/>
      <c r="AV3" s="554"/>
      <c r="AW3" s="552" t="s">
        <v>387</v>
      </c>
      <c r="AX3" s="553"/>
      <c r="AY3" s="553"/>
      <c r="AZ3" s="554"/>
      <c r="BA3" s="552" t="s">
        <v>389</v>
      </c>
      <c r="BB3" s="553"/>
      <c r="BC3" s="553"/>
      <c r="BD3" s="554"/>
      <c r="BE3" s="552" t="s">
        <v>592</v>
      </c>
      <c r="BF3" s="553"/>
      <c r="BG3" s="553"/>
      <c r="BH3" s="554"/>
      <c r="BI3" s="552" t="s">
        <v>404</v>
      </c>
      <c r="BJ3" s="553"/>
      <c r="BK3" s="553"/>
      <c r="BL3" s="554"/>
      <c r="BM3" s="552" t="s">
        <v>388</v>
      </c>
      <c r="BN3" s="553"/>
      <c r="BO3" s="553"/>
      <c r="BP3" s="554"/>
      <c r="BQ3" s="551" t="s">
        <v>71</v>
      </c>
      <c r="BR3" s="551"/>
      <c r="BS3" s="551"/>
      <c r="BT3" s="551"/>
      <c r="BU3" s="551" t="s">
        <v>557</v>
      </c>
      <c r="BV3" s="551"/>
      <c r="BW3" s="551"/>
      <c r="BX3" s="552"/>
      <c r="BY3" s="552" t="s">
        <v>383</v>
      </c>
      <c r="BZ3" s="553"/>
      <c r="CA3" s="553"/>
      <c r="CB3" s="554"/>
      <c r="CC3" s="552" t="s">
        <v>179</v>
      </c>
      <c r="CD3" s="553"/>
      <c r="CE3" s="553"/>
      <c r="CF3" s="554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>
      <c r="A4" s="120" t="s">
        <v>180</v>
      </c>
      <c r="B4" s="551" t="s">
        <v>181</v>
      </c>
      <c r="C4" s="551"/>
      <c r="D4" s="551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121" t="s">
        <v>68</v>
      </c>
      <c r="AH4" s="121" t="s">
        <v>69</v>
      </c>
      <c r="AI4" s="121" t="s">
        <v>70</v>
      </c>
      <c r="AJ4" s="121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121" t="s">
        <v>68</v>
      </c>
      <c r="BB4" s="121" t="s">
        <v>69</v>
      </c>
      <c r="BC4" s="121" t="s">
        <v>70</v>
      </c>
      <c r="BD4" s="121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2" t="s">
        <v>68</v>
      </c>
      <c r="CD4" s="122" t="s">
        <v>69</v>
      </c>
      <c r="CE4" s="122" t="s">
        <v>70</v>
      </c>
      <c r="CF4" s="121" t="s">
        <v>184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>
      <c r="A5" s="100">
        <v>200</v>
      </c>
      <c r="B5" s="555" t="s">
        <v>185</v>
      </c>
      <c r="C5" s="556"/>
      <c r="D5" s="557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>
      <c r="A6" s="100">
        <v>211</v>
      </c>
      <c r="B6" s="124" t="s">
        <v>403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8">
      <c r="A7" s="109">
        <v>212</v>
      </c>
      <c r="B7" s="561" t="s">
        <v>86</v>
      </c>
      <c r="C7" s="562"/>
      <c r="D7" s="563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>
      <c r="A8" s="108"/>
      <c r="B8" s="567" t="s">
        <v>186</v>
      </c>
      <c r="C8" s="568"/>
      <c r="D8" s="569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>
      <c r="A9" s="108">
        <v>213</v>
      </c>
      <c r="B9" s="558" t="s">
        <v>187</v>
      </c>
      <c r="C9" s="559"/>
      <c r="D9" s="560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>
      <c r="A10" s="100">
        <v>220</v>
      </c>
      <c r="B10" s="555" t="s">
        <v>90</v>
      </c>
      <c r="C10" s="556"/>
      <c r="D10" s="557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>
      <c r="A11" s="108">
        <v>221</v>
      </c>
      <c r="B11" s="558" t="s">
        <v>91</v>
      </c>
      <c r="C11" s="559"/>
      <c r="D11" s="560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8">
      <c r="A12" s="109">
        <v>222</v>
      </c>
      <c r="B12" s="561" t="s">
        <v>188</v>
      </c>
      <c r="C12" s="562"/>
      <c r="D12" s="563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>
      <c r="A13" s="108"/>
      <c r="B13" s="564" t="s">
        <v>189</v>
      </c>
      <c r="C13" s="565"/>
      <c r="D13" s="566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8" hidden="1">
      <c r="A14" s="110">
        <v>223</v>
      </c>
      <c r="B14" s="573" t="s">
        <v>272</v>
      </c>
      <c r="C14" s="574"/>
      <c r="D14" s="575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>
      <c r="A15" s="111">
        <v>224</v>
      </c>
      <c r="B15" s="576" t="s">
        <v>384</v>
      </c>
      <c r="C15" s="577"/>
      <c r="D15" s="578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8">
      <c r="A16" s="109">
        <v>225</v>
      </c>
      <c r="B16" s="570" t="s">
        <v>190</v>
      </c>
      <c r="C16" s="571"/>
      <c r="D16" s="572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>
      <c r="A17" s="108"/>
      <c r="B17" s="564" t="s">
        <v>249</v>
      </c>
      <c r="C17" s="565"/>
      <c r="D17" s="566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>
      <c r="A18" s="108"/>
      <c r="B18" s="564" t="s">
        <v>390</v>
      </c>
      <c r="C18" s="565"/>
      <c r="D18" s="566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>
      <c r="A19" s="108"/>
      <c r="B19" s="564" t="s">
        <v>191</v>
      </c>
      <c r="C19" s="565"/>
      <c r="D19" s="566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>
      <c r="A20" s="108"/>
      <c r="B20" s="564" t="s">
        <v>253</v>
      </c>
      <c r="C20" s="565"/>
      <c r="D20" s="566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>
      <c r="A21" s="108"/>
      <c r="B21" s="564" t="s">
        <v>273</v>
      </c>
      <c r="C21" s="565"/>
      <c r="D21" s="566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>
      <c r="A22" s="108"/>
      <c r="B22" s="564" t="s">
        <v>251</v>
      </c>
      <c r="C22" s="565"/>
      <c r="D22" s="566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>
      <c r="A23" s="108"/>
      <c r="B23" s="564" t="s">
        <v>192</v>
      </c>
      <c r="C23" s="565"/>
      <c r="D23" s="566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>
      <c r="A24" s="108"/>
      <c r="B24" s="567" t="s">
        <v>229</v>
      </c>
      <c r="C24" s="568"/>
      <c r="D24" s="569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>
      <c r="A25" s="109">
        <v>226</v>
      </c>
      <c r="B25" s="561" t="s">
        <v>102</v>
      </c>
      <c r="C25" s="562"/>
      <c r="D25" s="563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>
      <c r="A26" s="108"/>
      <c r="B26" s="564" t="s">
        <v>193</v>
      </c>
      <c r="C26" s="565"/>
      <c r="D26" s="566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>
      <c r="A27" s="108"/>
      <c r="B27" s="564" t="s">
        <v>392</v>
      </c>
      <c r="C27" s="565"/>
      <c r="D27" s="566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>
      <c r="A28" s="108"/>
      <c r="B28" s="567" t="s">
        <v>194</v>
      </c>
      <c r="C28" s="568"/>
      <c r="D28" s="569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>
      <c r="A29" s="108"/>
      <c r="B29" s="567" t="s">
        <v>195</v>
      </c>
      <c r="C29" s="568"/>
      <c r="D29" s="569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>
      <c r="A30" s="108"/>
      <c r="B30" s="567" t="s">
        <v>434</v>
      </c>
      <c r="C30" s="568"/>
      <c r="D30" s="569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>
      <c r="A31" s="108"/>
      <c r="B31" s="579" t="s">
        <v>250</v>
      </c>
      <c r="C31" s="580"/>
      <c r="D31" s="581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>
      <c r="A32" s="108"/>
      <c r="B32" s="579" t="s">
        <v>402</v>
      </c>
      <c r="C32" s="580"/>
      <c r="D32" s="581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>
      <c r="A33" s="108"/>
      <c r="B33" s="579" t="s">
        <v>226</v>
      </c>
      <c r="C33" s="580"/>
      <c r="D33" s="581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>
      <c r="A34" s="108"/>
      <c r="B34" s="579" t="s">
        <v>435</v>
      </c>
      <c r="C34" s="580"/>
      <c r="D34" s="581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>
      <c r="A35" s="108"/>
      <c r="B35" s="579" t="s">
        <v>196</v>
      </c>
      <c r="C35" s="580"/>
      <c r="D35" s="581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>
      <c r="A36" s="108"/>
      <c r="B36" s="579" t="s">
        <v>254</v>
      </c>
      <c r="C36" s="580"/>
      <c r="D36" s="581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>
      <c r="A37" s="108"/>
      <c r="B37" s="579" t="s">
        <v>197</v>
      </c>
      <c r="C37" s="580"/>
      <c r="D37" s="581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>
      <c r="A38" s="108"/>
      <c r="B38" s="567" t="s">
        <v>391</v>
      </c>
      <c r="C38" s="568"/>
      <c r="D38" s="569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>
      <c r="A39" s="108"/>
      <c r="B39" s="567" t="s">
        <v>255</v>
      </c>
      <c r="C39" s="568"/>
      <c r="D39" s="569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>
      <c r="A40" s="108"/>
      <c r="B40" s="567" t="s">
        <v>198</v>
      </c>
      <c r="C40" s="568"/>
      <c r="D40" s="569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>
      <c r="A41" s="108"/>
      <c r="B41" s="567" t="s">
        <v>479</v>
      </c>
      <c r="C41" s="568"/>
      <c r="D41" s="569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>
      <c r="A42" s="108"/>
      <c r="B42" s="567" t="s">
        <v>478</v>
      </c>
      <c r="C42" s="568"/>
      <c r="D42" s="569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>
      <c r="A43" s="108"/>
      <c r="B43" s="567" t="s">
        <v>558</v>
      </c>
      <c r="C43" s="568"/>
      <c r="D43" s="569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>
      <c r="A44" s="108"/>
      <c r="B44" s="567" t="s">
        <v>252</v>
      </c>
      <c r="C44" s="568"/>
      <c r="D44" s="569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8">
      <c r="A45" s="109">
        <v>290</v>
      </c>
      <c r="B45" s="561" t="s">
        <v>67</v>
      </c>
      <c r="C45" s="562"/>
      <c r="D45" s="563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>
      <c r="A46" s="108"/>
      <c r="B46" s="558" t="s">
        <v>228</v>
      </c>
      <c r="C46" s="559"/>
      <c r="D46" s="560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>
      <c r="A47" s="108"/>
      <c r="B47" s="567" t="s">
        <v>199</v>
      </c>
      <c r="C47" s="568"/>
      <c r="D47" s="569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>
      <c r="A48" s="108"/>
      <c r="B48" s="567" t="s">
        <v>200</v>
      </c>
      <c r="C48" s="568"/>
      <c r="D48" s="569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>
      <c r="A49" s="108"/>
      <c r="B49" s="567" t="s">
        <v>224</v>
      </c>
      <c r="C49" s="568"/>
      <c r="D49" s="569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>
      <c r="A50" s="108"/>
      <c r="B50" s="564" t="s">
        <v>194</v>
      </c>
      <c r="C50" s="565"/>
      <c r="D50" s="566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>
      <c r="A51" s="112">
        <v>300</v>
      </c>
      <c r="B51" s="594" t="s">
        <v>201</v>
      </c>
      <c r="C51" s="595"/>
      <c r="D51" s="596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>
      <c r="A52" s="113">
        <v>310</v>
      </c>
      <c r="B52" s="582" t="s">
        <v>202</v>
      </c>
      <c r="C52" s="583"/>
      <c r="D52" s="584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>
      <c r="A53" s="108"/>
      <c r="B53" s="588" t="s">
        <v>203</v>
      </c>
      <c r="C53" s="589"/>
      <c r="D53" s="590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>
      <c r="A54" s="108"/>
      <c r="B54" s="588" t="s">
        <v>204</v>
      </c>
      <c r="C54" s="589"/>
      <c r="D54" s="590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>
      <c r="A55" s="109">
        <v>340</v>
      </c>
      <c r="B55" s="591" t="s">
        <v>125</v>
      </c>
      <c r="C55" s="592"/>
      <c r="D55" s="593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>
      <c r="A56" s="108"/>
      <c r="B56" s="585" t="s">
        <v>205</v>
      </c>
      <c r="C56" s="586"/>
      <c r="D56" s="587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>
      <c r="A57" s="108"/>
      <c r="B57" s="585" t="s">
        <v>436</v>
      </c>
      <c r="C57" s="586"/>
      <c r="D57" s="587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>
      <c r="A58" s="108"/>
      <c r="B58" s="585" t="s">
        <v>206</v>
      </c>
      <c r="C58" s="586"/>
      <c r="D58" s="587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>
      <c r="A59" s="108"/>
      <c r="B59" s="585" t="s">
        <v>207</v>
      </c>
      <c r="C59" s="586"/>
      <c r="D59" s="587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>
      <c r="A60" s="108"/>
      <c r="B60" s="585" t="s">
        <v>208</v>
      </c>
      <c r="C60" s="586"/>
      <c r="D60" s="587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>
      <c r="A61" s="108"/>
      <c r="B61" s="585" t="s">
        <v>209</v>
      </c>
      <c r="C61" s="586"/>
      <c r="D61" s="587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>
      <c r="A62" s="108"/>
      <c r="B62" s="585" t="s">
        <v>227</v>
      </c>
      <c r="C62" s="586"/>
      <c r="D62" s="587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>
      <c r="A63" s="108"/>
      <c r="B63" s="585" t="s">
        <v>132</v>
      </c>
      <c r="C63" s="586"/>
      <c r="D63" s="587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>
      <c r="A64" s="108"/>
      <c r="B64" s="585" t="s">
        <v>210</v>
      </c>
      <c r="C64" s="586"/>
      <c r="D64" s="587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>
      <c r="A65" s="108"/>
      <c r="B65" s="585" t="s">
        <v>211</v>
      </c>
      <c r="C65" s="586"/>
      <c r="D65" s="587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>
      <c r="A66" s="100"/>
      <c r="B66" s="555" t="s">
        <v>212</v>
      </c>
      <c r="C66" s="556"/>
      <c r="D66" s="557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>
      <c r="BX70" s="115"/>
      <c r="CC70" s="98">
        <f>CC66-CC69</f>
        <v>0</v>
      </c>
      <c r="CD70" s="98">
        <f>CD66-CD69</f>
        <v>0</v>
      </c>
    </row>
    <row r="71" spans="1:175">
      <c r="BT71" s="98">
        <f>BQ66+BU66+BY66</f>
        <v>1356.8</v>
      </c>
      <c r="BX71" s="115"/>
    </row>
    <row r="72" spans="1:175">
      <c r="BX72" s="115"/>
    </row>
    <row r="73" spans="1:175">
      <c r="BX73" s="115"/>
    </row>
    <row r="74" spans="1:175">
      <c r="BX74" s="115"/>
    </row>
    <row r="75" spans="1:175">
      <c r="BX75" s="115"/>
    </row>
    <row r="76" spans="1:175">
      <c r="BX76" s="115"/>
    </row>
    <row r="77" spans="1:175">
      <c r="BX77" s="115"/>
    </row>
    <row r="78" spans="1:175">
      <c r="BX78" s="115"/>
    </row>
    <row r="79" spans="1:175">
      <c r="BX79" s="115"/>
    </row>
    <row r="80" spans="1:175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3.2"/>
  <cols>
    <col min="1" max="1" width="4.6640625" customWidth="1"/>
    <col min="2" max="2" width="39.44140625" customWidth="1"/>
    <col min="3" max="3" width="9.6640625" hidden="1" customWidth="1"/>
    <col min="4" max="4" width="10" hidden="1" customWidth="1"/>
    <col min="5" max="5" width="11.44140625" customWidth="1"/>
    <col min="6" max="6" width="12.44140625" hidden="1" customWidth="1"/>
    <col min="7" max="8" width="11.33203125" customWidth="1"/>
    <col min="9" max="9" width="9.33203125" hidden="1" customWidth="1"/>
    <col min="10" max="10" width="12.44140625" customWidth="1"/>
    <col min="11" max="11" width="12" customWidth="1"/>
  </cols>
  <sheetData>
    <row r="1" spans="1:11">
      <c r="I1" s="229" t="s">
        <v>559</v>
      </c>
      <c r="J1" s="329" t="s">
        <v>690</v>
      </c>
    </row>
    <row r="2" spans="1:11" ht="37.5" customHeight="1">
      <c r="A2" s="187"/>
      <c r="B2" s="597" t="s">
        <v>693</v>
      </c>
      <c r="C2" s="597"/>
      <c r="D2" s="597"/>
      <c r="E2" s="597"/>
      <c r="F2" s="597"/>
      <c r="G2" s="597"/>
      <c r="H2" s="597"/>
      <c r="I2" s="597"/>
      <c r="J2" s="597"/>
      <c r="K2" s="597"/>
    </row>
    <row r="3" spans="1:11" ht="5.25" customHeight="1">
      <c r="A3" s="601" t="s">
        <v>286</v>
      </c>
      <c r="B3" s="604" t="s">
        <v>287</v>
      </c>
      <c r="C3" s="607" t="s">
        <v>288</v>
      </c>
      <c r="D3" s="608"/>
      <c r="E3" s="608"/>
      <c r="F3" s="608"/>
      <c r="G3" s="608"/>
      <c r="H3" s="609"/>
      <c r="I3" s="613" t="s">
        <v>627</v>
      </c>
      <c r="J3" s="598" t="s">
        <v>629</v>
      </c>
      <c r="K3" s="598" t="s">
        <v>695</v>
      </c>
    </row>
    <row r="4" spans="1:11" ht="9" customHeight="1">
      <c r="A4" s="602"/>
      <c r="B4" s="605"/>
      <c r="C4" s="610"/>
      <c r="D4" s="611"/>
      <c r="E4" s="611"/>
      <c r="F4" s="611"/>
      <c r="G4" s="611"/>
      <c r="H4" s="612"/>
      <c r="I4" s="614"/>
      <c r="J4" s="599"/>
      <c r="K4" s="599"/>
    </row>
    <row r="5" spans="1:11" ht="39" customHeight="1">
      <c r="A5" s="603"/>
      <c r="B5" s="606"/>
      <c r="C5" s="231" t="s">
        <v>560</v>
      </c>
      <c r="D5" s="230" t="s">
        <v>621</v>
      </c>
      <c r="E5" s="231" t="s">
        <v>561</v>
      </c>
      <c r="F5" s="231" t="s">
        <v>689</v>
      </c>
      <c r="G5" s="231" t="s">
        <v>622</v>
      </c>
      <c r="H5" s="231" t="s">
        <v>694</v>
      </c>
      <c r="I5" s="615"/>
      <c r="J5" s="600"/>
      <c r="K5" s="600"/>
    </row>
    <row r="6" spans="1:11" ht="12.75" customHeight="1">
      <c r="A6" s="232" t="s">
        <v>289</v>
      </c>
      <c r="B6" s="233" t="s">
        <v>290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2" t="e">
        <f>H6/F6</f>
        <v>#DIV/0!</v>
      </c>
      <c r="K6" s="282">
        <f>H6-G6</f>
        <v>301.56</v>
      </c>
    </row>
    <row r="7" spans="1:11" hidden="1">
      <c r="A7" s="200"/>
      <c r="B7" s="200" t="s">
        <v>291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2" t="e">
        <f t="shared" ref="J7:J70" si="2">H7/F7</f>
        <v>#DIV/0!</v>
      </c>
      <c r="K7" s="282">
        <f t="shared" ref="K7:K71" si="3">H7-G7</f>
        <v>0</v>
      </c>
    </row>
    <row r="8" spans="1:11" ht="14.25" hidden="1" customHeight="1">
      <c r="A8" s="200"/>
      <c r="B8" s="200" t="s">
        <v>292</v>
      </c>
      <c r="C8" s="139"/>
      <c r="D8" s="16"/>
      <c r="E8" s="139"/>
      <c r="F8" s="139"/>
      <c r="G8" s="139"/>
      <c r="H8" s="139"/>
      <c r="I8" s="235">
        <f t="shared" si="1"/>
        <v>0</v>
      </c>
      <c r="J8" s="282" t="e">
        <f t="shared" si="2"/>
        <v>#DIV/0!</v>
      </c>
      <c r="K8" s="282">
        <f t="shared" si="3"/>
        <v>0</v>
      </c>
    </row>
    <row r="9" spans="1:11" ht="14.25" hidden="1" customHeight="1">
      <c r="A9" s="200"/>
      <c r="B9" s="210" t="s">
        <v>516</v>
      </c>
      <c r="C9" s="139"/>
      <c r="D9" s="16"/>
      <c r="E9" s="139"/>
      <c r="F9" s="139"/>
      <c r="G9" s="139"/>
      <c r="H9" s="139"/>
      <c r="I9" s="235">
        <f t="shared" si="1"/>
        <v>0</v>
      </c>
      <c r="J9" s="282" t="e">
        <f t="shared" si="2"/>
        <v>#DIV/0!</v>
      </c>
      <c r="K9" s="282">
        <f t="shared" si="3"/>
        <v>0</v>
      </c>
    </row>
    <row r="10" spans="1:11" ht="14.25" hidden="1" customHeight="1">
      <c r="A10" s="200"/>
      <c r="B10" s="210" t="s">
        <v>293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2" t="e">
        <f t="shared" si="2"/>
        <v>#DIV/0!</v>
      </c>
      <c r="K10" s="282">
        <f t="shared" si="3"/>
        <v>0</v>
      </c>
    </row>
    <row r="11" spans="1:11" ht="14.25" hidden="1" customHeight="1">
      <c r="A11" s="200"/>
      <c r="B11" s="210" t="s">
        <v>562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2" t="e">
        <f t="shared" si="2"/>
        <v>#DIV/0!</v>
      </c>
      <c r="K11" s="282">
        <f t="shared" si="3"/>
        <v>0</v>
      </c>
    </row>
    <row r="12" spans="1:11" ht="14.25" hidden="1" customHeight="1">
      <c r="A12" s="200"/>
      <c r="B12" s="210" t="s">
        <v>517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2" t="e">
        <f t="shared" si="2"/>
        <v>#DIV/0!</v>
      </c>
      <c r="K12" s="282">
        <f t="shared" si="3"/>
        <v>0</v>
      </c>
    </row>
    <row r="13" spans="1:11" ht="14.25" hidden="1" customHeight="1">
      <c r="A13" s="200"/>
      <c r="B13" s="210" t="s">
        <v>518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2" t="e">
        <f t="shared" si="2"/>
        <v>#DIV/0!</v>
      </c>
      <c r="K13" s="282">
        <f t="shared" si="3"/>
        <v>0</v>
      </c>
    </row>
    <row r="14" spans="1:11" ht="14.25" customHeight="1">
      <c r="A14" s="200"/>
      <c r="B14" s="256" t="s">
        <v>678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2" t="e">
        <f t="shared" si="2"/>
        <v>#DIV/0!</v>
      </c>
      <c r="K14" s="282">
        <f t="shared" si="3"/>
        <v>301.06</v>
      </c>
    </row>
    <row r="15" spans="1:11" ht="14.25" hidden="1" customHeight="1">
      <c r="A15" s="200"/>
      <c r="B15" s="210" t="s">
        <v>294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2" t="e">
        <f t="shared" si="2"/>
        <v>#DIV/0!</v>
      </c>
      <c r="K15" s="282">
        <f t="shared" si="3"/>
        <v>0</v>
      </c>
    </row>
    <row r="16" spans="1:11" ht="14.25" hidden="1" customHeight="1">
      <c r="A16" s="200"/>
      <c r="B16" s="210" t="s">
        <v>295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2" t="e">
        <f t="shared" si="2"/>
        <v>#DIV/0!</v>
      </c>
      <c r="K16" s="282">
        <f t="shared" si="3"/>
        <v>0</v>
      </c>
    </row>
    <row r="17" spans="1:11" ht="14.25" hidden="1" customHeight="1">
      <c r="A17" s="200"/>
      <c r="B17" s="210" t="s">
        <v>296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2" t="e">
        <f t="shared" si="2"/>
        <v>#DIV/0!</v>
      </c>
      <c r="K17" s="282">
        <f t="shared" si="3"/>
        <v>0</v>
      </c>
    </row>
    <row r="18" spans="1:11" ht="14.25" customHeight="1">
      <c r="A18" s="200"/>
      <c r="B18" s="210" t="s">
        <v>519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2" t="e">
        <f t="shared" si="2"/>
        <v>#DIV/0!</v>
      </c>
      <c r="K18" s="282">
        <f t="shared" si="3"/>
        <v>0.5</v>
      </c>
    </row>
    <row r="19" spans="1:11" ht="14.25" customHeight="1">
      <c r="A19" s="232" t="s">
        <v>297</v>
      </c>
      <c r="B19" s="233" t="s">
        <v>298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2">
        <f t="shared" si="2"/>
        <v>1.0834553440702783</v>
      </c>
      <c r="K19" s="282">
        <f t="shared" si="3"/>
        <v>7.4</v>
      </c>
    </row>
    <row r="20" spans="1:11" ht="14.25" customHeight="1">
      <c r="A20" s="200"/>
      <c r="B20" s="200" t="s">
        <v>299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2" t="e">
        <f t="shared" si="2"/>
        <v>#DIV/0!</v>
      </c>
      <c r="K20" s="282">
        <f t="shared" si="3"/>
        <v>0</v>
      </c>
    </row>
    <row r="21" spans="1:11" ht="14.25" hidden="1" customHeight="1">
      <c r="A21" s="200"/>
      <c r="B21" s="210" t="s">
        <v>300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2" t="e">
        <f t="shared" si="2"/>
        <v>#DIV/0!</v>
      </c>
      <c r="K21" s="282">
        <f t="shared" si="3"/>
        <v>0</v>
      </c>
    </row>
    <row r="22" spans="1:11" ht="14.25" hidden="1" customHeight="1">
      <c r="A22" s="200"/>
      <c r="B22" s="210" t="s">
        <v>563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2" t="e">
        <f t="shared" si="2"/>
        <v>#DIV/0!</v>
      </c>
      <c r="K22" s="282">
        <f t="shared" si="3"/>
        <v>0</v>
      </c>
    </row>
    <row r="23" spans="1:11" ht="14.25" customHeight="1">
      <c r="A23" s="200"/>
      <c r="B23" s="253" t="s">
        <v>301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2" t="e">
        <f t="shared" si="2"/>
        <v>#DIV/0!</v>
      </c>
      <c r="K23" s="282">
        <f t="shared" si="3"/>
        <v>0</v>
      </c>
    </row>
    <row r="24" spans="1:11" ht="14.25" hidden="1" customHeight="1">
      <c r="A24" s="200"/>
      <c r="B24" s="200" t="s">
        <v>564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2" t="e">
        <f t="shared" si="2"/>
        <v>#DIV/0!</v>
      </c>
      <c r="K24" s="282">
        <f t="shared" si="3"/>
        <v>0</v>
      </c>
    </row>
    <row r="25" spans="1:11" ht="14.25" customHeight="1">
      <c r="A25" s="200"/>
      <c r="B25" s="210" t="s">
        <v>520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2">
        <f t="shared" si="2"/>
        <v>0</v>
      </c>
      <c r="K25" s="282">
        <f t="shared" si="3"/>
        <v>0</v>
      </c>
    </row>
    <row r="26" spans="1:11" ht="14.25" hidden="1" customHeight="1">
      <c r="A26" s="200"/>
      <c r="B26" s="200" t="s">
        <v>597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2" t="e">
        <f t="shared" si="2"/>
        <v>#DIV/0!</v>
      </c>
      <c r="K26" s="282">
        <f t="shared" si="3"/>
        <v>0</v>
      </c>
    </row>
    <row r="27" spans="1:11" ht="14.25" customHeight="1">
      <c r="A27" s="200"/>
      <c r="B27" s="210" t="s">
        <v>521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2" t="e">
        <f t="shared" si="2"/>
        <v>#DIV/0!</v>
      </c>
      <c r="K27" s="282">
        <f t="shared" si="3"/>
        <v>7.4</v>
      </c>
    </row>
    <row r="28" spans="1:11" ht="14.25" hidden="1" customHeight="1">
      <c r="A28" s="200"/>
      <c r="B28" s="210" t="s">
        <v>565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2" t="e">
        <f t="shared" si="2"/>
        <v>#DIV/0!</v>
      </c>
      <c r="K28" s="282">
        <f t="shared" si="3"/>
        <v>0</v>
      </c>
    </row>
    <row r="29" spans="1:11" ht="14.25" hidden="1" customHeight="1">
      <c r="A29" s="200"/>
      <c r="B29" s="210" t="s">
        <v>302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2" t="e">
        <f t="shared" si="2"/>
        <v>#DIV/0!</v>
      </c>
      <c r="K29" s="282">
        <f t="shared" si="3"/>
        <v>0</v>
      </c>
    </row>
    <row r="30" spans="1:11" ht="14.25" hidden="1" customHeight="1">
      <c r="A30" s="200"/>
      <c r="B30" s="210" t="s">
        <v>303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2" t="e">
        <f t="shared" si="2"/>
        <v>#DIV/0!</v>
      </c>
      <c r="K30" s="282">
        <f t="shared" si="3"/>
        <v>0</v>
      </c>
    </row>
    <row r="31" spans="1:11" ht="14.25" hidden="1" customHeight="1">
      <c r="A31" s="200"/>
      <c r="B31" s="210" t="s">
        <v>304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2" t="e">
        <f t="shared" si="2"/>
        <v>#DIV/0!</v>
      </c>
      <c r="K31" s="282">
        <f t="shared" si="3"/>
        <v>0</v>
      </c>
    </row>
    <row r="32" spans="1:11" ht="14.25" hidden="1" customHeight="1">
      <c r="A32" s="200"/>
      <c r="B32" s="210" t="s">
        <v>305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2" t="e">
        <f t="shared" si="2"/>
        <v>#DIV/0!</v>
      </c>
      <c r="K32" s="282">
        <f t="shared" si="3"/>
        <v>0</v>
      </c>
    </row>
    <row r="33" spans="1:11" ht="14.25" hidden="1" customHeight="1">
      <c r="A33" s="200"/>
      <c r="B33" s="210" t="s">
        <v>566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2" t="e">
        <f t="shared" si="2"/>
        <v>#DIV/0!</v>
      </c>
      <c r="K33" s="282">
        <f t="shared" si="3"/>
        <v>0</v>
      </c>
    </row>
    <row r="34" spans="1:11" ht="14.25" hidden="1" customHeight="1">
      <c r="A34" s="200"/>
      <c r="B34" s="200" t="s">
        <v>522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2" t="e">
        <f t="shared" si="2"/>
        <v>#DIV/0!</v>
      </c>
      <c r="K34" s="282">
        <f t="shared" si="3"/>
        <v>0</v>
      </c>
    </row>
    <row r="35" spans="1:11" ht="14.25" hidden="1" customHeight="1">
      <c r="A35" s="200"/>
      <c r="B35" s="200" t="s">
        <v>306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2" t="e">
        <f t="shared" si="2"/>
        <v>#DIV/0!</v>
      </c>
      <c r="K35" s="282">
        <f t="shared" si="3"/>
        <v>0</v>
      </c>
    </row>
    <row r="36" spans="1:11" ht="14.25" hidden="1" customHeight="1">
      <c r="A36" s="200"/>
      <c r="B36" s="200" t="s">
        <v>523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2" t="e">
        <f t="shared" si="2"/>
        <v>#DIV/0!</v>
      </c>
      <c r="K36" s="282">
        <f t="shared" si="3"/>
        <v>0</v>
      </c>
    </row>
    <row r="37" spans="1:11" ht="14.25" customHeight="1">
      <c r="A37" s="232" t="s">
        <v>307</v>
      </c>
      <c r="B37" s="233" t="s">
        <v>308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2">
        <f t="shared" si="2"/>
        <v>2.7893828483008987</v>
      </c>
      <c r="K37" s="282">
        <f t="shared" si="3"/>
        <v>320.77999999999997</v>
      </c>
    </row>
    <row r="38" spans="1:11" ht="14.25" customHeight="1">
      <c r="A38" s="232"/>
      <c r="B38" s="233" t="s">
        <v>309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2">
        <f t="shared" si="2"/>
        <v>0.16949152542372883</v>
      </c>
      <c r="K38" s="282">
        <f t="shared" si="3"/>
        <v>-7.78</v>
      </c>
    </row>
    <row r="39" spans="1:11" ht="14.25" hidden="1" customHeight="1">
      <c r="A39" s="200"/>
      <c r="B39" s="210" t="s">
        <v>310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2"/>
      <c r="K39" s="282">
        <f t="shared" si="3"/>
        <v>0.2</v>
      </c>
    </row>
    <row r="40" spans="1:11" ht="14.25" hidden="1" customHeight="1">
      <c r="A40" s="200"/>
      <c r="B40" s="210" t="s">
        <v>311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2"/>
      <c r="K40" s="282">
        <f t="shared" si="3"/>
        <v>0</v>
      </c>
    </row>
    <row r="41" spans="1:11" ht="14.25" hidden="1" customHeight="1">
      <c r="A41" s="200"/>
      <c r="B41" s="210" t="s">
        <v>312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2"/>
      <c r="K41" s="282">
        <f t="shared" si="3"/>
        <v>0</v>
      </c>
    </row>
    <row r="42" spans="1:11" ht="14.25" customHeight="1">
      <c r="A42" s="200"/>
      <c r="B42" s="200" t="s">
        <v>313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2"/>
      <c r="K42" s="282">
        <f t="shared" si="3"/>
        <v>0</v>
      </c>
    </row>
    <row r="43" spans="1:11" ht="14.25" hidden="1" customHeight="1">
      <c r="A43" s="200"/>
      <c r="B43" s="200" t="s">
        <v>314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2"/>
      <c r="K43" s="282">
        <f t="shared" si="3"/>
        <v>0</v>
      </c>
    </row>
    <row r="44" spans="1:11" ht="14.25" hidden="1" customHeight="1">
      <c r="A44" s="200"/>
      <c r="B44" s="200" t="s">
        <v>315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2"/>
      <c r="K44" s="282">
        <f t="shared" si="3"/>
        <v>0</v>
      </c>
    </row>
    <row r="45" spans="1:11" ht="14.25" customHeight="1">
      <c r="A45" s="200"/>
      <c r="B45" s="200" t="s">
        <v>316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2"/>
      <c r="K45" s="282">
        <f t="shared" si="3"/>
        <v>-5.7</v>
      </c>
    </row>
    <row r="46" spans="1:11" ht="14.25" hidden="1" customHeight="1">
      <c r="A46" s="200"/>
      <c r="B46" s="200" t="s">
        <v>317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2"/>
      <c r="K46" s="282">
        <f t="shared" si="3"/>
        <v>0</v>
      </c>
    </row>
    <row r="47" spans="1:11" ht="14.25" hidden="1" customHeight="1">
      <c r="A47" s="200"/>
      <c r="B47" s="200" t="s">
        <v>318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2"/>
      <c r="K47" s="282">
        <f t="shared" si="3"/>
        <v>0</v>
      </c>
    </row>
    <row r="48" spans="1:11" ht="14.25" customHeight="1">
      <c r="A48" s="200"/>
      <c r="B48" s="200" t="s">
        <v>319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2"/>
      <c r="K48" s="282">
        <f t="shared" si="3"/>
        <v>-0.3</v>
      </c>
    </row>
    <row r="49" spans="1:11" ht="14.25" hidden="1" customHeight="1">
      <c r="A49" s="200"/>
      <c r="B49" s="200" t="s">
        <v>320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2"/>
      <c r="K49" s="282">
        <f t="shared" si="3"/>
        <v>0</v>
      </c>
    </row>
    <row r="50" spans="1:11" ht="14.25" hidden="1" customHeight="1">
      <c r="A50" s="200"/>
      <c r="B50" s="214" t="s">
        <v>321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2"/>
      <c r="K50" s="282">
        <f t="shared" si="3"/>
        <v>0</v>
      </c>
    </row>
    <row r="51" spans="1:11" ht="14.25" hidden="1" customHeight="1">
      <c r="A51" s="200"/>
      <c r="B51" s="200" t="s">
        <v>524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2"/>
      <c r="K51" s="282">
        <f t="shared" si="3"/>
        <v>0</v>
      </c>
    </row>
    <row r="52" spans="1:11" ht="14.25" customHeight="1">
      <c r="A52" s="200"/>
      <c r="B52" s="200" t="s">
        <v>322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2"/>
      <c r="K52" s="282">
        <f t="shared" si="3"/>
        <v>-1.98</v>
      </c>
    </row>
    <row r="53" spans="1:11" ht="14.25" hidden="1" customHeight="1">
      <c r="A53" s="200"/>
      <c r="B53" s="200" t="s">
        <v>323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2" t="e">
        <f t="shared" si="2"/>
        <v>#DIV/0!</v>
      </c>
      <c r="K53" s="282">
        <f t="shared" si="3"/>
        <v>0</v>
      </c>
    </row>
    <row r="54" spans="1:11" ht="14.25" hidden="1" customHeight="1">
      <c r="A54" s="200"/>
      <c r="B54" s="200" t="s">
        <v>592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2" t="e">
        <f t="shared" si="2"/>
        <v>#DIV/0!</v>
      </c>
      <c r="K54" s="282">
        <f t="shared" si="3"/>
        <v>0</v>
      </c>
    </row>
    <row r="55" spans="1:11" ht="14.25" hidden="1" customHeight="1">
      <c r="A55" s="200"/>
      <c r="B55" s="200" t="s">
        <v>664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2" t="e">
        <f t="shared" si="2"/>
        <v>#DIV/0!</v>
      </c>
      <c r="K55" s="282">
        <f t="shared" si="3"/>
        <v>0</v>
      </c>
    </row>
    <row r="56" spans="1:11" ht="14.25" hidden="1" customHeight="1">
      <c r="A56" s="200"/>
      <c r="B56" s="214" t="s">
        <v>324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2" t="e">
        <f t="shared" si="2"/>
        <v>#DIV/0!</v>
      </c>
      <c r="K56" s="282">
        <f t="shared" si="3"/>
        <v>0</v>
      </c>
    </row>
    <row r="57" spans="1:11" ht="14.25" hidden="1" customHeight="1">
      <c r="A57" s="200"/>
      <c r="B57" s="200" t="s">
        <v>325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2" t="e">
        <f t="shared" si="2"/>
        <v>#DIV/0!</v>
      </c>
      <c r="K57" s="282">
        <f t="shared" si="3"/>
        <v>0</v>
      </c>
    </row>
    <row r="58" spans="1:11" ht="14.25" hidden="1" customHeight="1">
      <c r="A58" s="200"/>
      <c r="B58" s="200" t="s">
        <v>326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2" t="e">
        <f t="shared" si="2"/>
        <v>#DIV/0!</v>
      </c>
      <c r="K58" s="282">
        <f t="shared" si="3"/>
        <v>0</v>
      </c>
    </row>
    <row r="59" spans="1:11" ht="14.25" hidden="1" customHeight="1">
      <c r="A59" s="200"/>
      <c r="B59" s="214" t="s">
        <v>327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2" t="e">
        <f t="shared" si="2"/>
        <v>#DIV/0!</v>
      </c>
      <c r="K59" s="282">
        <f t="shared" si="3"/>
        <v>0</v>
      </c>
    </row>
    <row r="60" spans="1:11" ht="14.25" hidden="1" customHeight="1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2" t="e">
        <f t="shared" si="2"/>
        <v>#DIV/0!</v>
      </c>
      <c r="K60" s="282">
        <f t="shared" si="3"/>
        <v>0</v>
      </c>
    </row>
    <row r="61" spans="1:11" ht="14.25" customHeight="1">
      <c r="A61" s="200"/>
      <c r="B61" s="200" t="s">
        <v>567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2">
        <f t="shared" si="2"/>
        <v>4.8407643312101909</v>
      </c>
      <c r="K61" s="282">
        <f t="shared" si="3"/>
        <v>36.17</v>
      </c>
    </row>
    <row r="62" spans="1:11" ht="14.25" customHeight="1">
      <c r="A62" s="200"/>
      <c r="B62" s="200" t="s">
        <v>568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2">
        <f t="shared" si="2"/>
        <v>21.461224489795917</v>
      </c>
      <c r="K62" s="282">
        <f t="shared" si="3"/>
        <v>262.89999999999998</v>
      </c>
    </row>
    <row r="63" spans="1:11" ht="14.25" hidden="1" customHeight="1">
      <c r="A63" s="200"/>
      <c r="B63" s="200" t="s">
        <v>569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2" t="e">
        <f t="shared" si="2"/>
        <v>#DIV/0!</v>
      </c>
      <c r="K63" s="282">
        <f t="shared" si="3"/>
        <v>0</v>
      </c>
    </row>
    <row r="64" spans="1:11" ht="14.25" customHeight="1">
      <c r="A64" s="200"/>
      <c r="B64" s="200" t="s">
        <v>570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2">
        <f t="shared" si="2"/>
        <v>2.0693222969477496</v>
      </c>
      <c r="K64" s="282">
        <f t="shared" si="3"/>
        <v>20.7</v>
      </c>
    </row>
    <row r="65" spans="1:11" ht="14.25" customHeight="1">
      <c r="A65" s="200"/>
      <c r="B65" s="200" t="s">
        <v>527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2">
        <f t="shared" si="2"/>
        <v>1.1343283582089552</v>
      </c>
      <c r="K65" s="282">
        <f t="shared" si="3"/>
        <v>-0.59999999999999787</v>
      </c>
    </row>
    <row r="66" spans="1:11" ht="14.25" customHeight="1">
      <c r="A66" s="200"/>
      <c r="B66" s="210" t="s">
        <v>571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2">
        <f t="shared" si="2"/>
        <v>7.5263157894736841</v>
      </c>
      <c r="K66" s="282">
        <f t="shared" si="3"/>
        <v>37.17</v>
      </c>
    </row>
    <row r="67" spans="1:11" ht="14.25" customHeight="1">
      <c r="A67" s="200"/>
      <c r="B67" s="210" t="s">
        <v>328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2">
        <f t="shared" si="2"/>
        <v>0.41420118343195272</v>
      </c>
      <c r="K67" s="282">
        <f t="shared" si="3"/>
        <v>-16.93</v>
      </c>
    </row>
    <row r="68" spans="1:11" ht="14.25" customHeight="1">
      <c r="A68" s="200"/>
      <c r="B68" s="210" t="s">
        <v>572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2">
        <f t="shared" si="2"/>
        <v>0</v>
      </c>
      <c r="K68" s="282">
        <f t="shared" si="3"/>
        <v>-4.1500000000000004</v>
      </c>
    </row>
    <row r="69" spans="1:11" ht="14.25" hidden="1" customHeight="1">
      <c r="A69" s="200"/>
      <c r="B69" s="210" t="s">
        <v>573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2" t="e">
        <f t="shared" si="2"/>
        <v>#DIV/0!</v>
      </c>
      <c r="K69" s="282">
        <f t="shared" si="3"/>
        <v>0</v>
      </c>
    </row>
    <row r="70" spans="1:11" ht="14.25" customHeight="1">
      <c r="A70" s="200"/>
      <c r="B70" s="210" t="s">
        <v>329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2" t="e">
        <f t="shared" si="2"/>
        <v>#DIV/0!</v>
      </c>
      <c r="K70" s="282">
        <f t="shared" si="3"/>
        <v>1</v>
      </c>
    </row>
    <row r="71" spans="1:11" ht="14.25" hidden="1" customHeight="1">
      <c r="A71" s="200"/>
      <c r="B71" s="210" t="s">
        <v>530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2" t="e">
        <f t="shared" ref="J71:J134" si="7">H71/F71</f>
        <v>#DIV/0!</v>
      </c>
      <c r="K71" s="282">
        <f t="shared" si="3"/>
        <v>0</v>
      </c>
    </row>
    <row r="72" spans="1:11" ht="14.25" customHeight="1">
      <c r="A72" s="200"/>
      <c r="B72" s="210" t="s">
        <v>373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2">
        <f t="shared" si="7"/>
        <v>0.83439490445859865</v>
      </c>
      <c r="K72" s="282">
        <f t="shared" ref="K72:K135" si="9">H72-G72</f>
        <v>0.39999999999999858</v>
      </c>
    </row>
    <row r="73" spans="1:11" ht="14.25" customHeight="1">
      <c r="A73" s="200"/>
      <c r="B73" s="210" t="s">
        <v>330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2">
        <f t="shared" si="7"/>
        <v>0</v>
      </c>
      <c r="K73" s="282">
        <f t="shared" si="9"/>
        <v>-8.1</v>
      </c>
    </row>
    <row r="74" spans="1:11" ht="14.25" hidden="1" customHeight="1">
      <c r="A74" s="237"/>
      <c r="B74" s="238" t="s">
        <v>331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2" t="e">
        <f t="shared" si="7"/>
        <v>#DIV/0!</v>
      </c>
      <c r="K74" s="282">
        <f t="shared" si="9"/>
        <v>0</v>
      </c>
    </row>
    <row r="75" spans="1:11" ht="14.25" hidden="1" customHeight="1">
      <c r="A75" s="200"/>
      <c r="B75" s="200" t="s">
        <v>332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2" t="e">
        <f t="shared" si="7"/>
        <v>#DIV/0!</v>
      </c>
      <c r="K75" s="282">
        <f t="shared" si="9"/>
        <v>0</v>
      </c>
    </row>
    <row r="76" spans="1:11" ht="14.25" hidden="1" customHeight="1">
      <c r="A76" s="200"/>
      <c r="B76" s="200" t="s">
        <v>574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2" t="e">
        <f t="shared" si="7"/>
        <v>#DIV/0!</v>
      </c>
      <c r="K76" s="282">
        <f t="shared" si="9"/>
        <v>0</v>
      </c>
    </row>
    <row r="77" spans="1:11" ht="14.25" hidden="1" customHeight="1">
      <c r="A77" s="200"/>
      <c r="B77" s="200" t="s">
        <v>333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2" t="e">
        <f t="shared" si="7"/>
        <v>#DIV/0!</v>
      </c>
      <c r="K77" s="282">
        <f t="shared" si="9"/>
        <v>0</v>
      </c>
    </row>
    <row r="78" spans="1:11" ht="14.25" hidden="1" customHeight="1">
      <c r="A78" s="200"/>
      <c r="B78" s="200" t="s">
        <v>334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2" t="e">
        <f t="shared" si="7"/>
        <v>#DIV/0!</v>
      </c>
      <c r="K78" s="282">
        <f t="shared" si="9"/>
        <v>0</v>
      </c>
    </row>
    <row r="79" spans="1:11" ht="14.25" hidden="1" customHeight="1">
      <c r="A79" s="200"/>
      <c r="B79" s="200" t="s">
        <v>335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2" t="e">
        <f t="shared" si="7"/>
        <v>#DIV/0!</v>
      </c>
      <c r="K79" s="282">
        <f t="shared" si="9"/>
        <v>0</v>
      </c>
    </row>
    <row r="80" spans="1:11" ht="14.25" hidden="1" customHeight="1">
      <c r="A80" s="200"/>
      <c r="B80" s="200" t="s">
        <v>336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2" t="e">
        <f t="shared" si="7"/>
        <v>#DIV/0!</v>
      </c>
      <c r="K80" s="282">
        <f t="shared" si="9"/>
        <v>0</v>
      </c>
    </row>
    <row r="81" spans="1:11" ht="14.25" hidden="1" customHeight="1">
      <c r="A81" s="200"/>
      <c r="B81" s="200" t="s">
        <v>337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2" t="e">
        <f t="shared" si="7"/>
        <v>#DIV/0!</v>
      </c>
      <c r="K81" s="282">
        <f t="shared" si="9"/>
        <v>0</v>
      </c>
    </row>
    <row r="82" spans="1:11" ht="14.25" customHeight="1">
      <c r="A82" s="232" t="s">
        <v>338</v>
      </c>
      <c r="B82" s="233" t="s">
        <v>339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2">
        <f t="shared" si="7"/>
        <v>1.4550399815469786</v>
      </c>
      <c r="K82" s="282">
        <f t="shared" si="9"/>
        <v>1152.0500000000002</v>
      </c>
    </row>
    <row r="83" spans="1:11" ht="14.25" hidden="1" customHeight="1">
      <c r="A83" s="200"/>
      <c r="B83" s="200" t="s">
        <v>340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2" t="e">
        <f t="shared" si="7"/>
        <v>#DIV/0!</v>
      </c>
      <c r="K83" s="282">
        <f t="shared" si="9"/>
        <v>0</v>
      </c>
    </row>
    <row r="84" spans="1:11" ht="14.25" hidden="1" customHeight="1">
      <c r="A84" s="200"/>
      <c r="B84" s="200" t="s">
        <v>341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2" t="e">
        <f t="shared" si="7"/>
        <v>#DIV/0!</v>
      </c>
      <c r="K84" s="282">
        <f t="shared" si="9"/>
        <v>0</v>
      </c>
    </row>
    <row r="85" spans="1:11" ht="14.25" customHeight="1">
      <c r="A85" s="200"/>
      <c r="B85" s="200" t="s">
        <v>575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2">
        <f t="shared" si="7"/>
        <v>0.69326365170157611</v>
      </c>
      <c r="K85" s="282">
        <f t="shared" si="9"/>
        <v>-754.3</v>
      </c>
    </row>
    <row r="86" spans="1:11" ht="14.25" hidden="1" customHeight="1">
      <c r="A86" s="200"/>
      <c r="B86" s="210" t="s">
        <v>342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2" t="e">
        <f t="shared" si="7"/>
        <v>#DIV/0!</v>
      </c>
      <c r="K86" s="282">
        <f t="shared" si="9"/>
        <v>0</v>
      </c>
    </row>
    <row r="87" spans="1:11" ht="14.25" customHeight="1">
      <c r="A87" s="200"/>
      <c r="B87" s="210" t="s">
        <v>533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2">
        <f t="shared" si="7"/>
        <v>29.388838060384263</v>
      </c>
      <c r="K87" s="282">
        <f t="shared" si="9"/>
        <v>1551.3999999999999</v>
      </c>
    </row>
    <row r="88" spans="1:11" ht="14.25" customHeight="1">
      <c r="A88" s="200"/>
      <c r="B88" s="210" t="s">
        <v>343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2">
        <f t="shared" si="7"/>
        <v>0.99857819905213263</v>
      </c>
      <c r="K88" s="282">
        <f t="shared" si="9"/>
        <v>0</v>
      </c>
    </row>
    <row r="89" spans="1:11" ht="14.25" hidden="1" customHeight="1">
      <c r="A89" s="200"/>
      <c r="B89" s="200" t="s">
        <v>534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2" t="e">
        <f t="shared" si="7"/>
        <v>#DIV/0!</v>
      </c>
      <c r="K89" s="282">
        <f t="shared" si="9"/>
        <v>0</v>
      </c>
    </row>
    <row r="90" spans="1:11" ht="14.25" customHeight="1">
      <c r="A90" s="200"/>
      <c r="B90" s="200" t="s">
        <v>576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2">
        <f t="shared" si="7"/>
        <v>1.0975741239892183</v>
      </c>
      <c r="K90" s="282">
        <f t="shared" si="9"/>
        <v>-13.350000000000009</v>
      </c>
    </row>
    <row r="91" spans="1:11" ht="14.25" customHeight="1">
      <c r="A91" s="200"/>
      <c r="B91" s="200" t="s">
        <v>344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2">
        <f t="shared" si="7"/>
        <v>142.76153846153846</v>
      </c>
      <c r="K91" s="282">
        <f t="shared" si="9"/>
        <v>368.3</v>
      </c>
    </row>
    <row r="92" spans="1:11" ht="14.25" customHeight="1">
      <c r="A92" s="232" t="s">
        <v>345</v>
      </c>
      <c r="B92" s="233" t="s">
        <v>346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2">
        <f t="shared" si="7"/>
        <v>0.63701389017102694</v>
      </c>
      <c r="K92" s="282">
        <f t="shared" si="9"/>
        <v>-2110.7199999999993</v>
      </c>
    </row>
    <row r="93" spans="1:11" ht="14.25" hidden="1" customHeight="1">
      <c r="A93" s="215"/>
      <c r="B93" s="210" t="s">
        <v>347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2" t="e">
        <f t="shared" si="7"/>
        <v>#DIV/0!</v>
      </c>
      <c r="K93" s="282">
        <f t="shared" si="9"/>
        <v>0</v>
      </c>
    </row>
    <row r="94" spans="1:11" ht="14.25" hidden="1" customHeight="1">
      <c r="A94" s="215"/>
      <c r="B94" s="210" t="s">
        <v>577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2" t="e">
        <f t="shared" si="7"/>
        <v>#DIV/0!</v>
      </c>
      <c r="K94" s="282">
        <f t="shared" si="9"/>
        <v>0</v>
      </c>
    </row>
    <row r="95" spans="1:11" ht="14.25" customHeight="1">
      <c r="A95" s="215"/>
      <c r="B95" s="210" t="s">
        <v>578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2">
        <f t="shared" si="7"/>
        <v>1.005929363237948</v>
      </c>
      <c r="K95" s="282">
        <f t="shared" si="9"/>
        <v>2.2099999999999227</v>
      </c>
    </row>
    <row r="96" spans="1:11" ht="14.25" hidden="1" customHeight="1">
      <c r="A96" s="200"/>
      <c r="B96" s="200" t="s">
        <v>348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2" t="e">
        <f t="shared" si="7"/>
        <v>#DIV/0!</v>
      </c>
      <c r="K96" s="282">
        <f t="shared" si="9"/>
        <v>0</v>
      </c>
    </row>
    <row r="97" spans="1:11" ht="14.25" customHeight="1">
      <c r="A97" s="200"/>
      <c r="B97" s="200" t="s">
        <v>349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2" t="e">
        <f t="shared" si="7"/>
        <v>#DIV/0!</v>
      </c>
      <c r="K97" s="282">
        <f t="shared" si="9"/>
        <v>44.71</v>
      </c>
    </row>
    <row r="98" spans="1:11" ht="14.25" customHeight="1">
      <c r="A98" s="200"/>
      <c r="B98" s="200" t="s">
        <v>350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2">
        <f t="shared" si="7"/>
        <v>1.2486263736263739</v>
      </c>
      <c r="K98" s="282">
        <f t="shared" si="9"/>
        <v>17.840000000000003</v>
      </c>
    </row>
    <row r="99" spans="1:11" ht="14.25" customHeight="1">
      <c r="A99" s="200"/>
      <c r="B99" s="200" t="s">
        <v>351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2">
        <f t="shared" si="7"/>
        <v>0.37793122308060434</v>
      </c>
      <c r="K99" s="282">
        <f t="shared" si="9"/>
        <v>-1819.83</v>
      </c>
    </row>
    <row r="100" spans="1:11" ht="14.25" customHeight="1">
      <c r="A100" s="200"/>
      <c r="B100" s="200" t="s">
        <v>579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2"/>
      <c r="K100" s="282">
        <f t="shared" si="9"/>
        <v>-1.96</v>
      </c>
    </row>
    <row r="101" spans="1:11" ht="14.25" hidden="1" customHeight="1">
      <c r="A101" s="200"/>
      <c r="B101" s="200" t="s">
        <v>679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2" t="e">
        <f t="shared" si="7"/>
        <v>#DIV/0!</v>
      </c>
      <c r="K101" s="282">
        <f t="shared" si="9"/>
        <v>0</v>
      </c>
    </row>
    <row r="102" spans="1:11" ht="14.25" hidden="1" customHeight="1">
      <c r="A102" s="200"/>
      <c r="B102" s="200" t="s">
        <v>352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2" t="e">
        <f t="shared" si="7"/>
        <v>#DIV/0!</v>
      </c>
      <c r="K102" s="282">
        <f t="shared" si="9"/>
        <v>0</v>
      </c>
    </row>
    <row r="103" spans="1:11" ht="14.25" hidden="1" customHeight="1">
      <c r="A103" s="200"/>
      <c r="B103" s="200" t="s">
        <v>353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2" t="e">
        <f t="shared" si="7"/>
        <v>#DIV/0!</v>
      </c>
      <c r="K103" s="282">
        <f t="shared" si="9"/>
        <v>0</v>
      </c>
    </row>
    <row r="104" spans="1:11" ht="14.25" hidden="1" customHeight="1">
      <c r="A104" s="200"/>
      <c r="B104" s="200" t="s">
        <v>354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2" t="e">
        <f t="shared" si="7"/>
        <v>#DIV/0!</v>
      </c>
      <c r="K104" s="282">
        <f t="shared" si="9"/>
        <v>0</v>
      </c>
    </row>
    <row r="105" spans="1:11" ht="14.25" hidden="1" customHeight="1">
      <c r="A105" s="200"/>
      <c r="B105" s="200" t="s">
        <v>355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2" t="e">
        <f t="shared" si="7"/>
        <v>#DIV/0!</v>
      </c>
      <c r="K105" s="282">
        <f t="shared" si="9"/>
        <v>0</v>
      </c>
    </row>
    <row r="106" spans="1:11" ht="14.25" hidden="1" customHeight="1">
      <c r="A106" s="200"/>
      <c r="B106" s="200" t="s">
        <v>356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2" t="e">
        <f t="shared" si="7"/>
        <v>#DIV/0!</v>
      </c>
      <c r="K106" s="282">
        <f t="shared" si="9"/>
        <v>0</v>
      </c>
    </row>
    <row r="107" spans="1:11" ht="14.25" customHeight="1">
      <c r="A107" s="200"/>
      <c r="B107" s="200" t="s">
        <v>580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2">
        <f t="shared" si="7"/>
        <v>1.0623451692815855</v>
      </c>
      <c r="K107" s="282">
        <f t="shared" si="9"/>
        <v>4.9500000000000028</v>
      </c>
    </row>
    <row r="108" spans="1:11" ht="14.25" customHeight="1">
      <c r="A108" s="200"/>
      <c r="B108" s="200" t="s">
        <v>538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2">
        <f t="shared" si="7"/>
        <v>0.99667774086378746</v>
      </c>
      <c r="K108" s="282">
        <f t="shared" si="9"/>
        <v>0</v>
      </c>
    </row>
    <row r="109" spans="1:11" ht="14.25" hidden="1" customHeight="1">
      <c r="A109" s="200"/>
      <c r="B109" s="200" t="s">
        <v>626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2"/>
      <c r="K109" s="282">
        <f t="shared" si="9"/>
        <v>0</v>
      </c>
    </row>
    <row r="110" spans="1:11" ht="14.25" hidden="1" customHeight="1">
      <c r="A110" s="200"/>
      <c r="B110" s="200" t="s">
        <v>357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2"/>
      <c r="K110" s="282">
        <f t="shared" si="9"/>
        <v>0</v>
      </c>
    </row>
    <row r="111" spans="1:11" ht="14.25" customHeight="1">
      <c r="A111" s="200"/>
      <c r="B111" s="200" t="s">
        <v>358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2"/>
      <c r="K111" s="282">
        <f t="shared" si="9"/>
        <v>1.6199999999999999</v>
      </c>
    </row>
    <row r="112" spans="1:11" ht="15.75" hidden="1" customHeight="1">
      <c r="A112" s="200"/>
      <c r="B112" s="200" t="s">
        <v>359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2"/>
      <c r="K112" s="282">
        <f t="shared" si="9"/>
        <v>0</v>
      </c>
    </row>
    <row r="113" spans="1:11" ht="14.25" hidden="1" customHeight="1">
      <c r="A113" s="200"/>
      <c r="B113" s="200" t="s">
        <v>360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2"/>
      <c r="K113" s="282">
        <f t="shared" si="9"/>
        <v>0</v>
      </c>
    </row>
    <row r="114" spans="1:11" ht="14.25" hidden="1" customHeight="1">
      <c r="A114" s="200"/>
      <c r="B114" s="200" t="s">
        <v>623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2"/>
      <c r="K114" s="282">
        <f t="shared" si="9"/>
        <v>0</v>
      </c>
    </row>
    <row r="115" spans="1:11" ht="14.25" hidden="1" customHeight="1">
      <c r="A115" s="200"/>
      <c r="B115" s="200" t="s">
        <v>625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2"/>
      <c r="K115" s="282">
        <f t="shared" si="9"/>
        <v>0</v>
      </c>
    </row>
    <row r="116" spans="1:11" ht="14.25" customHeight="1">
      <c r="A116" s="200"/>
      <c r="B116" s="200" t="s">
        <v>543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2">
        <f t="shared" si="7"/>
        <v>4.9692832764505113</v>
      </c>
      <c r="K116" s="282">
        <f t="shared" si="9"/>
        <v>63.199999999999996</v>
      </c>
    </row>
    <row r="117" spans="1:11" ht="14.25" customHeight="1">
      <c r="A117" s="200"/>
      <c r="B117" s="200" t="s">
        <v>581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2">
        <f t="shared" si="7"/>
        <v>0</v>
      </c>
      <c r="K117" s="282">
        <f t="shared" si="9"/>
        <v>0</v>
      </c>
    </row>
    <row r="118" spans="1:11" ht="14.25" customHeight="1">
      <c r="A118" s="200"/>
      <c r="B118" s="200" t="s">
        <v>542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2" t="e">
        <f t="shared" si="7"/>
        <v>#DIV/0!</v>
      </c>
      <c r="K118" s="282">
        <f t="shared" si="9"/>
        <v>151.9</v>
      </c>
    </row>
    <row r="119" spans="1:11" ht="14.25" customHeight="1">
      <c r="A119" s="200"/>
      <c r="B119" s="200" t="s">
        <v>582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2"/>
      <c r="K119" s="282">
        <f t="shared" si="9"/>
        <v>0</v>
      </c>
    </row>
    <row r="120" spans="1:11" ht="14.25" customHeight="1">
      <c r="A120" s="200"/>
      <c r="B120" s="200" t="s">
        <v>624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2"/>
      <c r="K120" s="282">
        <f t="shared" si="9"/>
        <v>0.12</v>
      </c>
    </row>
    <row r="121" spans="1:11" ht="14.25" customHeight="1">
      <c r="A121" s="200"/>
      <c r="B121" s="200" t="s">
        <v>583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2"/>
      <c r="K121" s="282">
        <f t="shared" si="9"/>
        <v>0</v>
      </c>
    </row>
    <row r="122" spans="1:11" ht="14.25" hidden="1" customHeight="1">
      <c r="A122" s="200"/>
      <c r="B122" s="200" t="s">
        <v>545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2" t="e">
        <f t="shared" si="7"/>
        <v>#DIV/0!</v>
      </c>
      <c r="K122" s="282">
        <f t="shared" si="9"/>
        <v>0</v>
      </c>
    </row>
    <row r="123" spans="1:11" ht="14.25" hidden="1" customHeight="1">
      <c r="A123" s="200"/>
      <c r="B123" s="200" t="s">
        <v>361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2" t="e">
        <f t="shared" si="7"/>
        <v>#DIV/0!</v>
      </c>
      <c r="K123" s="282">
        <f t="shared" si="9"/>
        <v>0</v>
      </c>
    </row>
    <row r="124" spans="1:11" ht="14.25" customHeight="1">
      <c r="A124" s="200"/>
      <c r="B124" s="200" t="s">
        <v>584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2">
        <f t="shared" si="7"/>
        <v>0</v>
      </c>
      <c r="K124" s="282">
        <f t="shared" si="9"/>
        <v>0</v>
      </c>
    </row>
    <row r="125" spans="1:11" ht="14.25" customHeight="1">
      <c r="A125" s="200"/>
      <c r="B125" s="200" t="s">
        <v>681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2" t="e">
        <f t="shared" si="7"/>
        <v>#DIV/0!</v>
      </c>
      <c r="K125" s="282">
        <f t="shared" si="9"/>
        <v>6.44</v>
      </c>
    </row>
    <row r="126" spans="1:11" ht="14.25" hidden="1" customHeight="1">
      <c r="A126" s="200"/>
      <c r="B126" s="200" t="s">
        <v>362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2" t="e">
        <f t="shared" si="7"/>
        <v>#DIV/0!</v>
      </c>
      <c r="K126" s="282">
        <f t="shared" si="9"/>
        <v>0</v>
      </c>
    </row>
    <row r="127" spans="1:11" ht="14.25" customHeight="1">
      <c r="A127" s="200"/>
      <c r="B127" s="200" t="s">
        <v>363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2">
        <f t="shared" si="7"/>
        <v>0.29571832518959335</v>
      </c>
      <c r="K127" s="282">
        <f t="shared" si="9"/>
        <v>-697.34</v>
      </c>
    </row>
    <row r="128" spans="1:11" ht="14.25" hidden="1" customHeight="1">
      <c r="A128" s="200"/>
      <c r="B128" s="14" t="s">
        <v>364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2"/>
      <c r="K128" s="282">
        <f t="shared" si="9"/>
        <v>0</v>
      </c>
    </row>
    <row r="129" spans="1:11" ht="14.25" hidden="1" customHeight="1">
      <c r="A129" s="200"/>
      <c r="B129" s="14" t="s">
        <v>546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2" t="e">
        <f t="shared" si="7"/>
        <v>#DIV/0!</v>
      </c>
      <c r="K129" s="282">
        <f t="shared" si="9"/>
        <v>0</v>
      </c>
    </row>
    <row r="130" spans="1:11" ht="14.25" customHeight="1">
      <c r="A130" s="200"/>
      <c r="B130" s="14" t="s">
        <v>547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2" t="e">
        <f t="shared" si="7"/>
        <v>#DIV/0!</v>
      </c>
      <c r="K130" s="282">
        <f t="shared" si="9"/>
        <v>43.16</v>
      </c>
    </row>
    <row r="131" spans="1:11" ht="14.25" hidden="1" customHeight="1">
      <c r="A131" s="200"/>
      <c r="B131" s="14" t="s">
        <v>365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2" t="e">
        <f t="shared" si="7"/>
        <v>#DIV/0!</v>
      </c>
      <c r="K131" s="282">
        <f t="shared" si="9"/>
        <v>0</v>
      </c>
    </row>
    <row r="132" spans="1:11" ht="14.25" hidden="1" customHeight="1">
      <c r="A132" s="200"/>
      <c r="B132" s="14" t="s">
        <v>548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2" t="e">
        <f t="shared" si="7"/>
        <v>#DIV/0!</v>
      </c>
      <c r="K132" s="282">
        <f t="shared" si="9"/>
        <v>0</v>
      </c>
    </row>
    <row r="133" spans="1:11" ht="14.25" customHeight="1">
      <c r="A133" s="200"/>
      <c r="B133" s="200" t="s">
        <v>585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2" t="e">
        <f t="shared" si="7"/>
        <v>#DIV/0!</v>
      </c>
      <c r="K133" s="282">
        <f t="shared" si="9"/>
        <v>-2.2000000000000002</v>
      </c>
    </row>
    <row r="134" spans="1:11" ht="14.25" hidden="1" customHeight="1">
      <c r="A134" s="200"/>
      <c r="B134" s="200" t="s">
        <v>549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2" t="e">
        <f t="shared" si="7"/>
        <v>#DIV/0!</v>
      </c>
      <c r="K134" s="282">
        <f t="shared" si="9"/>
        <v>0</v>
      </c>
    </row>
    <row r="135" spans="1:11">
      <c r="A135" s="200"/>
      <c r="B135" s="200" t="s">
        <v>680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2" t="e">
        <f t="shared" ref="J135:J143" si="12">H135/F135</f>
        <v>#DIV/0!</v>
      </c>
      <c r="K135" s="282">
        <f t="shared" si="9"/>
        <v>2.5299999999999998</v>
      </c>
    </row>
    <row r="136" spans="1:11" ht="14.25" hidden="1" customHeight="1">
      <c r="A136" s="200"/>
      <c r="B136" s="200" t="s">
        <v>366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2" t="e">
        <f t="shared" si="12"/>
        <v>#DIV/0!</v>
      </c>
      <c r="K136" s="282">
        <f t="shared" ref="K136:K143" si="14">H136-G136</f>
        <v>0</v>
      </c>
    </row>
    <row r="137" spans="1:11" ht="14.25" customHeight="1">
      <c r="A137" s="200"/>
      <c r="B137" s="200" t="s">
        <v>537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2">
        <f t="shared" si="12"/>
        <v>1.3614768562508484</v>
      </c>
      <c r="K137" s="282">
        <f t="shared" si="14"/>
        <v>71.929999999999836</v>
      </c>
    </row>
    <row r="138" spans="1:11" ht="14.25" customHeight="1">
      <c r="A138" s="200"/>
      <c r="B138" s="200" t="s">
        <v>551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2">
        <f t="shared" si="12"/>
        <v>1</v>
      </c>
      <c r="K138" s="282">
        <f t="shared" si="14"/>
        <v>0</v>
      </c>
    </row>
    <row r="139" spans="1:11" ht="14.25" customHeight="1">
      <c r="A139" s="200"/>
      <c r="B139" s="200" t="s">
        <v>393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2"/>
      <c r="K139" s="282">
        <f t="shared" si="14"/>
        <v>0</v>
      </c>
    </row>
    <row r="140" spans="1:11" ht="14.25" customHeight="1">
      <c r="A140" s="237"/>
      <c r="B140" s="238" t="s">
        <v>367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2">
        <f t="shared" si="12"/>
        <v>0.93824671558343253</v>
      </c>
      <c r="K140" s="282">
        <f t="shared" si="14"/>
        <v>-328.93000000000029</v>
      </c>
    </row>
    <row r="141" spans="1:11" ht="14.25" customHeight="1">
      <c r="A141" s="215" t="s">
        <v>368</v>
      </c>
      <c r="B141" s="217" t="s">
        <v>369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2">
        <f t="shared" si="12"/>
        <v>9.423362189208935E-2</v>
      </c>
      <c r="K141" s="282">
        <f t="shared" si="14"/>
        <v>-3673.3</v>
      </c>
    </row>
    <row r="142" spans="1:11" ht="14.25" customHeight="1">
      <c r="A142" s="215" t="s">
        <v>370</v>
      </c>
      <c r="B142" s="217" t="s">
        <v>371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2">
        <f t="shared" si="12"/>
        <v>1.4172606026391927</v>
      </c>
      <c r="K142" s="282">
        <f t="shared" si="14"/>
        <v>344.39999999999964</v>
      </c>
    </row>
    <row r="143" spans="1:11" ht="14.25" customHeight="1">
      <c r="A143" s="232"/>
      <c r="B143" s="233" t="s">
        <v>372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2">
        <f t="shared" si="12"/>
        <v>0.85592448269293619</v>
      </c>
      <c r="K143" s="282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ColWidth="9.109375" defaultRowHeight="13.2"/>
  <cols>
    <col min="1" max="1" width="4.88671875" style="289" customWidth="1"/>
    <col min="2" max="2" width="31" style="309" customWidth="1"/>
    <col min="3" max="3" width="7.6640625" style="310" customWidth="1"/>
    <col min="4" max="5" width="7.44140625" style="311" customWidth="1"/>
    <col min="6" max="6" width="8.88671875" style="289" customWidth="1"/>
    <col min="7" max="7" width="5.88671875" style="289" customWidth="1"/>
    <col min="8" max="8" width="7.109375" style="311" customWidth="1"/>
    <col min="9" max="9" width="6.5546875" style="311" customWidth="1"/>
    <col min="10" max="10" width="6.6640625" style="289" customWidth="1"/>
    <col min="11" max="11" width="4" style="289" customWidth="1"/>
    <col min="12" max="12" width="7.6640625" style="311" customWidth="1"/>
    <col min="13" max="13" width="7.44140625" style="311" customWidth="1"/>
    <col min="14" max="14" width="7.44140625" style="289" customWidth="1"/>
    <col min="15" max="15" width="5.88671875" style="289" customWidth="1"/>
    <col min="16" max="16" width="7.109375" style="311" customWidth="1"/>
    <col min="17" max="17" width="6.6640625" style="311" customWidth="1"/>
    <col min="18" max="18" width="7.44140625" style="289" customWidth="1"/>
    <col min="19" max="19" width="3.88671875" style="289" customWidth="1"/>
    <col min="20" max="20" width="6.6640625" style="311" customWidth="1"/>
    <col min="21" max="21" width="7" style="311" customWidth="1"/>
    <col min="22" max="22" width="6.6640625" style="289" customWidth="1"/>
    <col min="23" max="23" width="5.6640625" style="289" customWidth="1"/>
    <col min="24" max="24" width="4.109375" style="312" hidden="1" customWidth="1"/>
    <col min="25" max="25" width="9.109375" style="312" hidden="1" customWidth="1"/>
    <col min="26" max="27" width="9.109375" style="289" hidden="1" customWidth="1"/>
    <col min="28" max="29" width="9.109375" style="311" hidden="1" customWidth="1"/>
    <col min="30" max="34" width="9.109375" style="289" hidden="1" customWidth="1"/>
    <col min="35" max="35" width="9.109375" style="311" hidden="1" customWidth="1"/>
    <col min="36" max="36" width="6.33203125" style="311" hidden="1" customWidth="1"/>
    <col min="37" max="37" width="5.88671875" style="289" hidden="1" customWidth="1"/>
    <col min="38" max="38" width="5.6640625" style="289" hidden="1" customWidth="1"/>
    <col min="39" max="39" width="5.88671875" style="311" hidden="1" customWidth="1"/>
    <col min="40" max="40" width="6" style="311" hidden="1" customWidth="1"/>
    <col min="41" max="41" width="5.6640625" style="289" hidden="1" customWidth="1"/>
    <col min="42" max="42" width="4" style="289" customWidth="1"/>
    <col min="43" max="43" width="4.109375" style="289" hidden="1" customWidth="1"/>
    <col min="44" max="44" width="5.6640625" style="289" hidden="1" customWidth="1"/>
    <col min="45" max="45" width="5.88671875" style="289" hidden="1" customWidth="1"/>
    <col min="46" max="46" width="4.109375" style="289" hidden="1" customWidth="1"/>
    <col min="47" max="47" width="5.6640625" style="311" customWidth="1"/>
    <col min="48" max="48" width="7" style="311" customWidth="1"/>
    <col min="49" max="49" width="6.5546875" style="289" customWidth="1"/>
    <col min="50" max="50" width="4.109375" style="289" customWidth="1"/>
    <col min="51" max="51" width="4.33203125" style="289" hidden="1" customWidth="1"/>
    <col min="52" max="54" width="9.109375" style="289" hidden="1" customWidth="1"/>
    <col min="55" max="56" width="9.109375" style="311" hidden="1" customWidth="1"/>
    <col min="57" max="58" width="9.109375" style="289" hidden="1" customWidth="1"/>
    <col min="59" max="60" width="9.109375" style="311" hidden="1" customWidth="1"/>
    <col min="61" max="61" width="9.109375" style="289" hidden="1" customWidth="1"/>
    <col min="62" max="62" width="3.88671875" style="289" hidden="1" customWidth="1"/>
    <col min="63" max="64" width="6.44140625" style="289" customWidth="1"/>
    <col min="65" max="65" width="6.6640625" style="289" customWidth="1"/>
    <col min="66" max="66" width="5.109375" style="289" customWidth="1"/>
    <col min="67" max="67" width="5.88671875" style="289" customWidth="1"/>
    <col min="68" max="68" width="5.6640625" style="289" customWidth="1"/>
    <col min="69" max="69" width="5.33203125" style="289" customWidth="1"/>
    <col min="70" max="70" width="5" style="289" customWidth="1"/>
    <col min="71" max="71" width="4.6640625" style="289" hidden="1" customWidth="1"/>
    <col min="72" max="73" width="9.109375" style="289" hidden="1" customWidth="1"/>
    <col min="74" max="74" width="4.44140625" style="289" hidden="1" customWidth="1"/>
    <col min="75" max="75" width="4.33203125" style="311" hidden="1" customWidth="1"/>
    <col min="76" max="76" width="9.109375" style="311" hidden="1" customWidth="1"/>
    <col min="77" max="77" width="9.109375" style="289" hidden="1" customWidth="1"/>
    <col min="78" max="79" width="4.109375" style="289" hidden="1" customWidth="1"/>
    <col min="80" max="81" width="9.109375" style="289" hidden="1" customWidth="1"/>
    <col min="82" max="82" width="4.44140625" style="289" hidden="1" customWidth="1"/>
    <col min="83" max="83" width="6.44140625" style="311" customWidth="1"/>
    <col min="84" max="84" width="7.109375" style="311" customWidth="1"/>
    <col min="85" max="85" width="7.88671875" style="289" customWidth="1"/>
    <col min="86" max="86" width="5.44140625" style="289" customWidth="1"/>
    <col min="87" max="87" width="6.33203125" style="311" customWidth="1"/>
    <col min="88" max="88" width="6.109375" style="311" customWidth="1"/>
    <col min="89" max="89" width="5.44140625" style="289" customWidth="1"/>
    <col min="90" max="90" width="4" style="289" customWidth="1"/>
    <col min="91" max="91" width="6.33203125" style="289" customWidth="1"/>
    <col min="92" max="92" width="5.88671875" style="289" customWidth="1"/>
    <col min="93" max="93" width="6.109375" style="289" customWidth="1"/>
    <col min="94" max="94" width="4.6640625" style="289" customWidth="1"/>
    <col min="95" max="95" width="5.5546875" style="289" hidden="1" customWidth="1"/>
    <col min="96" max="97" width="9.109375" style="289" hidden="1" customWidth="1"/>
    <col min="98" max="98" width="4.6640625" style="289" hidden="1" customWidth="1"/>
    <col min="99" max="99" width="4.33203125" style="311" hidden="1" customWidth="1"/>
    <col min="100" max="100" width="9.109375" style="311" hidden="1" customWidth="1"/>
    <col min="101" max="101" width="9.109375" style="289" hidden="1" customWidth="1"/>
    <col min="102" max="102" width="4.5546875" style="289" hidden="1" customWidth="1"/>
    <col min="103" max="103" width="4.5546875" style="311" hidden="1" customWidth="1"/>
    <col min="104" max="104" width="9.109375" style="311" hidden="1" customWidth="1"/>
    <col min="105" max="105" width="9.109375" style="289" hidden="1" customWidth="1"/>
    <col min="106" max="106" width="4.33203125" style="289" hidden="1" customWidth="1"/>
    <col min="107" max="107" width="4.44140625" style="289" customWidth="1"/>
    <col min="108" max="16384" width="9.109375" style="289"/>
  </cols>
  <sheetData>
    <row r="1" spans="1:106" ht="28.5" customHeight="1">
      <c r="A1" s="187"/>
      <c r="B1" s="187" t="s">
        <v>652</v>
      </c>
      <c r="C1" s="287"/>
      <c r="D1" s="288" t="s">
        <v>687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624" t="s">
        <v>481</v>
      </c>
      <c r="BU1" s="624"/>
      <c r="BV1" s="624"/>
      <c r="BW1" s="624"/>
      <c r="BX1" s="624"/>
      <c r="BY1" s="624"/>
      <c r="BZ1" s="624"/>
      <c r="CA1" s="624"/>
      <c r="CB1" s="624"/>
      <c r="CC1" s="624"/>
      <c r="CD1" s="624"/>
      <c r="CE1" s="624"/>
      <c r="CF1" s="624"/>
      <c r="CG1" s="624"/>
      <c r="CH1" s="624"/>
      <c r="CI1" s="624"/>
      <c r="CJ1" s="624"/>
      <c r="CK1" s="624"/>
      <c r="CL1" s="624"/>
      <c r="CM1" s="624"/>
      <c r="CN1" s="624"/>
      <c r="CO1" s="624"/>
      <c r="CP1" s="624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620" t="s">
        <v>286</v>
      </c>
      <c r="B2" s="626" t="s">
        <v>287</v>
      </c>
      <c r="C2" s="629" t="s">
        <v>288</v>
      </c>
      <c r="D2" s="630"/>
      <c r="E2" s="631"/>
      <c r="F2" s="635" t="s">
        <v>482</v>
      </c>
      <c r="G2" s="635" t="s">
        <v>483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484</v>
      </c>
      <c r="AG2" s="192" t="s">
        <v>484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625"/>
      <c r="B3" s="627"/>
      <c r="C3" s="632"/>
      <c r="D3" s="633"/>
      <c r="E3" s="634"/>
      <c r="F3" s="636"/>
      <c r="G3" s="636"/>
      <c r="H3" s="622" t="s">
        <v>485</v>
      </c>
      <c r="I3" s="623"/>
      <c r="J3" s="620" t="s">
        <v>486</v>
      </c>
      <c r="K3" s="620" t="s">
        <v>483</v>
      </c>
      <c r="L3" s="622" t="s">
        <v>487</v>
      </c>
      <c r="M3" s="623"/>
      <c r="N3" s="620" t="s">
        <v>486</v>
      </c>
      <c r="O3" s="620" t="s">
        <v>483</v>
      </c>
      <c r="P3" s="622" t="s">
        <v>488</v>
      </c>
      <c r="Q3" s="623"/>
      <c r="R3" s="620" t="s">
        <v>486</v>
      </c>
      <c r="S3" s="620" t="s">
        <v>483</v>
      </c>
      <c r="T3" s="622" t="s">
        <v>489</v>
      </c>
      <c r="U3" s="623"/>
      <c r="V3" s="620" t="s">
        <v>490</v>
      </c>
      <c r="W3" s="620" t="s">
        <v>483</v>
      </c>
      <c r="X3" s="622" t="s">
        <v>491</v>
      </c>
      <c r="Y3" s="623"/>
      <c r="Z3" s="620" t="s">
        <v>486</v>
      </c>
      <c r="AA3" s="620" t="s">
        <v>483</v>
      </c>
      <c r="AB3" s="622" t="s">
        <v>492</v>
      </c>
      <c r="AC3" s="623"/>
      <c r="AD3" s="620" t="s">
        <v>493</v>
      </c>
      <c r="AE3" s="620" t="s">
        <v>494</v>
      </c>
      <c r="AF3" s="622" t="s">
        <v>495</v>
      </c>
      <c r="AG3" s="623"/>
      <c r="AH3" s="620" t="s">
        <v>496</v>
      </c>
      <c r="AI3" s="622" t="s">
        <v>497</v>
      </c>
      <c r="AJ3" s="623"/>
      <c r="AK3" s="620" t="s">
        <v>493</v>
      </c>
      <c r="AL3" s="620" t="s">
        <v>483</v>
      </c>
      <c r="AM3" s="622" t="s">
        <v>498</v>
      </c>
      <c r="AN3" s="623"/>
      <c r="AO3" s="620" t="s">
        <v>486</v>
      </c>
      <c r="AP3" s="620" t="s">
        <v>483</v>
      </c>
      <c r="AQ3" s="622" t="s">
        <v>499</v>
      </c>
      <c r="AR3" s="623"/>
      <c r="AS3" s="620" t="s">
        <v>486</v>
      </c>
      <c r="AT3" s="620" t="s">
        <v>483</v>
      </c>
      <c r="AU3" s="622" t="s">
        <v>500</v>
      </c>
      <c r="AV3" s="623"/>
      <c r="AW3" s="620" t="s">
        <v>501</v>
      </c>
      <c r="AX3" s="620" t="s">
        <v>494</v>
      </c>
      <c r="AY3" s="622" t="s">
        <v>502</v>
      </c>
      <c r="AZ3" s="623"/>
      <c r="BA3" s="620" t="s">
        <v>501</v>
      </c>
      <c r="BB3" s="620" t="s">
        <v>494</v>
      </c>
      <c r="BC3" s="622" t="s">
        <v>503</v>
      </c>
      <c r="BD3" s="623"/>
      <c r="BE3" s="620" t="s">
        <v>501</v>
      </c>
      <c r="BF3" s="620" t="s">
        <v>494</v>
      </c>
      <c r="BG3" s="622" t="s">
        <v>504</v>
      </c>
      <c r="BH3" s="623"/>
      <c r="BI3" s="620" t="s">
        <v>501</v>
      </c>
      <c r="BJ3" s="620" t="s">
        <v>494</v>
      </c>
      <c r="BK3" s="622" t="s">
        <v>653</v>
      </c>
      <c r="BL3" s="623"/>
      <c r="BM3" s="620" t="s">
        <v>501</v>
      </c>
      <c r="BN3" s="620" t="s">
        <v>494</v>
      </c>
      <c r="BO3" s="622" t="s">
        <v>654</v>
      </c>
      <c r="BP3" s="623"/>
      <c r="BQ3" s="620" t="s">
        <v>501</v>
      </c>
      <c r="BR3" s="620" t="s">
        <v>494</v>
      </c>
      <c r="BS3" s="622" t="s">
        <v>505</v>
      </c>
      <c r="BT3" s="623"/>
      <c r="BU3" s="620" t="s">
        <v>501</v>
      </c>
      <c r="BV3" s="620" t="s">
        <v>494</v>
      </c>
      <c r="BW3" s="622" t="s">
        <v>506</v>
      </c>
      <c r="BX3" s="623"/>
      <c r="BY3" s="620" t="s">
        <v>501</v>
      </c>
      <c r="BZ3" s="620" t="s">
        <v>494</v>
      </c>
      <c r="CA3" s="622" t="s">
        <v>507</v>
      </c>
      <c r="CB3" s="623"/>
      <c r="CC3" s="620" t="s">
        <v>501</v>
      </c>
      <c r="CD3" s="620" t="s">
        <v>494</v>
      </c>
      <c r="CE3" s="622" t="s">
        <v>508</v>
      </c>
      <c r="CF3" s="623"/>
      <c r="CG3" s="620" t="s">
        <v>501</v>
      </c>
      <c r="CH3" s="620" t="s">
        <v>494</v>
      </c>
      <c r="CI3" s="622" t="s">
        <v>509</v>
      </c>
      <c r="CJ3" s="623"/>
      <c r="CK3" s="620" t="s">
        <v>501</v>
      </c>
      <c r="CL3" s="620" t="s">
        <v>494</v>
      </c>
      <c r="CM3" s="622" t="s">
        <v>510</v>
      </c>
      <c r="CN3" s="623"/>
      <c r="CO3" s="620" t="s">
        <v>501</v>
      </c>
      <c r="CP3" s="620" t="s">
        <v>494</v>
      </c>
      <c r="CQ3" s="616" t="s">
        <v>593</v>
      </c>
      <c r="CR3" s="617"/>
      <c r="CS3" s="618" t="s">
        <v>501</v>
      </c>
      <c r="CT3" s="618" t="s">
        <v>494</v>
      </c>
      <c r="CU3" s="616" t="s">
        <v>594</v>
      </c>
      <c r="CV3" s="617"/>
      <c r="CW3" s="618" t="s">
        <v>501</v>
      </c>
      <c r="CX3" s="618" t="s">
        <v>494</v>
      </c>
      <c r="CY3" s="616" t="s">
        <v>595</v>
      </c>
      <c r="CZ3" s="617"/>
      <c r="DA3" s="618" t="s">
        <v>501</v>
      </c>
      <c r="DB3" s="618" t="s">
        <v>494</v>
      </c>
    </row>
    <row r="4" spans="1:106" ht="25.5" customHeight="1">
      <c r="A4" s="621"/>
      <c r="B4" s="628"/>
      <c r="C4" s="194" t="s">
        <v>511</v>
      </c>
      <c r="D4" s="194" t="s">
        <v>655</v>
      </c>
      <c r="E4" s="195" t="s">
        <v>688</v>
      </c>
      <c r="F4" s="637"/>
      <c r="G4" s="637"/>
      <c r="H4" s="194" t="s">
        <v>655</v>
      </c>
      <c r="I4" s="195" t="s">
        <v>688</v>
      </c>
      <c r="J4" s="621"/>
      <c r="K4" s="621"/>
      <c r="L4" s="194" t="s">
        <v>655</v>
      </c>
      <c r="M4" s="195" t="s">
        <v>688</v>
      </c>
      <c r="N4" s="621"/>
      <c r="O4" s="621"/>
      <c r="P4" s="194" t="s">
        <v>655</v>
      </c>
      <c r="Q4" s="195" t="s">
        <v>688</v>
      </c>
      <c r="R4" s="621"/>
      <c r="S4" s="621"/>
      <c r="T4" s="194" t="s">
        <v>655</v>
      </c>
      <c r="U4" s="195" t="s">
        <v>688</v>
      </c>
      <c r="V4" s="621"/>
      <c r="W4" s="621"/>
      <c r="X4" s="194" t="s">
        <v>512</v>
      </c>
      <c r="Y4" s="194" t="s">
        <v>513</v>
      </c>
      <c r="Z4" s="621"/>
      <c r="AA4" s="621"/>
      <c r="AB4" s="194" t="s">
        <v>514</v>
      </c>
      <c r="AC4" s="194" t="s">
        <v>513</v>
      </c>
      <c r="AD4" s="621"/>
      <c r="AE4" s="621"/>
      <c r="AF4" s="194" t="s">
        <v>512</v>
      </c>
      <c r="AG4" s="194" t="s">
        <v>513</v>
      </c>
      <c r="AH4" s="621"/>
      <c r="AI4" s="194" t="s">
        <v>655</v>
      </c>
      <c r="AJ4" s="195" t="s">
        <v>688</v>
      </c>
      <c r="AK4" s="621"/>
      <c r="AL4" s="621"/>
      <c r="AM4" s="194" t="s">
        <v>655</v>
      </c>
      <c r="AN4" s="195" t="s">
        <v>688</v>
      </c>
      <c r="AO4" s="621"/>
      <c r="AP4" s="621"/>
      <c r="AQ4" s="194" t="s">
        <v>480</v>
      </c>
      <c r="AR4" s="195" t="s">
        <v>656</v>
      </c>
      <c r="AS4" s="621"/>
      <c r="AT4" s="621"/>
      <c r="AU4" s="194" t="s">
        <v>655</v>
      </c>
      <c r="AV4" s="195" t="s">
        <v>688</v>
      </c>
      <c r="AW4" s="621"/>
      <c r="AX4" s="621"/>
      <c r="AY4" s="194" t="s">
        <v>657</v>
      </c>
      <c r="AZ4" s="194" t="s">
        <v>658</v>
      </c>
      <c r="BA4" s="621"/>
      <c r="BB4" s="621"/>
      <c r="BC4" s="194" t="s">
        <v>512</v>
      </c>
      <c r="BD4" s="194" t="s">
        <v>513</v>
      </c>
      <c r="BE4" s="621"/>
      <c r="BF4" s="621"/>
      <c r="BG4" s="194" t="s">
        <v>512</v>
      </c>
      <c r="BH4" s="194" t="s">
        <v>513</v>
      </c>
      <c r="BI4" s="621"/>
      <c r="BJ4" s="621"/>
      <c r="BK4" s="194" t="s">
        <v>655</v>
      </c>
      <c r="BL4" s="195" t="s">
        <v>688</v>
      </c>
      <c r="BM4" s="621"/>
      <c r="BN4" s="621"/>
      <c r="BO4" s="194" t="s">
        <v>655</v>
      </c>
      <c r="BP4" s="195" t="s">
        <v>688</v>
      </c>
      <c r="BQ4" s="621"/>
      <c r="BR4" s="621"/>
      <c r="BS4" s="194" t="s">
        <v>655</v>
      </c>
      <c r="BT4" s="195" t="s">
        <v>659</v>
      </c>
      <c r="BU4" s="621"/>
      <c r="BV4" s="621"/>
      <c r="BW4" s="194" t="s">
        <v>512</v>
      </c>
      <c r="BX4" s="194" t="s">
        <v>513</v>
      </c>
      <c r="BY4" s="621"/>
      <c r="BZ4" s="621"/>
      <c r="CA4" s="194" t="s">
        <v>512</v>
      </c>
      <c r="CB4" s="194" t="s">
        <v>515</v>
      </c>
      <c r="CC4" s="621"/>
      <c r="CD4" s="621"/>
      <c r="CE4" s="194" t="s">
        <v>655</v>
      </c>
      <c r="CF4" s="195" t="s">
        <v>688</v>
      </c>
      <c r="CG4" s="621"/>
      <c r="CH4" s="621"/>
      <c r="CI4" s="194" t="s">
        <v>655</v>
      </c>
      <c r="CJ4" s="195" t="s">
        <v>688</v>
      </c>
      <c r="CK4" s="621"/>
      <c r="CL4" s="621"/>
      <c r="CM4" s="194" t="s">
        <v>655</v>
      </c>
      <c r="CN4" s="195" t="s">
        <v>688</v>
      </c>
      <c r="CO4" s="621"/>
      <c r="CP4" s="621"/>
      <c r="CQ4" s="325" t="s">
        <v>512</v>
      </c>
      <c r="CR4" s="325" t="s">
        <v>513</v>
      </c>
      <c r="CS4" s="619"/>
      <c r="CT4" s="619"/>
      <c r="CU4" s="325" t="s">
        <v>512</v>
      </c>
      <c r="CV4" s="325" t="s">
        <v>596</v>
      </c>
      <c r="CW4" s="619"/>
      <c r="CX4" s="619"/>
      <c r="CY4" s="325" t="s">
        <v>512</v>
      </c>
      <c r="CZ4" s="325" t="s">
        <v>513</v>
      </c>
      <c r="DA4" s="619"/>
      <c r="DB4" s="619"/>
    </row>
    <row r="5" spans="1:106" s="290" customFormat="1" ht="24.75" customHeight="1">
      <c r="A5" s="326" t="s">
        <v>289</v>
      </c>
      <c r="B5" s="294" t="s">
        <v>290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98"/>
      <c r="B6" s="298" t="s">
        <v>291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>
      <c r="A7" s="298"/>
      <c r="B7" s="298" t="s">
        <v>292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>
      <c r="A8" s="298"/>
      <c r="B8" s="297" t="s">
        <v>516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>
      <c r="A9" s="298"/>
      <c r="B9" s="297" t="s">
        <v>293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>
      <c r="A10" s="298"/>
      <c r="B10" s="297" t="s">
        <v>517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>
      <c r="A11" s="298"/>
      <c r="B11" s="297" t="s">
        <v>518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>
      <c r="A12" s="298"/>
      <c r="B12" s="297" t="s">
        <v>294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>
      <c r="A13" s="298"/>
      <c r="B13" s="297" t="s">
        <v>660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>
      <c r="A14" s="298"/>
      <c r="B14" s="297" t="s">
        <v>295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>
      <c r="A15" s="298"/>
      <c r="B15" s="297" t="s">
        <v>661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>
      <c r="A16" s="298"/>
      <c r="B16" s="297" t="s">
        <v>296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>
      <c r="A17" s="298"/>
      <c r="B17" s="297" t="s">
        <v>519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290" customFormat="1" ht="14.25" customHeight="1">
      <c r="A18" s="326" t="s">
        <v>297</v>
      </c>
      <c r="B18" s="294" t="s">
        <v>298</v>
      </c>
      <c r="C18" s="291">
        <f>SUM(C19:C33)</f>
        <v>7.6</v>
      </c>
      <c r="D18" s="179">
        <f>SUM(D19:D33)</f>
        <v>0</v>
      </c>
      <c r="E18" s="179">
        <f>SUM(E19:E33)</f>
        <v>1.165</v>
      </c>
      <c r="F18" s="292">
        <f>E18-D18</f>
        <v>1.165</v>
      </c>
      <c r="G18" s="292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>
      <c r="A19" s="298"/>
      <c r="B19" s="298" t="s">
        <v>299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>
      <c r="A20" s="298"/>
      <c r="B20" s="297" t="s">
        <v>300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>
      <c r="A21" s="298"/>
      <c r="B21" s="297" t="s">
        <v>563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>
      <c r="A22" s="298"/>
      <c r="B22" s="298" t="s">
        <v>301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>
      <c r="A23" s="298"/>
      <c r="B23" s="298" t="s">
        <v>662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>
      <c r="A24" s="298"/>
      <c r="B24" s="297" t="s">
        <v>520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>
      <c r="A25" s="298"/>
      <c r="B25" s="297" t="s">
        <v>521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>
      <c r="A26" s="298"/>
      <c r="B26" s="297" t="s">
        <v>663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>
      <c r="A27" s="298"/>
      <c r="B27" s="297" t="s">
        <v>302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>
      <c r="A28" s="298"/>
      <c r="B28" s="297" t="s">
        <v>303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>
      <c r="A29" s="298"/>
      <c r="B29" s="297" t="s">
        <v>304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>
      <c r="A30" s="298"/>
      <c r="B30" s="297" t="s">
        <v>305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>
      <c r="A31" s="298"/>
      <c r="B31" s="298" t="s">
        <v>522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>
      <c r="A32" s="298"/>
      <c r="B32" s="298" t="s">
        <v>306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>
      <c r="A33" s="298"/>
      <c r="B33" s="298" t="s">
        <v>523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290" customFormat="1" ht="14.25" customHeight="1">
      <c r="A34" s="326" t="s">
        <v>307</v>
      </c>
      <c r="B34" s="294" t="s">
        <v>308</v>
      </c>
      <c r="C34" s="293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292">
        <f>E34-D34</f>
        <v>57.469699999999989</v>
      </c>
      <c r="G34" s="292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296" customFormat="1" ht="13.5" customHeight="1">
      <c r="A35" s="326"/>
      <c r="B35" s="294" t="s">
        <v>309</v>
      </c>
      <c r="C35" s="291">
        <f>SUM(C36:C57)</f>
        <v>0</v>
      </c>
      <c r="D35" s="179">
        <f>SUM(D36:D57)</f>
        <v>7.9660000000000011</v>
      </c>
      <c r="E35" s="179">
        <f>SUM(E36:E57)</f>
        <v>0.28299999999999997</v>
      </c>
      <c r="F35" s="295">
        <f>SUM(F36:F57)</f>
        <v>-7.6829999999999998</v>
      </c>
      <c r="G35" s="295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>
      <c r="A36" s="298"/>
      <c r="B36" s="297" t="s">
        <v>310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>
      <c r="A37" s="298"/>
      <c r="B37" s="297" t="s">
        <v>311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>
      <c r="A38" s="298"/>
      <c r="B38" s="297" t="s">
        <v>312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>
      <c r="A39" s="298"/>
      <c r="B39" s="298" t="s">
        <v>313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>
      <c r="A40" s="298"/>
      <c r="B40" s="298" t="s">
        <v>314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>
      <c r="A41" s="298"/>
      <c r="B41" s="298" t="s">
        <v>315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>
      <c r="A42" s="298"/>
      <c r="B42" s="298" t="s">
        <v>316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>
      <c r="A43" s="298"/>
      <c r="B43" s="298" t="s">
        <v>317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>
      <c r="A44" s="298"/>
      <c r="B44" s="298" t="s">
        <v>318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>
      <c r="A45" s="298"/>
      <c r="B45" s="298" t="s">
        <v>319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>
      <c r="A46" s="298"/>
      <c r="B46" s="298" t="s">
        <v>320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>
      <c r="A47" s="298"/>
      <c r="B47" s="299" t="s">
        <v>321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>
      <c r="A48" s="298"/>
      <c r="B48" s="298" t="s">
        <v>524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>
      <c r="A49" s="298"/>
      <c r="B49" s="298" t="s">
        <v>322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>
      <c r="A50" s="298"/>
      <c r="B50" s="298" t="s">
        <v>323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>
      <c r="A51" s="298"/>
      <c r="B51" s="298" t="s">
        <v>664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>
      <c r="A52" s="298"/>
      <c r="B52" s="298" t="s">
        <v>665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>
      <c r="A53" s="298"/>
      <c r="B53" s="299" t="s">
        <v>324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>
      <c r="A54" s="298"/>
      <c r="B54" s="298" t="s">
        <v>325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>
      <c r="A55" s="298"/>
      <c r="B55" s="298" t="s">
        <v>326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>
      <c r="A56" s="298"/>
      <c r="B56" s="299" t="s">
        <v>327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>
      <c r="A57" s="298"/>
      <c r="B57" s="298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>
      <c r="A58" s="298"/>
      <c r="B58" s="298" t="s">
        <v>525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>
      <c r="A59" s="298"/>
      <c r="B59" s="298" t="s">
        <v>526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>
      <c r="A60" s="298"/>
      <c r="B60" s="297" t="s">
        <v>666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>
      <c r="A61" s="298"/>
      <c r="B61" s="298" t="s">
        <v>527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>
      <c r="A62" s="298"/>
      <c r="B62" s="297" t="s">
        <v>667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>
      <c r="A63" s="298"/>
      <c r="B63" s="297" t="s">
        <v>528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>
      <c r="A64" s="298"/>
      <c r="B64" s="297" t="s">
        <v>668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>
      <c r="A65" s="298"/>
      <c r="B65" s="297" t="s">
        <v>328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>
      <c r="A66" s="298"/>
      <c r="B66" s="297" t="s">
        <v>529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>
      <c r="A67" s="298"/>
      <c r="B67" s="297" t="s">
        <v>329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>
      <c r="A68" s="298"/>
      <c r="B68" s="297" t="s">
        <v>530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>
      <c r="A69" s="298"/>
      <c r="B69" s="297" t="s">
        <v>373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>
      <c r="A70" s="298"/>
      <c r="B70" s="297" t="s">
        <v>330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290" customFormat="1" ht="14.25" hidden="1" customHeight="1">
      <c r="A71" s="327"/>
      <c r="B71" s="300" t="s">
        <v>331</v>
      </c>
      <c r="C71" s="301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292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>
      <c r="A72" s="298"/>
      <c r="B72" s="298" t="s">
        <v>332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>
      <c r="A73" s="298"/>
      <c r="B73" s="298" t="s">
        <v>531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>
      <c r="A74" s="298"/>
      <c r="B74" s="298" t="s">
        <v>333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>
      <c r="A75" s="298"/>
      <c r="B75" s="298" t="s">
        <v>334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>
      <c r="A76" s="298"/>
      <c r="B76" s="298" t="s">
        <v>335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>
      <c r="A77" s="298"/>
      <c r="B77" s="298" t="s">
        <v>336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>
      <c r="A78" s="298"/>
      <c r="B78" s="298" t="s">
        <v>337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290" customFormat="1" ht="14.25" customHeight="1">
      <c r="A79" s="326" t="s">
        <v>338</v>
      </c>
      <c r="B79" s="294" t="s">
        <v>339</v>
      </c>
      <c r="C79" s="302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292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>
      <c r="A80" s="298"/>
      <c r="B80" s="298" t="s">
        <v>340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>
      <c r="A81" s="298"/>
      <c r="B81" s="298" t="s">
        <v>341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>
      <c r="A82" s="298"/>
      <c r="B82" s="298" t="s">
        <v>532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>
      <c r="A83" s="298"/>
      <c r="B83" s="297" t="s">
        <v>342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>
      <c r="A84" s="298"/>
      <c r="B84" s="297" t="s">
        <v>533</v>
      </c>
      <c r="C84" s="303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>
      <c r="A85" s="298"/>
      <c r="B85" s="297" t="s">
        <v>343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>
      <c r="A86" s="328"/>
      <c r="B86" s="297" t="s">
        <v>669</v>
      </c>
      <c r="C86" s="303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>
      <c r="A87" s="298"/>
      <c r="B87" s="298" t="s">
        <v>534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>
      <c r="A88" s="298"/>
      <c r="B88" s="298" t="s">
        <v>344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290" customFormat="1" ht="14.25" customHeight="1">
      <c r="A89" s="326" t="s">
        <v>345</v>
      </c>
      <c r="B89" s="294" t="s">
        <v>346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295">
        <f>SUM(F91:F136)</f>
        <v>-2110.7230799999998</v>
      </c>
      <c r="G89" s="295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>
      <c r="A90" s="328"/>
      <c r="B90" s="297" t="s">
        <v>347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>
      <c r="A91" s="328"/>
      <c r="B91" s="297" t="s">
        <v>535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>
      <c r="A92" s="298"/>
      <c r="B92" s="298" t="s">
        <v>348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>
      <c r="A93" s="298"/>
      <c r="B93" s="298" t="s">
        <v>349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>
      <c r="A94" s="298"/>
      <c r="B94" s="298" t="s">
        <v>350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>
      <c r="A95" s="298"/>
      <c r="B95" s="298" t="s">
        <v>351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>
      <c r="A96" s="298"/>
      <c r="B96" s="298" t="s">
        <v>536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>
      <c r="A97" s="298"/>
      <c r="B97" s="298" t="s">
        <v>537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>
      <c r="A98" s="298"/>
      <c r="B98" s="298" t="s">
        <v>352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>
      <c r="A99" s="298"/>
      <c r="B99" s="298" t="s">
        <v>353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>
      <c r="A100" s="298"/>
      <c r="B100" s="298" t="s">
        <v>670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>
      <c r="A101" s="298"/>
      <c r="B101" s="298" t="s">
        <v>671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>
      <c r="A102" s="298"/>
      <c r="B102" s="298" t="s">
        <v>355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>
      <c r="A103" s="298"/>
      <c r="B103" s="298" t="s">
        <v>356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>
      <c r="A104" s="298"/>
      <c r="B104" s="298" t="s">
        <v>580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>
      <c r="A105" s="298"/>
      <c r="B105" s="298" t="s">
        <v>538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>
      <c r="A106" s="298"/>
      <c r="B106" s="298" t="s">
        <v>539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>
      <c r="A107" s="298"/>
      <c r="B107" s="298" t="s">
        <v>357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>
      <c r="A108" s="298"/>
      <c r="B108" s="298" t="s">
        <v>624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>
      <c r="A109" s="298"/>
      <c r="B109" s="298" t="s">
        <v>585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>
      <c r="A110" s="298"/>
      <c r="B110" s="298" t="s">
        <v>358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>
      <c r="A111" s="298"/>
      <c r="B111" s="298" t="s">
        <v>672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>
      <c r="A112" s="298"/>
      <c r="B112" s="298" t="s">
        <v>550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>
      <c r="A113" s="298"/>
      <c r="B113" s="298" t="s">
        <v>673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>
      <c r="A114" s="298"/>
      <c r="B114" s="298" t="s">
        <v>623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>
      <c r="A115" s="298"/>
      <c r="B115" s="298" t="s">
        <v>540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>
      <c r="A116" s="298"/>
      <c r="B116" s="298" t="s">
        <v>541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>
      <c r="A117" s="298"/>
      <c r="B117" s="298" t="s">
        <v>542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>
      <c r="A118" s="298"/>
      <c r="B118" s="298" t="s">
        <v>543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>
      <c r="A119" s="298"/>
      <c r="B119" s="298" t="s">
        <v>674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>
      <c r="A120" s="298"/>
      <c r="B120" s="298" t="s">
        <v>675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>
      <c r="A121" s="298"/>
      <c r="B121" s="298" t="s">
        <v>544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>
      <c r="A122" s="298"/>
      <c r="B122" s="298" t="s">
        <v>545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>
      <c r="A123" s="298"/>
      <c r="B123" s="298" t="s">
        <v>361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>
      <c r="A124" s="298"/>
      <c r="B124" s="298" t="s">
        <v>676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>
      <c r="A125" s="298"/>
      <c r="B125" s="298" t="s">
        <v>362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>
      <c r="A126" s="298"/>
      <c r="B126" s="298" t="s">
        <v>363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>
      <c r="A127" s="298"/>
      <c r="B127" s="304" t="s">
        <v>364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>
      <c r="A128" s="298"/>
      <c r="B128" s="304" t="s">
        <v>547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>
      <c r="A129" s="298"/>
      <c r="B129" s="304" t="s">
        <v>365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>
      <c r="A130" s="298"/>
      <c r="B130" s="304" t="s">
        <v>548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>
      <c r="A131" s="298"/>
      <c r="B131" s="298" t="s">
        <v>549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>
      <c r="A132" s="298"/>
      <c r="B132" s="298" t="s">
        <v>586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>
      <c r="A133" s="298"/>
      <c r="B133" s="298" t="s">
        <v>366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>
      <c r="A134" s="298"/>
      <c r="B134" s="298" t="s">
        <v>677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>
      <c r="A135" s="298"/>
      <c r="B135" s="298" t="s">
        <v>551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>
      <c r="A136" s="200"/>
      <c r="B136" s="200" t="s">
        <v>393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07" customFormat="1" ht="14.25" customHeight="1">
      <c r="A137" s="305"/>
      <c r="B137" s="306" t="s">
        <v>367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>
      <c r="A138" s="215" t="s">
        <v>368</v>
      </c>
      <c r="B138" s="217" t="s">
        <v>369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>
      <c r="A139" s="215" t="s">
        <v>370</v>
      </c>
      <c r="B139" s="217" t="s">
        <v>371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07" customFormat="1">
      <c r="A140" s="218"/>
      <c r="B140" s="308" t="s">
        <v>372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>
      <c r="AH141" s="313"/>
    </row>
    <row r="142" spans="1:106" ht="11.25" customHeight="1">
      <c r="D142" s="314"/>
      <c r="E142" s="315"/>
      <c r="AH142" s="313"/>
    </row>
    <row r="143" spans="1:106" s="311" customFormat="1">
      <c r="B143" s="309"/>
      <c r="C143" s="310"/>
      <c r="E143" s="316"/>
      <c r="F143" s="289"/>
      <c r="G143" s="289"/>
      <c r="J143" s="289"/>
      <c r="K143" s="289"/>
      <c r="N143" s="289"/>
      <c r="O143" s="289"/>
      <c r="R143" s="289"/>
      <c r="S143" s="289"/>
      <c r="V143" s="289"/>
      <c r="W143" s="289"/>
      <c r="X143" s="312"/>
      <c r="Y143" s="312"/>
      <c r="Z143" s="289"/>
      <c r="AA143" s="289"/>
      <c r="AD143" s="289"/>
      <c r="AE143" s="289"/>
      <c r="AF143" s="289"/>
      <c r="AG143" s="289"/>
      <c r="AH143" s="313"/>
      <c r="AK143" s="289"/>
      <c r="AL143" s="289"/>
      <c r="AO143" s="289"/>
      <c r="AP143" s="289"/>
      <c r="AQ143" s="289"/>
      <c r="AR143" s="289"/>
      <c r="AS143" s="289"/>
      <c r="AT143" s="289"/>
      <c r="AW143" s="289"/>
      <c r="AX143" s="289"/>
      <c r="AY143" s="289"/>
      <c r="AZ143" s="289"/>
      <c r="BA143" s="289"/>
      <c r="BB143" s="289"/>
      <c r="BE143" s="289"/>
      <c r="BF143" s="289"/>
      <c r="BI143" s="289"/>
      <c r="BJ143" s="289"/>
      <c r="BK143" s="289"/>
      <c r="BL143" s="289"/>
      <c r="BM143" s="289"/>
      <c r="BN143" s="289"/>
      <c r="BO143" s="289"/>
      <c r="BP143" s="289"/>
      <c r="BQ143" s="289"/>
      <c r="BR143" s="289"/>
      <c r="BS143" s="289"/>
      <c r="BT143" s="289"/>
      <c r="BU143" s="289"/>
      <c r="BV143" s="289"/>
      <c r="BY143" s="289"/>
      <c r="BZ143" s="289"/>
      <c r="CA143" s="289"/>
      <c r="CB143" s="289"/>
      <c r="CC143" s="289"/>
      <c r="CD143" s="289"/>
      <c r="CG143" s="289"/>
      <c r="CH143" s="289"/>
      <c r="CK143" s="289"/>
      <c r="CL143" s="289"/>
      <c r="CM143" s="289"/>
      <c r="CN143" s="289"/>
      <c r="CO143" s="289"/>
      <c r="CP143" s="289"/>
      <c r="CQ143" s="289"/>
      <c r="CR143" s="289"/>
      <c r="CS143" s="289"/>
      <c r="CT143" s="289"/>
      <c r="CW143" s="289"/>
      <c r="CX143" s="289"/>
    </row>
    <row r="144" spans="1:106" s="311" customFormat="1">
      <c r="B144" s="309"/>
      <c r="C144" s="310"/>
      <c r="E144" s="315"/>
      <c r="F144" s="289"/>
      <c r="G144" s="289"/>
      <c r="J144" s="289"/>
      <c r="K144" s="289"/>
      <c r="N144" s="289"/>
      <c r="O144" s="289"/>
      <c r="R144" s="289"/>
      <c r="S144" s="289"/>
      <c r="V144" s="289"/>
      <c r="W144" s="289"/>
      <c r="X144" s="312"/>
      <c r="Y144" s="312"/>
      <c r="Z144" s="289"/>
      <c r="AA144" s="289"/>
      <c r="AD144" s="289"/>
      <c r="AE144" s="289"/>
      <c r="AF144" s="289"/>
      <c r="AG144" s="289"/>
      <c r="AH144" s="313"/>
      <c r="AK144" s="289"/>
      <c r="AL144" s="289"/>
      <c r="AO144" s="289"/>
      <c r="AP144" s="289"/>
      <c r="AQ144" s="289"/>
      <c r="AR144" s="289"/>
      <c r="AS144" s="289"/>
      <c r="AT144" s="289"/>
      <c r="AW144" s="289"/>
      <c r="AX144" s="289"/>
      <c r="AY144" s="289"/>
      <c r="AZ144" s="289"/>
      <c r="BA144" s="289"/>
      <c r="BB144" s="289"/>
      <c r="BE144" s="289"/>
      <c r="BF144" s="289"/>
      <c r="BI144" s="289"/>
      <c r="BJ144" s="289"/>
      <c r="BK144" s="289"/>
      <c r="BL144" s="289"/>
      <c r="BM144" s="289"/>
      <c r="BN144" s="289"/>
      <c r="BO144" s="289"/>
      <c r="BP144" s="289"/>
      <c r="BQ144" s="289"/>
      <c r="BR144" s="289"/>
      <c r="BS144" s="289"/>
      <c r="BT144" s="289"/>
      <c r="BU144" s="289"/>
      <c r="BV144" s="289"/>
      <c r="BY144" s="289"/>
      <c r="BZ144" s="289"/>
      <c r="CA144" s="289"/>
      <c r="CB144" s="289"/>
      <c r="CC144" s="289"/>
      <c r="CD144" s="289"/>
      <c r="CG144" s="289"/>
      <c r="CH144" s="289"/>
      <c r="CK144" s="289"/>
      <c r="CL144" s="289"/>
      <c r="CM144" s="289"/>
      <c r="CN144" s="289"/>
      <c r="CO144" s="289"/>
      <c r="CP144" s="289"/>
      <c r="CQ144" s="289"/>
      <c r="CR144" s="289"/>
      <c r="CS144" s="289"/>
      <c r="CT144" s="289"/>
      <c r="CW144" s="289"/>
      <c r="CX144" s="289"/>
    </row>
    <row r="145" spans="2:102" s="311" customFormat="1">
      <c r="B145" s="309"/>
      <c r="C145" s="310"/>
      <c r="F145" s="289"/>
      <c r="G145" s="289"/>
      <c r="J145" s="289"/>
      <c r="K145" s="289"/>
      <c r="N145" s="289"/>
      <c r="O145" s="289"/>
      <c r="R145" s="289"/>
      <c r="S145" s="289"/>
      <c r="V145" s="289"/>
      <c r="W145" s="289"/>
      <c r="X145" s="312"/>
      <c r="Y145" s="312"/>
      <c r="Z145" s="289"/>
      <c r="AA145" s="289"/>
      <c r="AD145" s="289"/>
      <c r="AE145" s="289"/>
      <c r="AF145" s="289"/>
      <c r="AG145" s="289"/>
      <c r="AH145" s="313"/>
      <c r="AK145" s="289"/>
      <c r="AL145" s="289"/>
      <c r="AO145" s="289"/>
      <c r="AP145" s="289"/>
      <c r="AQ145" s="289"/>
      <c r="AR145" s="289"/>
      <c r="AS145" s="289"/>
      <c r="AT145" s="289"/>
      <c r="AW145" s="289"/>
      <c r="AX145" s="289"/>
      <c r="AY145" s="289"/>
      <c r="AZ145" s="289"/>
      <c r="BA145" s="289"/>
      <c r="BB145" s="289"/>
      <c r="BE145" s="289"/>
      <c r="BF145" s="289"/>
      <c r="BI145" s="289"/>
      <c r="BJ145" s="289"/>
      <c r="BK145" s="289"/>
      <c r="BL145" s="289"/>
      <c r="BM145" s="289"/>
      <c r="BN145" s="289"/>
      <c r="BO145" s="289"/>
      <c r="BP145" s="289"/>
      <c r="BQ145" s="289"/>
      <c r="BR145" s="289"/>
      <c r="BS145" s="289"/>
      <c r="BT145" s="289"/>
      <c r="BU145" s="289"/>
      <c r="BV145" s="289"/>
      <c r="BY145" s="289"/>
      <c r="BZ145" s="289"/>
      <c r="CA145" s="289"/>
      <c r="CB145" s="289"/>
      <c r="CC145" s="289"/>
      <c r="CD145" s="289"/>
      <c r="CG145" s="289"/>
      <c r="CH145" s="289"/>
      <c r="CK145" s="289"/>
      <c r="CL145" s="289"/>
      <c r="CM145" s="289"/>
      <c r="CN145" s="289"/>
      <c r="CO145" s="289"/>
      <c r="CP145" s="289"/>
      <c r="CQ145" s="289"/>
      <c r="CR145" s="289"/>
      <c r="CS145" s="289"/>
      <c r="CT145" s="289"/>
      <c r="CW145" s="289"/>
      <c r="CX145" s="289"/>
    </row>
    <row r="146" spans="2:102" s="311" customFormat="1">
      <c r="B146" s="309"/>
      <c r="C146" s="310"/>
      <c r="F146" s="289"/>
      <c r="G146" s="289"/>
      <c r="J146" s="289"/>
      <c r="K146" s="289"/>
      <c r="N146" s="289"/>
      <c r="O146" s="289"/>
      <c r="R146" s="289"/>
      <c r="S146" s="289"/>
      <c r="V146" s="289"/>
      <c r="W146" s="289"/>
      <c r="X146" s="312"/>
      <c r="Y146" s="312"/>
      <c r="Z146" s="289"/>
      <c r="AA146" s="289"/>
      <c r="AD146" s="289"/>
      <c r="AE146" s="289"/>
      <c r="AF146" s="289"/>
      <c r="AG146" s="289"/>
      <c r="AH146" s="313"/>
      <c r="AK146" s="289"/>
      <c r="AL146" s="289"/>
      <c r="AO146" s="289"/>
      <c r="AP146" s="289"/>
      <c r="AQ146" s="289"/>
      <c r="AR146" s="289"/>
      <c r="AS146" s="289"/>
      <c r="AT146" s="289"/>
      <c r="AW146" s="289"/>
      <c r="AX146" s="289"/>
      <c r="AY146" s="289"/>
      <c r="AZ146" s="289"/>
      <c r="BA146" s="289"/>
      <c r="BB146" s="289"/>
      <c r="BE146" s="289"/>
      <c r="BF146" s="289"/>
      <c r="BI146" s="289"/>
      <c r="BJ146" s="289"/>
      <c r="BK146" s="289"/>
      <c r="BL146" s="289"/>
      <c r="BM146" s="289"/>
      <c r="BN146" s="289"/>
      <c r="BO146" s="289"/>
      <c r="BP146" s="289"/>
      <c r="BQ146" s="289"/>
      <c r="BR146" s="289"/>
      <c r="BS146" s="289"/>
      <c r="BT146" s="289"/>
      <c r="BU146" s="289"/>
      <c r="BV146" s="289"/>
      <c r="BY146" s="289"/>
      <c r="BZ146" s="289"/>
      <c r="CA146" s="289"/>
      <c r="CB146" s="289"/>
      <c r="CC146" s="289"/>
      <c r="CD146" s="289"/>
      <c r="CG146" s="289"/>
      <c r="CH146" s="289"/>
      <c r="CK146" s="289"/>
      <c r="CL146" s="289"/>
      <c r="CM146" s="289"/>
      <c r="CN146" s="289"/>
      <c r="CO146" s="289"/>
      <c r="CP146" s="289"/>
      <c r="CQ146" s="289"/>
      <c r="CR146" s="289"/>
      <c r="CS146" s="289"/>
      <c r="CT146" s="289"/>
      <c r="CW146" s="289"/>
      <c r="CX146" s="289"/>
    </row>
    <row r="147" spans="2:102" s="311" customFormat="1">
      <c r="B147" s="309"/>
      <c r="C147" s="310"/>
      <c r="F147" s="289"/>
      <c r="G147" s="289"/>
      <c r="J147" s="289"/>
      <c r="K147" s="289"/>
      <c r="N147" s="289"/>
      <c r="O147" s="289"/>
      <c r="R147" s="289"/>
      <c r="S147" s="289"/>
      <c r="V147" s="289"/>
      <c r="W147" s="289"/>
      <c r="X147" s="312"/>
      <c r="Y147" s="312"/>
      <c r="Z147" s="289"/>
      <c r="AA147" s="289"/>
      <c r="AD147" s="289"/>
      <c r="AE147" s="289"/>
      <c r="AF147" s="289"/>
      <c r="AG147" s="289"/>
      <c r="AH147" s="313"/>
      <c r="AK147" s="289"/>
      <c r="AL147" s="289"/>
      <c r="AO147" s="289"/>
      <c r="AP147" s="289"/>
      <c r="AQ147" s="289"/>
      <c r="AR147" s="289"/>
      <c r="AS147" s="289"/>
      <c r="AT147" s="289"/>
      <c r="AW147" s="289"/>
      <c r="AX147" s="289"/>
      <c r="AY147" s="289"/>
      <c r="AZ147" s="289"/>
      <c r="BA147" s="289"/>
      <c r="BB147" s="289"/>
      <c r="BE147" s="289"/>
      <c r="BF147" s="289"/>
      <c r="BI147" s="289"/>
      <c r="BJ147" s="289"/>
      <c r="BK147" s="289"/>
      <c r="BL147" s="289"/>
      <c r="BM147" s="289"/>
      <c r="BN147" s="289"/>
      <c r="BO147" s="289"/>
      <c r="BP147" s="289"/>
      <c r="BQ147" s="289"/>
      <c r="BR147" s="289"/>
      <c r="BS147" s="289"/>
      <c r="BT147" s="289"/>
      <c r="BU147" s="289"/>
      <c r="BV147" s="289"/>
      <c r="BY147" s="289"/>
      <c r="BZ147" s="289"/>
      <c r="CA147" s="289"/>
      <c r="CB147" s="289"/>
      <c r="CC147" s="289"/>
      <c r="CD147" s="289"/>
      <c r="CG147" s="289"/>
      <c r="CH147" s="289"/>
      <c r="CK147" s="289"/>
      <c r="CL147" s="289"/>
      <c r="CM147" s="289"/>
      <c r="CN147" s="289"/>
      <c r="CO147" s="289"/>
      <c r="CP147" s="289"/>
      <c r="CQ147" s="289"/>
      <c r="CR147" s="289"/>
      <c r="CS147" s="289"/>
      <c r="CT147" s="289"/>
      <c r="CW147" s="289"/>
      <c r="CX147" s="289"/>
    </row>
    <row r="148" spans="2:102" s="311" customFormat="1">
      <c r="B148" s="309"/>
      <c r="C148" s="310"/>
      <c r="F148" s="289"/>
      <c r="G148" s="289"/>
      <c r="J148" s="289"/>
      <c r="K148" s="289"/>
      <c r="N148" s="289"/>
      <c r="O148" s="289"/>
      <c r="R148" s="289"/>
      <c r="S148" s="289"/>
      <c r="V148" s="289"/>
      <c r="W148" s="289"/>
      <c r="X148" s="312"/>
      <c r="Y148" s="312"/>
      <c r="Z148" s="289"/>
      <c r="AA148" s="289"/>
      <c r="AD148" s="289"/>
      <c r="AE148" s="289"/>
      <c r="AF148" s="289"/>
      <c r="AG148" s="289"/>
      <c r="AH148" s="313"/>
      <c r="AK148" s="289"/>
      <c r="AL148" s="289"/>
      <c r="AO148" s="289"/>
      <c r="AP148" s="289"/>
      <c r="AQ148" s="289"/>
      <c r="AR148" s="289"/>
      <c r="AS148" s="289"/>
      <c r="AT148" s="289"/>
      <c r="AW148" s="289"/>
      <c r="AX148" s="289"/>
      <c r="AY148" s="289"/>
      <c r="AZ148" s="289"/>
      <c r="BA148" s="289"/>
      <c r="BB148" s="289"/>
      <c r="BE148" s="289"/>
      <c r="BF148" s="289"/>
      <c r="BI148" s="289"/>
      <c r="BJ148" s="289"/>
      <c r="BK148" s="289"/>
      <c r="BL148" s="289"/>
      <c r="BM148" s="289"/>
      <c r="BN148" s="289"/>
      <c r="BO148" s="289"/>
      <c r="BP148" s="289"/>
      <c r="BQ148" s="289"/>
      <c r="BR148" s="289"/>
      <c r="BS148" s="289"/>
      <c r="BT148" s="289"/>
      <c r="BU148" s="289"/>
      <c r="BV148" s="289"/>
      <c r="BY148" s="289"/>
      <c r="BZ148" s="289"/>
      <c r="CA148" s="289"/>
      <c r="CB148" s="289"/>
      <c r="CC148" s="289"/>
      <c r="CD148" s="289"/>
      <c r="CG148" s="289"/>
      <c r="CH148" s="289"/>
      <c r="CK148" s="289"/>
      <c r="CL148" s="289"/>
      <c r="CM148" s="289"/>
      <c r="CN148" s="289"/>
      <c r="CO148" s="289"/>
      <c r="CP148" s="289"/>
      <c r="CQ148" s="289"/>
      <c r="CR148" s="289"/>
      <c r="CS148" s="289"/>
      <c r="CT148" s="289"/>
      <c r="CW148" s="289"/>
      <c r="CX148" s="289"/>
    </row>
    <row r="149" spans="2:102" s="311" customFormat="1">
      <c r="B149" s="309"/>
      <c r="C149" s="310"/>
      <c r="F149" s="289"/>
      <c r="G149" s="289"/>
      <c r="J149" s="289"/>
      <c r="K149" s="289"/>
      <c r="N149" s="289"/>
      <c r="O149" s="289"/>
      <c r="R149" s="289"/>
      <c r="S149" s="289"/>
      <c r="V149" s="289"/>
      <c r="W149" s="289"/>
      <c r="X149" s="312"/>
      <c r="Y149" s="312"/>
      <c r="Z149" s="289"/>
      <c r="AA149" s="289"/>
      <c r="AD149" s="289"/>
      <c r="AE149" s="289"/>
      <c r="AF149" s="289"/>
      <c r="AG149" s="289"/>
      <c r="AH149" s="317"/>
      <c r="AK149" s="289"/>
      <c r="AL149" s="289"/>
      <c r="AO149" s="289"/>
      <c r="AP149" s="289"/>
      <c r="AQ149" s="289"/>
      <c r="AR149" s="289"/>
      <c r="AS149" s="289"/>
      <c r="AT149" s="289"/>
      <c r="AW149" s="289"/>
      <c r="AX149" s="289"/>
      <c r="AY149" s="289"/>
      <c r="AZ149" s="289"/>
      <c r="BA149" s="289"/>
      <c r="BB149" s="289"/>
      <c r="BE149" s="289"/>
      <c r="BF149" s="289"/>
      <c r="BI149" s="289"/>
      <c r="BJ149" s="289"/>
      <c r="BK149" s="289"/>
      <c r="BL149" s="289"/>
      <c r="BM149" s="289"/>
      <c r="BN149" s="289"/>
      <c r="BO149" s="289"/>
      <c r="BP149" s="289"/>
      <c r="BQ149" s="289"/>
      <c r="BR149" s="289"/>
      <c r="BS149" s="289"/>
      <c r="BT149" s="289"/>
      <c r="BU149" s="289"/>
      <c r="BV149" s="289"/>
      <c r="BY149" s="289"/>
      <c r="BZ149" s="289"/>
      <c r="CA149" s="289"/>
      <c r="CB149" s="289"/>
      <c r="CC149" s="289"/>
      <c r="CD149" s="289"/>
      <c r="CG149" s="289"/>
      <c r="CH149" s="289"/>
      <c r="CK149" s="289"/>
      <c r="CL149" s="289"/>
      <c r="CM149" s="289"/>
      <c r="CN149" s="289"/>
      <c r="CO149" s="289"/>
      <c r="CP149" s="289"/>
      <c r="CQ149" s="289"/>
      <c r="CR149" s="289"/>
      <c r="CS149" s="289"/>
      <c r="CT149" s="289"/>
      <c r="CW149" s="289"/>
      <c r="CX149" s="289"/>
    </row>
    <row r="150" spans="2:102" s="311" customFormat="1">
      <c r="B150" s="309"/>
      <c r="C150" s="310"/>
      <c r="F150" s="289"/>
      <c r="G150" s="289"/>
      <c r="J150" s="289"/>
      <c r="K150" s="289"/>
      <c r="N150" s="289"/>
      <c r="O150" s="289"/>
      <c r="R150" s="289"/>
      <c r="S150" s="289"/>
      <c r="V150" s="289"/>
      <c r="W150" s="289"/>
      <c r="X150" s="312"/>
      <c r="Y150" s="312"/>
      <c r="Z150" s="289"/>
      <c r="AA150" s="289"/>
      <c r="AD150" s="289"/>
      <c r="AE150" s="289"/>
      <c r="AF150" s="289"/>
      <c r="AG150" s="289"/>
      <c r="AH150" s="313"/>
      <c r="AK150" s="289"/>
      <c r="AL150" s="289"/>
      <c r="AO150" s="289"/>
      <c r="AP150" s="289"/>
      <c r="AQ150" s="289"/>
      <c r="AR150" s="289"/>
      <c r="AS150" s="289"/>
      <c r="AT150" s="289"/>
      <c r="AW150" s="289"/>
      <c r="AX150" s="289"/>
      <c r="AY150" s="289"/>
      <c r="AZ150" s="289"/>
      <c r="BA150" s="289"/>
      <c r="BB150" s="289"/>
      <c r="BE150" s="289"/>
      <c r="BF150" s="289"/>
      <c r="BI150" s="289"/>
      <c r="BJ150" s="289"/>
      <c r="BK150" s="289"/>
      <c r="BL150" s="289"/>
      <c r="BM150" s="289"/>
      <c r="BN150" s="289"/>
      <c r="BO150" s="289"/>
      <c r="BP150" s="289"/>
      <c r="BQ150" s="289"/>
      <c r="BR150" s="289"/>
      <c r="BS150" s="289"/>
      <c r="BT150" s="289"/>
      <c r="BU150" s="289"/>
      <c r="BV150" s="289"/>
      <c r="BY150" s="289"/>
      <c r="BZ150" s="289"/>
      <c r="CA150" s="289"/>
      <c r="CB150" s="289"/>
      <c r="CC150" s="289"/>
      <c r="CD150" s="289"/>
      <c r="CG150" s="289"/>
      <c r="CH150" s="289"/>
      <c r="CK150" s="289"/>
      <c r="CL150" s="289"/>
      <c r="CM150" s="289"/>
      <c r="CN150" s="289"/>
      <c r="CO150" s="289"/>
      <c r="CP150" s="289"/>
      <c r="CQ150" s="289"/>
      <c r="CR150" s="289"/>
      <c r="CS150" s="289"/>
      <c r="CT150" s="289"/>
      <c r="CW150" s="289"/>
      <c r="CX150" s="289"/>
    </row>
    <row r="151" spans="2:102" s="311" customFormat="1">
      <c r="B151" s="309"/>
      <c r="C151" s="310"/>
      <c r="F151" s="289"/>
      <c r="G151" s="289"/>
      <c r="J151" s="289"/>
      <c r="K151" s="289"/>
      <c r="N151" s="289"/>
      <c r="O151" s="289"/>
      <c r="R151" s="289"/>
      <c r="S151" s="289"/>
      <c r="V151" s="289"/>
      <c r="W151" s="289"/>
      <c r="X151" s="312"/>
      <c r="Y151" s="312"/>
      <c r="Z151" s="289"/>
      <c r="AA151" s="289"/>
      <c r="AD151" s="289"/>
      <c r="AE151" s="289"/>
      <c r="AF151" s="289"/>
      <c r="AG151" s="289"/>
      <c r="AH151" s="313"/>
      <c r="AK151" s="289"/>
      <c r="AL151" s="289"/>
      <c r="AO151" s="289"/>
      <c r="AP151" s="289"/>
      <c r="AQ151" s="289"/>
      <c r="AR151" s="289"/>
      <c r="AS151" s="289"/>
      <c r="AT151" s="289"/>
      <c r="AW151" s="289"/>
      <c r="AX151" s="289"/>
      <c r="AY151" s="289"/>
      <c r="AZ151" s="289"/>
      <c r="BA151" s="289"/>
      <c r="BB151" s="289"/>
      <c r="BE151" s="289"/>
      <c r="BF151" s="289"/>
      <c r="BI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89"/>
      <c r="BT151" s="289"/>
      <c r="BU151" s="289"/>
      <c r="BV151" s="289"/>
      <c r="BY151" s="289"/>
      <c r="BZ151" s="289"/>
      <c r="CA151" s="289"/>
      <c r="CB151" s="289"/>
      <c r="CC151" s="289"/>
      <c r="CD151" s="289"/>
      <c r="CG151" s="289"/>
      <c r="CH151" s="289"/>
      <c r="CK151" s="289"/>
      <c r="CL151" s="289"/>
      <c r="CM151" s="289"/>
      <c r="CN151" s="289"/>
      <c r="CO151" s="289"/>
      <c r="CP151" s="289"/>
      <c r="CQ151" s="289"/>
      <c r="CR151" s="289"/>
      <c r="CS151" s="289"/>
      <c r="CT151" s="289"/>
      <c r="CW151" s="289"/>
      <c r="CX151" s="289"/>
    </row>
    <row r="152" spans="2:102" s="311" customFormat="1">
      <c r="B152" s="309"/>
      <c r="C152" s="310"/>
      <c r="F152" s="289"/>
      <c r="G152" s="289"/>
      <c r="J152" s="289"/>
      <c r="K152" s="289"/>
      <c r="N152" s="289"/>
      <c r="O152" s="289"/>
      <c r="R152" s="289"/>
      <c r="S152" s="289"/>
      <c r="V152" s="289"/>
      <c r="W152" s="289"/>
      <c r="X152" s="312"/>
      <c r="Y152" s="312"/>
      <c r="Z152" s="289"/>
      <c r="AA152" s="289"/>
      <c r="AD152" s="289"/>
      <c r="AE152" s="289"/>
      <c r="AF152" s="289"/>
      <c r="AG152" s="289"/>
      <c r="AH152" s="317"/>
      <c r="AK152" s="289"/>
      <c r="AL152" s="289"/>
      <c r="AO152" s="289"/>
      <c r="AP152" s="289"/>
      <c r="AQ152" s="289"/>
      <c r="AR152" s="289"/>
      <c r="AS152" s="289"/>
      <c r="AT152" s="289"/>
      <c r="AW152" s="289"/>
      <c r="AX152" s="289"/>
      <c r="AY152" s="289"/>
      <c r="AZ152" s="289"/>
      <c r="BA152" s="289"/>
      <c r="BB152" s="289"/>
      <c r="BE152" s="289"/>
      <c r="BF152" s="289"/>
      <c r="BI152" s="289"/>
      <c r="BJ152" s="289"/>
      <c r="BK152" s="289"/>
      <c r="BL152" s="289"/>
      <c r="BM152" s="289"/>
      <c r="BN152" s="289"/>
      <c r="BO152" s="289"/>
      <c r="BP152" s="289"/>
      <c r="BQ152" s="289"/>
      <c r="BR152" s="289"/>
      <c r="BS152" s="289"/>
      <c r="BT152" s="289"/>
      <c r="BU152" s="289"/>
      <c r="BV152" s="289"/>
      <c r="BY152" s="289"/>
      <c r="BZ152" s="289"/>
      <c r="CA152" s="289"/>
      <c r="CB152" s="289"/>
      <c r="CC152" s="289"/>
      <c r="CD152" s="289"/>
      <c r="CG152" s="289"/>
      <c r="CH152" s="289"/>
      <c r="CK152" s="289"/>
      <c r="CL152" s="289"/>
      <c r="CM152" s="289"/>
      <c r="CN152" s="289"/>
      <c r="CO152" s="289"/>
      <c r="CP152" s="289"/>
      <c r="CQ152" s="289"/>
      <c r="CR152" s="289"/>
      <c r="CS152" s="289"/>
      <c r="CT152" s="289"/>
      <c r="CW152" s="289"/>
      <c r="CX152" s="289"/>
    </row>
    <row r="153" spans="2:102" s="311" customFormat="1">
      <c r="B153" s="309"/>
      <c r="C153" s="310"/>
      <c r="F153" s="289"/>
      <c r="G153" s="289"/>
      <c r="J153" s="289"/>
      <c r="K153" s="289"/>
      <c r="N153" s="289"/>
      <c r="O153" s="289"/>
      <c r="R153" s="289"/>
      <c r="S153" s="289"/>
      <c r="V153" s="289"/>
      <c r="W153" s="289"/>
      <c r="X153" s="312"/>
      <c r="Y153" s="312"/>
      <c r="Z153" s="289"/>
      <c r="AA153" s="289"/>
      <c r="AD153" s="289"/>
      <c r="AE153" s="289"/>
      <c r="AF153" s="289"/>
      <c r="AG153" s="289"/>
      <c r="AH153" s="313"/>
      <c r="AK153" s="289"/>
      <c r="AL153" s="289"/>
      <c r="AO153" s="289"/>
      <c r="AP153" s="289"/>
      <c r="AQ153" s="289"/>
      <c r="AR153" s="289"/>
      <c r="AS153" s="289"/>
      <c r="AT153" s="289"/>
      <c r="AW153" s="289"/>
      <c r="AX153" s="289"/>
      <c r="AY153" s="289"/>
      <c r="AZ153" s="289"/>
      <c r="BA153" s="289"/>
      <c r="BB153" s="289"/>
      <c r="BE153" s="289"/>
      <c r="BF153" s="289"/>
      <c r="BI153" s="289"/>
      <c r="BJ153" s="289"/>
      <c r="BK153" s="289"/>
      <c r="BL153" s="289"/>
      <c r="BM153" s="289"/>
      <c r="BN153" s="289"/>
      <c r="BO153" s="289"/>
      <c r="BP153" s="289"/>
      <c r="BQ153" s="289"/>
      <c r="BR153" s="289"/>
      <c r="BS153" s="289"/>
      <c r="BT153" s="289"/>
      <c r="BU153" s="289"/>
      <c r="BV153" s="289"/>
      <c r="BY153" s="289"/>
      <c r="BZ153" s="289"/>
      <c r="CA153" s="289"/>
      <c r="CB153" s="289"/>
      <c r="CC153" s="289"/>
      <c r="CD153" s="289"/>
      <c r="CG153" s="289"/>
      <c r="CH153" s="289"/>
      <c r="CK153" s="289"/>
      <c r="CL153" s="289"/>
      <c r="CM153" s="289"/>
      <c r="CN153" s="289"/>
      <c r="CO153" s="289"/>
      <c r="CP153" s="289"/>
      <c r="CQ153" s="289"/>
      <c r="CR153" s="289"/>
      <c r="CS153" s="289"/>
      <c r="CT153" s="289"/>
      <c r="CW153" s="289"/>
      <c r="CX153" s="289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8671875" defaultRowHeight="13.2"/>
  <cols>
    <col min="1" max="1" width="40.109375" style="1" customWidth="1"/>
    <col min="2" max="2" width="6.33203125" style="1" customWidth="1"/>
    <col min="3" max="3" width="9.5546875" style="1" customWidth="1"/>
    <col min="4" max="4" width="10.109375" style="1" customWidth="1"/>
    <col min="5" max="6" width="7.6640625" style="1" hidden="1" customWidth="1"/>
    <col min="7" max="8" width="10.33203125" style="11" customWidth="1"/>
    <col min="9" max="9" width="7.44140625" style="1" hidden="1" customWidth="1"/>
    <col min="10" max="10" width="11" style="1" customWidth="1"/>
    <col min="11" max="11" width="8.44140625" style="1" customWidth="1"/>
    <col min="12" max="12" width="10.6640625" style="1" customWidth="1"/>
    <col min="13" max="13" width="9" style="1" customWidth="1"/>
    <col min="14" max="14" width="10.5546875" style="1" customWidth="1"/>
    <col min="15" max="15" width="11" style="1" bestFit="1" customWidth="1"/>
    <col min="16" max="16" width="11" style="1" hidden="1" customWidth="1"/>
    <col min="17" max="17" width="10.33203125" style="1" customWidth="1"/>
    <col min="18" max="18" width="9.6640625" style="1" customWidth="1"/>
    <col min="19" max="19" width="11.6640625" style="1" bestFit="1" customWidth="1"/>
    <col min="20" max="20" width="13.109375" style="1" customWidth="1"/>
    <col min="21" max="16384" width="8.88671875" style="1"/>
  </cols>
  <sheetData>
    <row r="1" spans="1:22" ht="16.2" thickBot="1">
      <c r="R1" s="137" t="s">
        <v>401</v>
      </c>
    </row>
    <row r="2" spans="1:22" ht="12.75" customHeight="1" thickBot="1">
      <c r="A2" s="644" t="s">
        <v>471</v>
      </c>
      <c r="B2" s="644"/>
      <c r="C2" s="644"/>
      <c r="D2" s="644"/>
      <c r="E2" s="644"/>
      <c r="F2" s="644"/>
      <c r="G2" s="644"/>
      <c r="H2" s="644"/>
      <c r="I2" s="43"/>
      <c r="J2" s="43"/>
      <c r="K2" s="645" t="s">
        <v>239</v>
      </c>
      <c r="L2" s="645"/>
      <c r="M2" s="645"/>
      <c r="N2" s="646">
        <v>224950.67</v>
      </c>
      <c r="O2" s="646"/>
      <c r="P2" s="181"/>
      <c r="Q2" s="647" t="s">
        <v>256</v>
      </c>
      <c r="R2" s="647"/>
      <c r="S2" s="182">
        <v>9570953.3300000001</v>
      </c>
    </row>
    <row r="3" spans="1:22" s="66" customFormat="1" ht="12.75" customHeight="1">
      <c r="A3" s="638" t="s">
        <v>73</v>
      </c>
      <c r="B3" s="638" t="s">
        <v>74</v>
      </c>
      <c r="C3" s="638" t="s">
        <v>232</v>
      </c>
      <c r="D3" s="648" t="s">
        <v>75</v>
      </c>
      <c r="E3" s="649"/>
      <c r="F3" s="638" t="s">
        <v>115</v>
      </c>
      <c r="G3" s="638" t="s">
        <v>257</v>
      </c>
      <c r="H3" s="638" t="s">
        <v>258</v>
      </c>
      <c r="I3" s="638" t="s">
        <v>76</v>
      </c>
      <c r="J3" s="638" t="s">
        <v>151</v>
      </c>
      <c r="K3" s="638" t="s">
        <v>77</v>
      </c>
      <c r="L3" s="638" t="s">
        <v>472</v>
      </c>
      <c r="M3" s="638" t="s">
        <v>71</v>
      </c>
      <c r="N3" s="638" t="s">
        <v>79</v>
      </c>
      <c r="O3" s="638" t="s">
        <v>72</v>
      </c>
      <c r="P3" s="176"/>
      <c r="Q3" s="643" t="s">
        <v>233</v>
      </c>
      <c r="R3" s="638" t="s">
        <v>80</v>
      </c>
      <c r="S3" s="638" t="s">
        <v>81</v>
      </c>
    </row>
    <row r="4" spans="1:22" s="66" customFormat="1" ht="39.6">
      <c r="A4" s="639"/>
      <c r="B4" s="639"/>
      <c r="C4" s="639"/>
      <c r="D4" s="56" t="s">
        <v>82</v>
      </c>
      <c r="E4" s="56" t="s">
        <v>234</v>
      </c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175"/>
      <c r="Q4" s="639"/>
      <c r="R4" s="639"/>
      <c r="S4" s="639"/>
    </row>
    <row r="5" spans="1:22" s="66" customFormat="1">
      <c r="A5" s="58" t="s">
        <v>83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[1]март!G5+[1]фев!G5+[1]янв!G5</f>
        <v>2300</v>
      </c>
      <c r="H5" s="59">
        <f>[1]март!H5+[1]фев!H5+[1]янв!H5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>
      <c r="A6" s="60" t="s">
        <v>84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[1]март!G6+[1]фев!G6+[1]янв!G6</f>
        <v>0</v>
      </c>
      <c r="H6" s="59">
        <f>[1]март!H6+[1]фев!H6+[1]янв!H6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[2]март!S6+[2]фев!S6+[2]янв!S6</f>
        <v>1617916</v>
      </c>
    </row>
    <row r="7" spans="1:22">
      <c r="A7" s="42" t="s">
        <v>85</v>
      </c>
      <c r="B7" s="3">
        <v>211</v>
      </c>
      <c r="C7" s="3">
        <f t="shared" si="0"/>
        <v>500</v>
      </c>
      <c r="D7" s="61">
        <f>[1]март!D7+[1]фев!D7+[1]янв!D7</f>
        <v>500</v>
      </c>
      <c r="E7" s="61">
        <f>[1]март!E7+[1]фев!E7+[1]янв!E7</f>
        <v>0</v>
      </c>
      <c r="F7" s="61">
        <f>[1]март!F7+[1]фев!F7+[1]янв!F7</f>
        <v>0</v>
      </c>
      <c r="G7" s="61">
        <f>[1]март!G7+[1]фев!G7+[1]янв!G7</f>
        <v>2300</v>
      </c>
      <c r="H7" s="61">
        <f>[1]март!H7+[1]фев!H7+[1]янв!H7</f>
        <v>0</v>
      </c>
      <c r="I7" s="61">
        <f>[1]март!J7+[1]фев!J7+[1]янв!J7</f>
        <v>0</v>
      </c>
      <c r="J7" s="61">
        <f>[1]март!K7+[1]фев!K7+[1]янв!K7</f>
        <v>0</v>
      </c>
      <c r="K7" s="61">
        <f>[1]март!L7+[1]фев!L7+[1]янв!L7</f>
        <v>0</v>
      </c>
      <c r="L7" s="61">
        <f>[1]март!M7+[1]фев!M7+[1]янв!M7</f>
        <v>0</v>
      </c>
      <c r="M7" s="61">
        <f>[1]март!N7+[1]фев!N7+[1]янв!N7</f>
        <v>10200</v>
      </c>
      <c r="N7" s="61">
        <f>[1]март!O7+[1]фев!O7+[1]янв!O7</f>
        <v>10200</v>
      </c>
      <c r="O7" s="61">
        <f>[1]март!P7+[1]фев!P7+[1]янв!P7</f>
        <v>0</v>
      </c>
      <c r="P7" s="61"/>
      <c r="Q7" s="61">
        <f>[1]март!Q7+[1]фев!Q7+[1]янв!Q7</f>
        <v>0</v>
      </c>
      <c r="R7" s="61">
        <f>[1]март!R7+[1]фев!R7+[1]янв!R7</f>
        <v>0</v>
      </c>
      <c r="S7" s="59">
        <f>C7+F7+G7+I7+J7+K7+N7+O7++R7+Q7</f>
        <v>13000</v>
      </c>
      <c r="T7" s="68">
        <f>[2]март!S6+[2]фев!S6</f>
        <v>1617916</v>
      </c>
      <c r="U7" s="68">
        <f>T7-S129</f>
        <v>0</v>
      </c>
      <c r="V7" s="69"/>
    </row>
    <row r="8" spans="1:22" s="66" customFormat="1">
      <c r="A8" s="60" t="s">
        <v>86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>
      <c r="A9" s="42" t="s">
        <v>87</v>
      </c>
      <c r="B9" s="3">
        <v>212</v>
      </c>
      <c r="C9" s="3">
        <f t="shared" si="0"/>
        <v>0</v>
      </c>
      <c r="D9" s="61">
        <f>[1]март!D9+[1]фев!D9+[1]янв!D9</f>
        <v>0</v>
      </c>
      <c r="E9" s="61">
        <f>[1]март!E9+[1]фев!E9+[1]янв!E9</f>
        <v>0</v>
      </c>
      <c r="F9" s="61">
        <f>[1]март!F9+[1]фев!F9+[1]янв!F9</f>
        <v>0</v>
      </c>
      <c r="G9" s="61">
        <f>[1]март!G9+[1]фев!G9+[1]янв!G9</f>
        <v>0</v>
      </c>
      <c r="H9" s="61"/>
      <c r="I9" s="61">
        <f>[1]март!J9+[1]фев!J9+[1]янв!J9</f>
        <v>0</v>
      </c>
      <c r="J9" s="61">
        <f>[1]март!K9+[1]фев!K9+[1]янв!K9</f>
        <v>0</v>
      </c>
      <c r="K9" s="61">
        <f>[1]март!L9+[1]фев!L9+[1]янв!L9</f>
        <v>0</v>
      </c>
      <c r="L9" s="61">
        <f>[1]март!M9+[1]фев!M9+[1]янв!M9</f>
        <v>0</v>
      </c>
      <c r="M9" s="61">
        <f>[1]март!N9+[1]фев!N9+[1]янв!N9</f>
        <v>0</v>
      </c>
      <c r="N9" s="61">
        <f>[1]март!O9+[1]фев!O9+[1]янв!O9</f>
        <v>0</v>
      </c>
      <c r="O9" s="61">
        <f>[1]март!P9+[1]фев!P9+[1]янв!P9</f>
        <v>0</v>
      </c>
      <c r="P9" s="61"/>
      <c r="Q9" s="61">
        <f>[1]март!Q9+[1]фев!Q9+[1]янв!Q9</f>
        <v>0</v>
      </c>
      <c r="R9" s="61">
        <f>[1]март!R9+[1]фев!R9+[1]янв!R9</f>
        <v>0</v>
      </c>
      <c r="S9" s="56">
        <f t="shared" si="3"/>
        <v>0</v>
      </c>
      <c r="T9" s="69"/>
      <c r="U9" s="69"/>
      <c r="V9" s="69"/>
    </row>
    <row r="10" spans="1:22" hidden="1">
      <c r="A10" s="42" t="s">
        <v>88</v>
      </c>
      <c r="B10" s="3">
        <v>212</v>
      </c>
      <c r="C10" s="3">
        <f t="shared" si="0"/>
        <v>0</v>
      </c>
      <c r="D10" s="61">
        <f>[1]март!D10+[1]фев!D10+[1]янв!D10</f>
        <v>0</v>
      </c>
      <c r="E10" s="61">
        <f>[1]март!E10+[1]фев!E10+[1]янв!E10</f>
        <v>0</v>
      </c>
      <c r="F10" s="61">
        <f>[1]март!F10+[1]фев!F10+[1]янв!F10</f>
        <v>0</v>
      </c>
      <c r="G10" s="61">
        <f>[1]март!G10+[1]фев!G10+[1]янв!G10</f>
        <v>0</v>
      </c>
      <c r="H10" s="61"/>
      <c r="I10" s="61">
        <f>[1]март!J10+[1]фев!J10+[1]янв!J10</f>
        <v>0</v>
      </c>
      <c r="J10" s="61">
        <f>[1]март!K10+[1]фев!K10+[1]янв!K10</f>
        <v>0</v>
      </c>
      <c r="K10" s="61">
        <f>[1]март!L10+[1]фев!L10+[1]янв!L10</f>
        <v>0</v>
      </c>
      <c r="L10" s="61">
        <f>[1]март!M10+[1]фев!M10+[1]янв!M10</f>
        <v>0</v>
      </c>
      <c r="M10" s="61">
        <f>[1]март!N10+[1]фев!N10+[1]янв!N10</f>
        <v>0</v>
      </c>
      <c r="N10" s="61">
        <f>[1]март!O10+[1]фев!O10+[1]янв!O10</f>
        <v>0</v>
      </c>
      <c r="O10" s="61">
        <f>[1]март!P10+[1]фев!P10+[1]янв!P10</f>
        <v>0</v>
      </c>
      <c r="P10" s="61"/>
      <c r="Q10" s="61">
        <f>[1]март!Q10+[1]фев!Q10+[1]янв!Q10</f>
        <v>0</v>
      </c>
      <c r="R10" s="61">
        <f>[1]март!R10+[1]фев!R10+[1]янв!R10</f>
        <v>0</v>
      </c>
      <c r="S10" s="59">
        <f t="shared" si="3"/>
        <v>0</v>
      </c>
      <c r="T10" s="69"/>
      <c r="U10" s="69"/>
      <c r="V10" s="69"/>
    </row>
    <row r="11" spans="1:22" hidden="1">
      <c r="A11" s="41" t="s">
        <v>89</v>
      </c>
      <c r="B11" s="2">
        <v>213</v>
      </c>
      <c r="C11" s="2">
        <f t="shared" si="0"/>
        <v>770025.48</v>
      </c>
      <c r="D11" s="61">
        <f>[1]март!D11+[1]фев!D11+[1]янв!D11</f>
        <v>770025.48</v>
      </c>
      <c r="E11" s="61">
        <f>[1]март!E11+[1]фев!E11+[1]янв!E11</f>
        <v>0</v>
      </c>
      <c r="F11" s="61">
        <f>[1]март!F11+[1]фев!F11+[1]янв!F11</f>
        <v>0</v>
      </c>
      <c r="G11" s="61">
        <f>[1]март!G11+[1]фев!G11+[1]янв!G11</f>
        <v>80002.45</v>
      </c>
      <c r="H11" s="61"/>
      <c r="I11" s="61">
        <f>[1]март!J11+[1]фев!J11+[1]янв!J11</f>
        <v>0</v>
      </c>
      <c r="J11" s="61">
        <f>[1]март!K11+[1]фев!K11+[1]янв!K11</f>
        <v>99266.1</v>
      </c>
      <c r="K11" s="61">
        <f>[1]март!L11+[1]фев!L11+[1]янв!L11</f>
        <v>84000</v>
      </c>
      <c r="L11" s="61">
        <f>[1]март!M11+[1]фев!M11+[1]янв!M11</f>
        <v>2294498.6800000002</v>
      </c>
      <c r="M11" s="61">
        <f>[1]март!N11+[1]фев!N11+[1]янв!N11</f>
        <v>45480.04</v>
      </c>
      <c r="N11" s="61">
        <f>[1]март!O11+[1]фев!O11+[1]янв!O11</f>
        <v>2339978.7200000002</v>
      </c>
      <c r="O11" s="61">
        <f>[1]март!P11+[1]фев!P11+[1]янв!P11</f>
        <v>1528696</v>
      </c>
      <c r="P11" s="61"/>
      <c r="Q11" s="61">
        <f>[1]март!Q11+[1]фев!Q11+[1]янв!Q11</f>
        <v>0</v>
      </c>
      <c r="R11" s="61">
        <f>[1]март!R11+[1]фев!R11+[1]янв!R11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>
      <c r="A12" s="60" t="s">
        <v>90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>
      <c r="A13" s="42" t="s">
        <v>91</v>
      </c>
      <c r="B13" s="3">
        <v>221</v>
      </c>
      <c r="C13" s="3">
        <f t="shared" si="0"/>
        <v>0</v>
      </c>
      <c r="D13" s="61">
        <f>[1]янв!D13+[1]март!D13</f>
        <v>0</v>
      </c>
      <c r="E13" s="61">
        <f>[1]март!E13+[1]фев!E13+[1]янв!E13</f>
        <v>0</v>
      </c>
      <c r="F13" s="61">
        <f>[1]март!F13+[1]фев!F13+[1]янв!F13</f>
        <v>0</v>
      </c>
      <c r="G13" s="61">
        <f>[1]март!G13+[1]фев!G13+[1]янв!G13</f>
        <v>0</v>
      </c>
      <c r="H13" s="61">
        <f>[1]март!H13+[1]фев!H13+[1]янв!H13</f>
        <v>0</v>
      </c>
      <c r="I13" s="61">
        <f>[1]март!J13+[1]фев!J13+[1]янв!J13</f>
        <v>0</v>
      </c>
      <c r="J13" s="61">
        <f>[1]март!K13+[1]фев!K13+[1]янв!K13</f>
        <v>0</v>
      </c>
      <c r="K13" s="61">
        <f>[1]март!L13+[1]фев!L13+[1]янв!L13</f>
        <v>0</v>
      </c>
      <c r="L13" s="61">
        <f>[1]март!M13+[1]фев!M13+[1]янв!M13</f>
        <v>10500</v>
      </c>
      <c r="M13" s="61">
        <f>[1]март!N13+[1]фев!N13+[1]янв!N13</f>
        <v>20000</v>
      </c>
      <c r="N13" s="61">
        <f>[1]март!O13+[1]фев!O13+[1]янв!O13</f>
        <v>30500</v>
      </c>
      <c r="O13" s="61">
        <f>[1]март!P13+[1]фев!P13+[1]янв!P13</f>
        <v>0</v>
      </c>
      <c r="P13" s="61"/>
      <c r="Q13" s="61">
        <f>[1]март!Q13+[1]фев!Q13+[1]янв!Q13</f>
        <v>0</v>
      </c>
      <c r="R13" s="61">
        <f>[1]март!R13+[1]фев!R13+[1]янв!R13</f>
        <v>0</v>
      </c>
      <c r="S13" s="59">
        <f>C13+F13+G13+I13+J13+K13+N13+O13++R13+Q13+H13</f>
        <v>30500</v>
      </c>
      <c r="T13" s="69">
        <f>[2]март!S12+[2]фев!S12+[2]янв!S12</f>
        <v>153740.75</v>
      </c>
      <c r="U13" s="69"/>
      <c r="V13" s="69"/>
    </row>
    <row r="14" spans="1:22" hidden="1">
      <c r="A14" s="183" t="s">
        <v>374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[1]фев!M14+[1]янв!M14</f>
        <v>0</v>
      </c>
      <c r="M14" s="61">
        <f>[1]фев!N14+[1]янв!N14</f>
        <v>0</v>
      </c>
      <c r="N14" s="61">
        <f>[1]фев!O14+[1]янв!O14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>
      <c r="A15" s="60" t="s">
        <v>92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[2]март!S13+[2]фев!S14+[2]янв!S14</f>
        <v>10900</v>
      </c>
    </row>
    <row r="16" spans="1:22">
      <c r="A16" s="42" t="s">
        <v>93</v>
      </c>
      <c r="B16" s="3">
        <v>222</v>
      </c>
      <c r="C16" s="3">
        <f t="shared" si="0"/>
        <v>0</v>
      </c>
      <c r="D16" s="61">
        <f>[1]март!D15+[1]фев!D16+[1]янв!D16</f>
        <v>0</v>
      </c>
      <c r="E16" s="61">
        <f>[1]март!E15+[1]фев!E16+[1]янв!E16</f>
        <v>0</v>
      </c>
      <c r="F16" s="61">
        <f>[1]март!F15+[1]фев!F16+[1]янв!F16</f>
        <v>0</v>
      </c>
      <c r="G16" s="61">
        <f>[1]март!G15+[1]фев!G16+[1]янв!G16</f>
        <v>0</v>
      </c>
      <c r="H16" s="61"/>
      <c r="I16" s="61">
        <f>[1]март!J15+[1]фев!J16+[1]янв!J16</f>
        <v>0</v>
      </c>
      <c r="J16" s="61">
        <f>[1]март!K15+[1]фев!K16+[1]янв!K16</f>
        <v>0</v>
      </c>
      <c r="K16" s="61">
        <f>[1]март!L15+[1]фев!L16+[1]янв!L16</f>
        <v>0</v>
      </c>
      <c r="L16" s="61">
        <f>[1]март!M15+[1]фев!M16+[1]янв!M16</f>
        <v>0</v>
      </c>
      <c r="M16" s="61">
        <f>[1]март!N15+[1]фев!N16+[1]янв!N16</f>
        <v>20000</v>
      </c>
      <c r="N16" s="61">
        <f>[1]март!O15+[1]фев!O16+[1]янв!O16</f>
        <v>20000</v>
      </c>
      <c r="O16" s="61">
        <f>[1]март!P15+[1]фев!P16+[1]янв!P16</f>
        <v>0</v>
      </c>
      <c r="P16" s="61"/>
      <c r="Q16" s="61">
        <f>[1]март!Q15+[1]фев!Q16+[1]янв!Q16</f>
        <v>0</v>
      </c>
      <c r="R16" s="61">
        <f>[1]март!R15+[1]фев!R16+[1]янв!R16</f>
        <v>0</v>
      </c>
      <c r="S16" s="56">
        <f t="shared" si="3"/>
        <v>20000</v>
      </c>
      <c r="T16" s="69"/>
      <c r="U16" s="69"/>
      <c r="V16" s="69"/>
    </row>
    <row r="17" spans="1:22">
      <c r="A17" s="42" t="s">
        <v>94</v>
      </c>
      <c r="B17" s="3">
        <v>222</v>
      </c>
      <c r="C17" s="3">
        <f t="shared" si="0"/>
        <v>443089</v>
      </c>
      <c r="D17" s="61">
        <f>[1]март!D16+[1]фев!D17+[1]янв!D17</f>
        <v>443089</v>
      </c>
      <c r="E17" s="61">
        <f>[1]март!E16+[1]фев!E17+[1]янв!E17</f>
        <v>0</v>
      </c>
      <c r="F17" s="61">
        <f>[1]март!F16+[1]фев!F17+[1]янв!F17</f>
        <v>0</v>
      </c>
      <c r="G17" s="61">
        <f>[1]март!G16+[1]фев!G17+[1]янв!G17</f>
        <v>0</v>
      </c>
      <c r="H17" s="61"/>
      <c r="I17" s="61">
        <f>[1]март!J16+[1]фев!J17+[1]янв!J17</f>
        <v>0</v>
      </c>
      <c r="J17" s="61">
        <f>[1]март!K16+[1]фев!K17+[1]янв!K17</f>
        <v>0</v>
      </c>
      <c r="K17" s="61">
        <f>[1]март!L16+[1]фев!L17+[1]янв!L17</f>
        <v>0</v>
      </c>
      <c r="L17" s="61">
        <f>[1]март!M16+[1]фев!M17+[1]янв!M17</f>
        <v>1749071.88</v>
      </c>
      <c r="M17" s="61">
        <f>[1]март!N16+[1]фев!N17+[1]янв!N17</f>
        <v>0</v>
      </c>
      <c r="N17" s="61">
        <f>[1]март!O16+[1]фев!O17+[1]янв!O17</f>
        <v>1749071.88</v>
      </c>
      <c r="O17" s="61">
        <f>[1]март!P16+[1]фев!P17+[1]янв!P17</f>
        <v>1517281</v>
      </c>
      <c r="P17" s="61"/>
      <c r="Q17" s="61">
        <f>[1]март!Q16+[1]фев!Q17+[1]янв!Q17</f>
        <v>0</v>
      </c>
      <c r="R17" s="61">
        <f>[1]март!R16+[1]фев!R17+[1]янв!R17</f>
        <v>0</v>
      </c>
      <c r="S17" s="56">
        <f t="shared" si="3"/>
        <v>3709441.88</v>
      </c>
      <c r="T17" s="69"/>
      <c r="U17" s="69"/>
      <c r="V17" s="69"/>
    </row>
    <row r="18" spans="1:22" s="66" customFormat="1">
      <c r="A18" s="60" t="s">
        <v>95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[2]март!S16+[2]фев!S17+[2]янв!S17</f>
        <v>2949543.2199999997</v>
      </c>
    </row>
    <row r="19" spans="1:22">
      <c r="A19" s="42" t="s">
        <v>96</v>
      </c>
      <c r="B19" s="3">
        <v>223</v>
      </c>
      <c r="C19" s="3">
        <f t="shared" si="0"/>
        <v>194967</v>
      </c>
      <c r="D19" s="61">
        <f>[1]март!D18+[1]фев!D19+[1]янв!D19</f>
        <v>194967</v>
      </c>
      <c r="E19" s="61">
        <f>[1]март!E18+[1]фев!E19+[1]янв!E19</f>
        <v>0</v>
      </c>
      <c r="F19" s="61">
        <f>[1]март!F18+[1]фев!F19+[1]янв!F19</f>
        <v>0</v>
      </c>
      <c r="G19" s="61">
        <f>[1]март!G18+[1]фев!G19+[1]янв!G19</f>
        <v>0</v>
      </c>
      <c r="H19" s="61"/>
      <c r="I19" s="61">
        <f>[1]март!J18+[1]фев!J19+[1]янв!J19</f>
        <v>0</v>
      </c>
      <c r="J19" s="61">
        <f>[1]март!K18+[1]фев!K19+[1]янв!K19</f>
        <v>0</v>
      </c>
      <c r="K19" s="61">
        <f>[1]март!L18+[1]фев!L19+[1]янв!L19</f>
        <v>0</v>
      </c>
      <c r="L19" s="61">
        <f>[1]март!M18+[1]фев!M19+[1]янв!M19</f>
        <v>1489084.88</v>
      </c>
      <c r="M19" s="61">
        <f>[1]март!N18+[1]фев!N19+[1]янв!N19</f>
        <v>0</v>
      </c>
      <c r="N19" s="61">
        <f>[1]март!O18+[1]фев!O19+[1]янв!O19</f>
        <v>1489084.88</v>
      </c>
      <c r="O19" s="61">
        <f>[1]март!P18+[1]фев!P19+[1]янв!P19</f>
        <v>121211</v>
      </c>
      <c r="P19" s="61"/>
      <c r="Q19" s="61">
        <f>[1]март!Q18+[1]фев!Q19+[1]янв!Q19</f>
        <v>0</v>
      </c>
      <c r="R19" s="61">
        <f>[1]март!R18+[1]фев!R19+[1]янв!R19</f>
        <v>0</v>
      </c>
      <c r="S19" s="56">
        <f t="shared" si="3"/>
        <v>1805262.88</v>
      </c>
      <c r="T19" s="69"/>
      <c r="U19" s="69"/>
      <c r="V19" s="69"/>
    </row>
    <row r="20" spans="1:22">
      <c r="A20" s="42" t="s">
        <v>97</v>
      </c>
      <c r="B20" s="3">
        <v>223</v>
      </c>
      <c r="C20" s="3">
        <f t="shared" si="0"/>
        <v>8370</v>
      </c>
      <c r="D20" s="61">
        <f>[1]март!D19+[1]фев!D20+[1]янв!D20</f>
        <v>8370</v>
      </c>
      <c r="E20" s="61">
        <f>[1]март!E19+[1]фев!E20+[1]янв!E20</f>
        <v>0</v>
      </c>
      <c r="F20" s="61">
        <f>[1]март!F19+[1]фев!F20+[1]янв!F20</f>
        <v>0</v>
      </c>
      <c r="G20" s="61">
        <f>[1]март!G19+[1]фев!G20+[1]янв!G20</f>
        <v>0</v>
      </c>
      <c r="H20" s="61"/>
      <c r="I20" s="61">
        <f>[1]март!J19+[1]фев!J20+[1]янв!J20</f>
        <v>0</v>
      </c>
      <c r="J20" s="61">
        <f>[1]март!K19+[1]фев!K20+[1]янв!K20</f>
        <v>0</v>
      </c>
      <c r="K20" s="61">
        <f>[1]март!L19+[1]фев!L20+[1]янв!L20</f>
        <v>0</v>
      </c>
      <c r="L20" s="61">
        <f>[1]март!M19+[1]фев!M20+[1]янв!M20</f>
        <v>259987</v>
      </c>
      <c r="M20" s="61">
        <f>[1]март!N19+[1]фев!N20+[1]янв!N20</f>
        <v>0</v>
      </c>
      <c r="N20" s="61">
        <f>[1]март!O19+[1]фев!O20+[1]янв!O20</f>
        <v>259987</v>
      </c>
      <c r="O20" s="61">
        <f>[1]март!P19+[1]фев!P20+[1]янв!P20</f>
        <v>16828</v>
      </c>
      <c r="P20" s="61"/>
      <c r="Q20" s="61">
        <f>[1]март!Q19+[1]фев!Q20+[1]янв!Q20</f>
        <v>0</v>
      </c>
      <c r="R20" s="61">
        <f>[1]март!R19+[1]фев!R20+[1]янв!R20</f>
        <v>0</v>
      </c>
      <c r="S20" s="56">
        <f t="shared" si="3"/>
        <v>285185</v>
      </c>
      <c r="T20" s="69"/>
      <c r="U20" s="69"/>
      <c r="V20" s="69"/>
    </row>
    <row r="21" spans="1:22">
      <c r="A21" s="14" t="s">
        <v>98</v>
      </c>
      <c r="B21" s="3">
        <v>223</v>
      </c>
      <c r="C21" s="3">
        <f t="shared" si="0"/>
        <v>0</v>
      </c>
      <c r="D21" s="61">
        <f>[1]март!D20+[1]фев!D21+[1]янв!D21</f>
        <v>0</v>
      </c>
      <c r="E21" s="61">
        <f>[1]март!E20+[1]фев!E21+[1]янв!E21</f>
        <v>0</v>
      </c>
      <c r="F21" s="61">
        <f>[1]март!F20+[1]фев!F21+[1]янв!F21</f>
        <v>0</v>
      </c>
      <c r="G21" s="61">
        <f>[1]март!G20+[1]фев!G21+[1]янв!G21</f>
        <v>0</v>
      </c>
      <c r="H21" s="61"/>
      <c r="I21" s="61">
        <f>[1]март!J20+[1]фев!J21+[1]янв!J21</f>
        <v>0</v>
      </c>
      <c r="J21" s="61">
        <f>[1]март!K20+[1]фев!K21+[1]янв!K21</f>
        <v>0</v>
      </c>
      <c r="K21" s="61">
        <f>[1]март!L20+[1]фев!L21+[1]янв!L21</f>
        <v>0</v>
      </c>
      <c r="L21" s="61">
        <f>[1]март!M20+[1]фев!M21+[1]янв!M21</f>
        <v>0</v>
      </c>
      <c r="M21" s="61">
        <f>[1]март!N20+[1]фев!N21+[1]янв!N21</f>
        <v>0</v>
      </c>
      <c r="N21" s="61">
        <f>[1]март!O20+[1]фев!O21+[1]янв!O21</f>
        <v>0</v>
      </c>
      <c r="O21" s="61">
        <f>[1]март!P20+[1]фев!P21+[1]янв!P21</f>
        <v>0</v>
      </c>
      <c r="P21" s="61"/>
      <c r="Q21" s="61">
        <f>[1]март!Q20+[1]фев!Q21+[1]янв!Q21</f>
        <v>0</v>
      </c>
      <c r="R21" s="61">
        <f>[1]март!R20+[1]фев!R21+[1]янв!R21</f>
        <v>0</v>
      </c>
      <c r="S21" s="56">
        <f t="shared" si="3"/>
        <v>0</v>
      </c>
      <c r="T21" s="69"/>
      <c r="U21" s="69"/>
      <c r="V21" s="69"/>
    </row>
    <row r="22" spans="1:22" hidden="1">
      <c r="A22" s="44" t="s">
        <v>152</v>
      </c>
      <c r="B22" s="3">
        <v>224</v>
      </c>
      <c r="C22" s="3">
        <f t="shared" si="0"/>
        <v>1896</v>
      </c>
      <c r="D22" s="61">
        <f>[1]март!D21+[1]фев!D22+[1]янв!D22</f>
        <v>1896</v>
      </c>
      <c r="E22" s="61">
        <f>[1]март!E21+[1]фев!E22+[1]янв!E22</f>
        <v>0</v>
      </c>
      <c r="F22" s="61">
        <f>[1]март!F21+[1]фев!F22+[1]янв!F22</f>
        <v>0</v>
      </c>
      <c r="G22" s="61">
        <f>[1]март!G21+[1]фев!G22+[1]янв!G22</f>
        <v>700</v>
      </c>
      <c r="H22" s="61"/>
      <c r="I22" s="61">
        <f>[1]март!J21+[1]фев!J22+[1]янв!J22</f>
        <v>0</v>
      </c>
      <c r="J22" s="61">
        <f>[1]март!K21+[1]фев!K22+[1]янв!K22</f>
        <v>1200</v>
      </c>
      <c r="K22" s="61">
        <f>[1]март!L21+[1]фев!L22+[1]янв!L22</f>
        <v>0</v>
      </c>
      <c r="L22" s="61">
        <f>[1]март!M21+[1]фев!M22+[1]янв!M22</f>
        <v>151839</v>
      </c>
      <c r="M22" s="61">
        <f>[1]март!N21+[1]фев!N22+[1]янв!N22</f>
        <v>0</v>
      </c>
      <c r="N22" s="61">
        <f>[1]март!O21+[1]фев!O22+[1]янв!O22</f>
        <v>151839</v>
      </c>
      <c r="O22" s="61">
        <f>[1]март!P21+[1]фев!P22+[1]янв!P22</f>
        <v>11415</v>
      </c>
      <c r="P22" s="61"/>
      <c r="Q22" s="61">
        <f>[1]март!Q21+[1]фев!Q22+[1]янв!Q22</f>
        <v>0</v>
      </c>
      <c r="R22" s="61">
        <f>[1]март!R21+[1]фев!R22+[1]янв!R22</f>
        <v>3600</v>
      </c>
      <c r="S22" s="59">
        <f t="shared" si="3"/>
        <v>170650</v>
      </c>
      <c r="T22" s="69"/>
      <c r="U22" s="69"/>
      <c r="V22" s="69"/>
    </row>
    <row r="23" spans="1:22" s="66" customFormat="1">
      <c r="A23" s="62" t="s">
        <v>99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[2]март!S21+[2]фев!S22+[2]янв!S22</f>
        <v>159672.85999999999</v>
      </c>
      <c r="U23" s="66">
        <f>T23-S145</f>
        <v>400</v>
      </c>
    </row>
    <row r="24" spans="1:22" hidden="1">
      <c r="A24" s="44" t="s">
        <v>100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56">
        <f t="shared" si="3"/>
        <v>9140</v>
      </c>
    </row>
    <row r="25" spans="1:22" ht="12" customHeight="1">
      <c r="A25" s="44" t="s">
        <v>101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56">
        <f t="shared" si="3"/>
        <v>700</v>
      </c>
    </row>
    <row r="26" spans="1:22">
      <c r="A26" s="184" t="s">
        <v>259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56">
        <f t="shared" si="3"/>
        <v>0</v>
      </c>
    </row>
    <row r="27" spans="1:22" hidden="1">
      <c r="A27" s="184" t="s">
        <v>274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56">
        <f t="shared" si="3"/>
        <v>0</v>
      </c>
    </row>
    <row r="28" spans="1:22" hidden="1">
      <c r="A28" s="50" t="s">
        <v>156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>
      <c r="A29" s="44" t="s">
        <v>259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56">
        <f t="shared" si="3"/>
        <v>0</v>
      </c>
    </row>
    <row r="30" spans="1:22" ht="13.8">
      <c r="A30" s="51" t="s">
        <v>375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56">
        <f t="shared" si="3"/>
        <v>53600</v>
      </c>
    </row>
    <row r="31" spans="1:22" ht="14.25" customHeight="1">
      <c r="A31" s="42" t="s">
        <v>260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56">
        <f>C31+F31+G31+I31+J31+K31+N31+O31++R31+Q31+H31</f>
        <v>1200</v>
      </c>
    </row>
    <row r="32" spans="1:22" ht="13.5" hidden="1" customHeight="1">
      <c r="A32" s="184" t="s">
        <v>376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56">
        <f t="shared" si="3"/>
        <v>0</v>
      </c>
    </row>
    <row r="33" spans="1:21">
      <c r="A33" s="44" t="s">
        <v>213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56">
        <f>C33+F33+G33+I33+J33+K33+N33+O33++R33+Q33+H33</f>
        <v>946715.28</v>
      </c>
    </row>
    <row r="34" spans="1:21" s="66" customFormat="1">
      <c r="A34" s="60" t="s">
        <v>102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[2]март!S29+[2]фев!S31+[2]янв!S30</f>
        <v>996288.31</v>
      </c>
      <c r="U34" s="67">
        <f>T34-S156</f>
        <v>3056.7199999999721</v>
      </c>
    </row>
    <row r="35" spans="1:21" ht="14.25" customHeight="1">
      <c r="A35" s="42" t="s">
        <v>103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56">
        <f t="shared" si="3"/>
        <v>127345</v>
      </c>
    </row>
    <row r="36" spans="1:21">
      <c r="A36" s="42" t="s">
        <v>153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56">
        <f t="shared" si="3"/>
        <v>0</v>
      </c>
    </row>
    <row r="37" spans="1:21" hidden="1">
      <c r="A37" s="42" t="s">
        <v>261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56">
        <f t="shared" si="3"/>
        <v>34500</v>
      </c>
    </row>
    <row r="38" spans="1:21" hidden="1">
      <c r="A38" s="42" t="s">
        <v>262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56">
        <f t="shared" si="3"/>
        <v>0</v>
      </c>
    </row>
    <row r="39" spans="1:21" hidden="1">
      <c r="A39" s="42" t="s">
        <v>104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56">
        <f t="shared" si="3"/>
        <v>0</v>
      </c>
    </row>
    <row r="40" spans="1:21" hidden="1">
      <c r="A40" s="42" t="s">
        <v>105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56">
        <f t="shared" si="3"/>
        <v>14000</v>
      </c>
    </row>
    <row r="41" spans="1:21">
      <c r="A41" s="42" t="s">
        <v>214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56">
        <f t="shared" si="3"/>
        <v>0</v>
      </c>
    </row>
    <row r="42" spans="1:21" hidden="1">
      <c r="A42" s="183" t="s">
        <v>275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56">
        <f t="shared" si="3"/>
        <v>0</v>
      </c>
    </row>
    <row r="43" spans="1:21">
      <c r="A43" s="183" t="s">
        <v>396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56">
        <f t="shared" si="3"/>
        <v>323368</v>
      </c>
    </row>
    <row r="44" spans="1:21">
      <c r="A44" s="42" t="s">
        <v>107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56">
        <f>C44+F44+G44+I44+J44+K44+N44+O44++R44+Q44+H44</f>
        <v>0</v>
      </c>
      <c r="T44" s="1">
        <f>[2]март!S54+[2]фев!S56+[2]янв!S55</f>
        <v>259040</v>
      </c>
    </row>
    <row r="45" spans="1:21">
      <c r="A45" s="42" t="s">
        <v>397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56">
        <f t="shared" si="3"/>
        <v>0</v>
      </c>
    </row>
    <row r="46" spans="1:21">
      <c r="A46" s="42" t="s">
        <v>106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56">
        <f t="shared" si="3"/>
        <v>0</v>
      </c>
    </row>
    <row r="47" spans="1:21" hidden="1">
      <c r="A47" s="183" t="s">
        <v>377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56">
        <f t="shared" si="3"/>
        <v>0</v>
      </c>
    </row>
    <row r="48" spans="1:21">
      <c r="A48" s="42" t="s">
        <v>378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56">
        <f t="shared" si="3"/>
        <v>900</v>
      </c>
    </row>
    <row r="49" spans="1:19" hidden="1">
      <c r="A49" s="183" t="s">
        <v>276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56">
        <f t="shared" si="3"/>
        <v>0</v>
      </c>
    </row>
    <row r="50" spans="1:19">
      <c r="A50" s="42" t="s">
        <v>108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56">
        <f t="shared" si="3"/>
        <v>84000</v>
      </c>
    </row>
    <row r="51" spans="1:19" hidden="1">
      <c r="A51" s="42" t="s">
        <v>263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56">
        <f t="shared" si="3"/>
        <v>0</v>
      </c>
    </row>
    <row r="52" spans="1:19" hidden="1">
      <c r="A52" s="42" t="s">
        <v>264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56">
        <f t="shared" si="3"/>
        <v>0</v>
      </c>
    </row>
    <row r="53" spans="1:19" hidden="1">
      <c r="A53" s="42" t="s">
        <v>154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56">
        <f t="shared" si="3"/>
        <v>0</v>
      </c>
    </row>
    <row r="54" spans="1:19" hidden="1">
      <c r="A54" s="42" t="s">
        <v>215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56">
        <f t="shared" si="3"/>
        <v>0</v>
      </c>
    </row>
    <row r="55" spans="1:19" hidden="1">
      <c r="A55" s="42" t="s">
        <v>109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>
      <c r="A56" s="42" t="s">
        <v>473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>
      <c r="A57" s="42" t="s">
        <v>156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56">
        <f t="shared" si="3"/>
        <v>0</v>
      </c>
    </row>
    <row r="58" spans="1:19" hidden="1">
      <c r="A58" s="42" t="s">
        <v>110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>
      <c r="A59" s="183" t="s">
        <v>379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56">
        <f t="shared" si="3"/>
        <v>0</v>
      </c>
    </row>
    <row r="60" spans="1:19" hidden="1">
      <c r="A60" s="42" t="s">
        <v>157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56">
        <f t="shared" si="3"/>
        <v>0</v>
      </c>
    </row>
    <row r="61" spans="1:19" hidden="1">
      <c r="A61" s="42" t="s">
        <v>216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56">
        <f t="shared" si="3"/>
        <v>0</v>
      </c>
    </row>
    <row r="62" spans="1:19">
      <c r="A62" s="183" t="s">
        <v>380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56">
        <f t="shared" si="3"/>
        <v>0</v>
      </c>
    </row>
    <row r="63" spans="1:19" hidden="1">
      <c r="A63" s="183" t="s">
        <v>277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56">
        <f t="shared" si="3"/>
        <v>0</v>
      </c>
    </row>
    <row r="64" spans="1:19" hidden="1">
      <c r="A64" s="42" t="s">
        <v>217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56">
        <f t="shared" si="3"/>
        <v>0</v>
      </c>
    </row>
    <row r="65" spans="1:20">
      <c r="A65" s="42" t="s">
        <v>265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56">
        <f t="shared" si="3"/>
        <v>0</v>
      </c>
    </row>
    <row r="66" spans="1:20" hidden="1">
      <c r="A66" s="42" t="s">
        <v>218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56">
        <f t="shared" si="3"/>
        <v>0</v>
      </c>
    </row>
    <row r="67" spans="1:20" hidden="1">
      <c r="A67" s="14" t="s">
        <v>235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56">
        <f t="shared" si="3"/>
        <v>0</v>
      </c>
    </row>
    <row r="68" spans="1:20" hidden="1">
      <c r="A68" s="42" t="s">
        <v>219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56">
        <f t="shared" si="3"/>
        <v>0</v>
      </c>
    </row>
    <row r="69" spans="1:20" hidden="1">
      <c r="A69" s="185" t="s">
        <v>278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9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56">
        <f>C70+F70+G70+I70+J70+K70+N70+O70++R70+Q70</f>
        <v>13100</v>
      </c>
    </row>
    <row r="71" spans="1:20" s="66" customFormat="1">
      <c r="A71" s="60" t="s">
        <v>111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>
      <c r="A72" s="42" t="s">
        <v>112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9">
        <f t="shared" ref="S72:S97" si="9">C72+F72+G72+I72+J72+K72+N72+O72++R72+Q72</f>
        <v>0</v>
      </c>
    </row>
    <row r="73" spans="1:20" hidden="1">
      <c r="A73" s="42" t="s">
        <v>158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>
      <c r="A74" s="42" t="s">
        <v>113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56">
        <f t="shared" si="9"/>
        <v>61850</v>
      </c>
    </row>
    <row r="75" spans="1:20" ht="15.75" customHeight="1">
      <c r="A75" s="42" t="s">
        <v>101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>
      <c r="A76" s="45" t="s">
        <v>398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>
      <c r="A77" s="45" t="s">
        <v>114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>
      <c r="A78" s="7" t="s">
        <v>116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9" t="e">
        <f t="shared" si="9"/>
        <v>#REF!</v>
      </c>
    </row>
    <row r="79" spans="1:20" hidden="1">
      <c r="A79" s="7" t="s">
        <v>117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[2]март!S85+[2]фев!S86+[2]янв!S83</f>
        <v>0</v>
      </c>
    </row>
    <row r="80" spans="1:20" hidden="1">
      <c r="A80" s="44" t="s">
        <v>118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9">
        <f t="shared" si="9"/>
        <v>0</v>
      </c>
    </row>
    <row r="81" spans="1:21" hidden="1">
      <c r="A81" s="7" t="s">
        <v>266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56">
        <f t="shared" si="9"/>
        <v>0</v>
      </c>
    </row>
    <row r="82" spans="1:21" hidden="1">
      <c r="A82" s="44" t="s">
        <v>267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56">
        <f t="shared" si="9"/>
        <v>0</v>
      </c>
    </row>
    <row r="83" spans="1:21" hidden="1">
      <c r="A83" s="44" t="s">
        <v>119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9">
        <f t="shared" si="9"/>
        <v>533537.33000000007</v>
      </c>
    </row>
    <row r="84" spans="1:21" s="66" customFormat="1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[2]март!S91+[2]фев!S92+[2]янв!S88</f>
        <v>523926</v>
      </c>
      <c r="U84" s="66">
        <f>T84-S206</f>
        <v>34000</v>
      </c>
    </row>
    <row r="85" spans="1:21">
      <c r="A85" s="42" t="s">
        <v>120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56">
        <f t="shared" si="9"/>
        <v>18244</v>
      </c>
    </row>
    <row r="86" spans="1:21">
      <c r="A86" s="42" t="s">
        <v>121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56">
        <f t="shared" si="9"/>
        <v>0</v>
      </c>
    </row>
    <row r="87" spans="1:21">
      <c r="A87" s="42" t="s">
        <v>122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56">
        <f t="shared" si="9"/>
        <v>0</v>
      </c>
    </row>
    <row r="88" spans="1:21">
      <c r="A88" s="42" t="s">
        <v>268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56">
        <f t="shared" si="9"/>
        <v>0</v>
      </c>
    </row>
    <row r="89" spans="1:21" hidden="1">
      <c r="A89" s="42" t="s">
        <v>236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56">
        <f t="shared" si="9"/>
        <v>0</v>
      </c>
    </row>
    <row r="90" spans="1:21" hidden="1">
      <c r="A90" s="42" t="s">
        <v>220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56">
        <f t="shared" si="9"/>
        <v>0</v>
      </c>
    </row>
    <row r="91" spans="1:21" hidden="1">
      <c r="A91" s="42" t="s">
        <v>224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56">
        <f t="shared" si="9"/>
        <v>0</v>
      </c>
    </row>
    <row r="92" spans="1:21" ht="13.5" hidden="1" customHeight="1">
      <c r="A92" s="42" t="s">
        <v>237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56">
        <f t="shared" si="9"/>
        <v>0</v>
      </c>
    </row>
    <row r="93" spans="1:21" hidden="1">
      <c r="A93" s="42" t="s">
        <v>123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56">
        <f t="shared" si="9"/>
        <v>0</v>
      </c>
    </row>
    <row r="94" spans="1:21">
      <c r="A94" s="42" t="s">
        <v>124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56">
        <f t="shared" si="9"/>
        <v>0</v>
      </c>
    </row>
    <row r="95" spans="1:21">
      <c r="A95" s="42" t="s">
        <v>399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56">
        <f>C95+F95+G95+I95+J95+K95+N95+O95++R95+Q95</f>
        <v>213000</v>
      </c>
    </row>
    <row r="96" spans="1:21" hidden="1">
      <c r="A96" s="53" t="s">
        <v>279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56">
        <f t="shared" si="9"/>
        <v>0</v>
      </c>
    </row>
    <row r="97" spans="1:21">
      <c r="A97" s="41" t="s">
        <v>474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56">
        <f t="shared" si="9"/>
        <v>17200</v>
      </c>
    </row>
    <row r="98" spans="1:21" hidden="1">
      <c r="A98" s="41" t="s">
        <v>221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56">
        <f>C98+F98+G98+I98+J98+K98+N98+O98++R98+Q98+H98</f>
        <v>0</v>
      </c>
    </row>
    <row r="99" spans="1:21">
      <c r="A99" s="42" t="s">
        <v>159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56">
        <f>C99+F99+G99+I99+J99+K99+N99+O99++R99+Q99</f>
        <v>0</v>
      </c>
    </row>
    <row r="100" spans="1:21">
      <c r="A100" s="53" t="s">
        <v>381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9">
        <f>C100+F100+G100+I100+J100+K100+N100+O100++R100+Q100</f>
        <v>684052</v>
      </c>
    </row>
    <row r="101" spans="1:21" s="66" customFormat="1" ht="14.25" customHeight="1">
      <c r="A101" s="60" t="s">
        <v>125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[2]март!S106+[2]фев!S109+[2]янв!S102</f>
        <v>734610</v>
      </c>
      <c r="U101" s="66">
        <f>T101-S223</f>
        <v>0</v>
      </c>
    </row>
    <row r="102" spans="1:21">
      <c r="A102" s="42" t="s">
        <v>126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56">
        <f t="shared" ref="S102:S107" si="13">C102+F102+G102+I102+J102+K102+N102+O102++R102+Q102</f>
        <v>260000</v>
      </c>
    </row>
    <row r="103" spans="1:21">
      <c r="A103" s="42" t="s">
        <v>127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56">
        <f t="shared" si="13"/>
        <v>41500</v>
      </c>
    </row>
    <row r="104" spans="1:21">
      <c r="A104" s="42" t="s">
        <v>128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56">
        <f t="shared" si="13"/>
        <v>93000</v>
      </c>
    </row>
    <row r="105" spans="1:21">
      <c r="A105" s="42" t="s">
        <v>129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56">
        <f t="shared" si="13"/>
        <v>5140</v>
      </c>
    </row>
    <row r="106" spans="1:21">
      <c r="A106" s="42" t="s">
        <v>281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56">
        <f t="shared" si="13"/>
        <v>16361</v>
      </c>
    </row>
    <row r="107" spans="1:21">
      <c r="A107" s="42" t="s">
        <v>130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56">
        <f t="shared" si="13"/>
        <v>0</v>
      </c>
    </row>
    <row r="108" spans="1:21" hidden="1">
      <c r="A108" s="42" t="s">
        <v>269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56">
        <f t="shared" ref="S108:S117" si="15">C108+F108+G108+I108+J108+K108+N108+O108++R108+Q108+H108</f>
        <v>234579</v>
      </c>
    </row>
    <row r="109" spans="1:21">
      <c r="A109" s="42" t="s">
        <v>131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56">
        <f t="shared" si="15"/>
        <v>0</v>
      </c>
    </row>
    <row r="110" spans="1:21">
      <c r="A110" s="42" t="s">
        <v>132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56">
        <f t="shared" si="15"/>
        <v>0</v>
      </c>
    </row>
    <row r="111" spans="1:21" hidden="1">
      <c r="A111" s="42" t="s">
        <v>159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56">
        <f t="shared" si="15"/>
        <v>0</v>
      </c>
    </row>
    <row r="112" spans="1:21" hidden="1">
      <c r="A112" s="183" t="s">
        <v>382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56">
        <f t="shared" si="15"/>
        <v>0</v>
      </c>
    </row>
    <row r="113" spans="1:21" hidden="1">
      <c r="A113" s="183" t="s">
        <v>475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56">
        <f t="shared" si="15"/>
        <v>0</v>
      </c>
    </row>
    <row r="114" spans="1:21">
      <c r="A114" s="42" t="s">
        <v>133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56">
        <f t="shared" si="15"/>
        <v>0</v>
      </c>
    </row>
    <row r="115" spans="1:21" hidden="1">
      <c r="A115" s="42" t="s">
        <v>160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9">
        <f t="shared" si="15"/>
        <v>0</v>
      </c>
    </row>
    <row r="116" spans="1:21" hidden="1">
      <c r="A116" s="42" t="s">
        <v>134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9">
        <f t="shared" si="15"/>
        <v>0</v>
      </c>
    </row>
    <row r="117" spans="1:21" hidden="1">
      <c r="A117" s="42" t="s">
        <v>135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>
      <c r="A118" s="63" t="s">
        <v>136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[2]март!S129</f>
        <v>7587739.1400000006</v>
      </c>
      <c r="U118" s="67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8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8" thickBot="1">
      <c r="A122" s="11"/>
      <c r="D122" s="4"/>
      <c r="G122" s="17"/>
      <c r="H122" s="17"/>
      <c r="I122" s="17"/>
      <c r="J122" s="46"/>
      <c r="L122" s="19"/>
      <c r="O122" s="640" t="s">
        <v>270</v>
      </c>
      <c r="P122" s="641"/>
      <c r="Q122" s="641"/>
      <c r="R122" s="642"/>
      <c r="S122" s="12" t="e">
        <f>S118</f>
        <v>#REF!</v>
      </c>
    </row>
    <row r="123" spans="1:21" ht="13.8" thickBot="1">
      <c r="A123" s="11"/>
      <c r="O123" s="640" t="s">
        <v>476</v>
      </c>
      <c r="P123" s="641"/>
      <c r="Q123" s="641"/>
      <c r="R123" s="642"/>
      <c r="S123" s="12" t="e">
        <f>N2+S2-S118</f>
        <v>#REF!</v>
      </c>
    </row>
    <row r="124" spans="1:21" ht="14.4">
      <c r="A124" s="650" t="s">
        <v>395</v>
      </c>
      <c r="B124" s="650"/>
      <c r="C124" s="650"/>
      <c r="D124" s="650"/>
      <c r="E124" s="650"/>
      <c r="F124" s="650"/>
      <c r="G124" s="650"/>
      <c r="H124" s="650"/>
      <c r="I124" s="43"/>
      <c r="J124" s="43"/>
      <c r="K124" s="651" t="s">
        <v>239</v>
      </c>
      <c r="L124" s="651"/>
      <c r="M124" s="651"/>
      <c r="N124" s="652">
        <v>69654.48</v>
      </c>
      <c r="O124" s="652"/>
      <c r="P124" s="135"/>
      <c r="Q124" s="651" t="s">
        <v>256</v>
      </c>
      <c r="R124" s="651"/>
      <c r="S124" s="136">
        <v>8066595.2999999998</v>
      </c>
    </row>
    <row r="125" spans="1:21">
      <c r="A125" s="638" t="s">
        <v>73</v>
      </c>
      <c r="B125" s="638" t="s">
        <v>74</v>
      </c>
      <c r="C125" s="638" t="s">
        <v>232</v>
      </c>
      <c r="D125" s="648" t="s">
        <v>75</v>
      </c>
      <c r="E125" s="649"/>
      <c r="F125" s="638" t="s">
        <v>115</v>
      </c>
      <c r="G125" s="638" t="s">
        <v>257</v>
      </c>
      <c r="H125" s="638" t="s">
        <v>258</v>
      </c>
      <c r="I125" s="638" t="s">
        <v>76</v>
      </c>
      <c r="J125" s="638" t="s">
        <v>151</v>
      </c>
      <c r="K125" s="653" t="s">
        <v>77</v>
      </c>
      <c r="L125" s="653" t="s">
        <v>78</v>
      </c>
      <c r="M125" s="653" t="s">
        <v>71</v>
      </c>
      <c r="N125" s="653" t="s">
        <v>79</v>
      </c>
      <c r="O125" s="653" t="s">
        <v>72</v>
      </c>
      <c r="P125" s="55"/>
      <c r="Q125" s="653" t="s">
        <v>233</v>
      </c>
      <c r="R125" s="653" t="s">
        <v>80</v>
      </c>
      <c r="S125" s="653" t="s">
        <v>81</v>
      </c>
    </row>
    <row r="126" spans="1:21" ht="39.6">
      <c r="A126" s="639"/>
      <c r="B126" s="639"/>
      <c r="C126" s="639"/>
      <c r="D126" s="56" t="s">
        <v>82</v>
      </c>
      <c r="E126" s="56" t="s">
        <v>234</v>
      </c>
      <c r="F126" s="639"/>
      <c r="G126" s="639"/>
      <c r="H126" s="639"/>
      <c r="I126" s="639"/>
      <c r="J126" s="639"/>
      <c r="K126" s="639"/>
      <c r="L126" s="639"/>
      <c r="M126" s="639"/>
      <c r="N126" s="639"/>
      <c r="O126" s="639"/>
      <c r="P126" s="57"/>
      <c r="Q126" s="639"/>
      <c r="R126" s="639"/>
      <c r="S126" s="639"/>
    </row>
    <row r="127" spans="1:21">
      <c r="A127" s="58" t="s">
        <v>83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[2]март!G4+[2]фев!G4+[2]янв!G4</f>
        <v>262580.02</v>
      </c>
      <c r="H127" s="59">
        <f>[2]март!H4+[2]фев!H4+[2]янв!H4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>
      <c r="A128" s="60" t="s">
        <v>84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[2]март!G5+[2]фев!G5+[2]янв!G5</f>
        <v>146397</v>
      </c>
      <c r="H128" s="59">
        <f>[2]март!H5+[2]фев!H5+[2]янв!H5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>
      <c r="A129" s="42" t="s">
        <v>85</v>
      </c>
      <c r="B129" s="3">
        <v>211</v>
      </c>
      <c r="C129" s="3">
        <f t="shared" si="18"/>
        <v>1219764</v>
      </c>
      <c r="D129" s="61">
        <f>[2]март!D6+[2]фев!D6+[2]янв!D6</f>
        <v>1219764</v>
      </c>
      <c r="E129" s="61">
        <f>[2]март!E6+[2]фев!E6+[2]янв!E6</f>
        <v>0</v>
      </c>
      <c r="F129" s="61">
        <f>[2]март!F6+[2]фев!F6+[2]янв!F6</f>
        <v>0</v>
      </c>
      <c r="G129" s="61">
        <f>[2]март!G6+[2]фев!G6+[2]янв!G6</f>
        <v>144397</v>
      </c>
      <c r="H129" s="61">
        <f>[2]март!H6+[2]фев!H6+[2]янв!H6</f>
        <v>0</v>
      </c>
      <c r="I129" s="61">
        <f>[2]март!J6+[2]фев!J6+[2]янв!J6</f>
        <v>0</v>
      </c>
      <c r="J129" s="61">
        <f>[2]март!K6+[2]фев!K6+[2]янв!K6</f>
        <v>159948</v>
      </c>
      <c r="K129" s="61">
        <f>[2]март!L6+[2]фев!L6+[2]янв!L6</f>
        <v>0</v>
      </c>
      <c r="L129" s="61">
        <f>[2]март!M6+[2]фев!M6+[2]янв!M6</f>
        <v>0</v>
      </c>
      <c r="M129" s="61">
        <f>[2]март!N6+[2]фев!N6+[2]янв!N6</f>
        <v>0</v>
      </c>
      <c r="N129" s="61">
        <f>[2]март!O6+[2]фев!O6+[2]янв!O6</f>
        <v>0</v>
      </c>
      <c r="O129" s="61">
        <f>[2]март!P6+[2]фев!P6+[2]янв!P6</f>
        <v>0</v>
      </c>
      <c r="P129" s="61"/>
      <c r="Q129" s="61">
        <f>[2]март!Q6+[2]фев!Q6+[2]янв!Q6</f>
        <v>0</v>
      </c>
      <c r="R129" s="61">
        <f>[2]март!R6+[2]фев!R6+[2]янв!R6</f>
        <v>93807</v>
      </c>
      <c r="S129" s="59">
        <f>C129+F129+G129+I129+J129+K129+N129+O129++R129+Q129</f>
        <v>1617916</v>
      </c>
    </row>
    <row r="130" spans="1:19">
      <c r="A130" s="60" t="s">
        <v>86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>
      <c r="A131" s="42" t="s">
        <v>87</v>
      </c>
      <c r="B131" s="3">
        <v>212</v>
      </c>
      <c r="C131" s="3">
        <f t="shared" si="18"/>
        <v>0</v>
      </c>
      <c r="D131" s="61">
        <f>[2]март!D8+[2]фев!D8+[2]янв!D8</f>
        <v>0</v>
      </c>
      <c r="E131" s="61">
        <f>[2]март!E8+[2]фев!E8+[2]янв!E8</f>
        <v>0</v>
      </c>
      <c r="F131" s="61">
        <f>[2]март!F8+[2]фев!F8+[2]янв!F8</f>
        <v>0</v>
      </c>
      <c r="G131" s="61">
        <f>[2]март!G8+[2]фев!G8+[2]янв!G8</f>
        <v>2000</v>
      </c>
      <c r="H131" s="61"/>
      <c r="I131" s="61">
        <f>[2]март!J8+[2]фев!J8+[2]янв!J8</f>
        <v>0</v>
      </c>
      <c r="J131" s="61">
        <f>[2]март!K8+[2]фев!K8+[2]янв!K8</f>
        <v>0</v>
      </c>
      <c r="K131" s="61">
        <f>[2]март!L8+[2]фев!L8+[2]янв!L8</f>
        <v>0</v>
      </c>
      <c r="L131" s="61">
        <f>[2]март!M8+[2]фев!M8+[2]янв!M8</f>
        <v>0</v>
      </c>
      <c r="M131" s="61">
        <f>[2]март!N8+[2]фев!N8+[2]янв!N8</f>
        <v>14400</v>
      </c>
      <c r="N131" s="61">
        <f>[2]март!O8+[2]фев!O8+[2]янв!O8</f>
        <v>14400</v>
      </c>
      <c r="O131" s="61">
        <f>[2]март!P8+[2]фев!P8+[2]янв!P8</f>
        <v>0</v>
      </c>
      <c r="P131" s="61"/>
      <c r="Q131" s="61">
        <f>[2]март!Q8+[2]фев!Q8+[2]янв!Q8</f>
        <v>0</v>
      </c>
      <c r="R131" s="61">
        <f>[2]март!R8+[2]фев!R8+[2]янв!R8</f>
        <v>0</v>
      </c>
      <c r="S131" s="56">
        <f t="shared" si="21"/>
        <v>16400</v>
      </c>
    </row>
    <row r="132" spans="1:19">
      <c r="A132" s="42" t="s">
        <v>88</v>
      </c>
      <c r="B132" s="3">
        <v>212</v>
      </c>
      <c r="C132" s="3">
        <f t="shared" si="18"/>
        <v>0</v>
      </c>
      <c r="D132" s="61">
        <f>[2]март!D9+[2]фев!D9+[2]янв!D9</f>
        <v>0</v>
      </c>
      <c r="E132" s="61">
        <f>[2]март!E9+[2]фев!E9+[2]янв!E9</f>
        <v>0</v>
      </c>
      <c r="F132" s="61">
        <f>[2]март!F9+[2]фев!F9+[2]янв!F9</f>
        <v>0</v>
      </c>
      <c r="G132" s="61">
        <f>[2]март!G9+[2]фев!G9+[2]янв!G9</f>
        <v>0</v>
      </c>
      <c r="H132" s="61"/>
      <c r="I132" s="61">
        <f>[2]март!J9+[2]фев!J9+[2]янв!J9</f>
        <v>0</v>
      </c>
      <c r="J132" s="61">
        <f>[2]март!K9+[2]фев!K9+[2]янв!K9</f>
        <v>0</v>
      </c>
      <c r="K132" s="61">
        <f>[2]март!L9+[2]фев!L9+[2]янв!L9</f>
        <v>0</v>
      </c>
      <c r="L132" s="61">
        <f>[2]март!M9+[2]фев!M9+[2]янв!M9</f>
        <v>0</v>
      </c>
      <c r="M132" s="61">
        <f>[2]март!N9+[2]фев!N9+[2]янв!N9</f>
        <v>0</v>
      </c>
      <c r="N132" s="61">
        <f>[2]март!O9+[2]фев!O9+[2]янв!O9</f>
        <v>0</v>
      </c>
      <c r="O132" s="61">
        <f>[2]март!P9+[2]фев!P9+[2]янв!P9</f>
        <v>0</v>
      </c>
      <c r="P132" s="61"/>
      <c r="Q132" s="61">
        <f>[2]март!Q9+[2]фев!Q9+[2]янв!Q9</f>
        <v>0</v>
      </c>
      <c r="R132" s="61">
        <f>[2]март!R9+[2]фев!R9+[2]янв!R9</f>
        <v>0</v>
      </c>
      <c r="S132" s="59">
        <f t="shared" si="21"/>
        <v>0</v>
      </c>
    </row>
    <row r="133" spans="1:19">
      <c r="A133" s="41" t="s">
        <v>89</v>
      </c>
      <c r="B133" s="2">
        <v>213</v>
      </c>
      <c r="C133" s="2">
        <f t="shared" si="18"/>
        <v>0</v>
      </c>
      <c r="D133" s="61">
        <f>[2]март!D10+[2]фев!D10+[2]янв!D10</f>
        <v>0</v>
      </c>
      <c r="E133" s="61">
        <f>[2]март!E10+[2]фев!E10+[2]янв!E10</f>
        <v>0</v>
      </c>
      <c r="F133" s="61">
        <f>[2]март!F10+[2]фев!F10+[2]янв!F10</f>
        <v>0</v>
      </c>
      <c r="G133" s="61">
        <f>[2]март!G10+[2]фев!G10+[2]янв!G10</f>
        <v>0</v>
      </c>
      <c r="H133" s="61"/>
      <c r="I133" s="61">
        <f>[2]март!J10+[2]фев!J10+[2]янв!J10</f>
        <v>0</v>
      </c>
      <c r="J133" s="61">
        <f>[2]март!K10+[2]фев!K10+[2]янв!K10</f>
        <v>0</v>
      </c>
      <c r="K133" s="61">
        <f>[2]март!L10+[2]фев!L10+[2]янв!L10</f>
        <v>0</v>
      </c>
      <c r="L133" s="61">
        <f>[2]март!M10+[2]фев!M10+[2]янв!M10</f>
        <v>0</v>
      </c>
      <c r="M133" s="61">
        <f>[2]март!N10+[2]фев!N10+[2]янв!N10</f>
        <v>0</v>
      </c>
      <c r="N133" s="61">
        <f>[2]март!O10+[2]фев!O10+[2]янв!O10</f>
        <v>0</v>
      </c>
      <c r="O133" s="61">
        <f>[2]март!P10+[2]фев!P10+[2]янв!P10</f>
        <v>0</v>
      </c>
      <c r="P133" s="61"/>
      <c r="Q133" s="61">
        <f>[2]март!Q10+[2]фев!Q10+[2]янв!Q10</f>
        <v>0</v>
      </c>
      <c r="R133" s="61">
        <f>[2]март!R10+[2]фев!R10+[2]янв!R10</f>
        <v>0</v>
      </c>
      <c r="S133" s="59">
        <f t="shared" si="21"/>
        <v>0</v>
      </c>
    </row>
    <row r="134" spans="1:19">
      <c r="A134" s="60" t="s">
        <v>90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>
      <c r="A135" s="42" t="s">
        <v>91</v>
      </c>
      <c r="B135" s="3">
        <v>221</v>
      </c>
      <c r="C135" s="3">
        <f t="shared" si="18"/>
        <v>49095.47</v>
      </c>
      <c r="D135" s="61">
        <f>[2]янв!D12+[2]март!D12</f>
        <v>49095.47</v>
      </c>
      <c r="E135" s="61">
        <f>[2]март!E12+[2]фев!E12+[2]янв!E12</f>
        <v>0</v>
      </c>
      <c r="F135" s="61">
        <f>[2]март!F12+[2]фев!F12+[2]янв!F12</f>
        <v>0</v>
      </c>
      <c r="G135" s="61">
        <f>[2]март!G12+[2]фев!G12+[2]янв!G12</f>
        <v>42124.3</v>
      </c>
      <c r="H135" s="61">
        <f>[2]март!H12+[2]фев!H12+[2]янв!H12</f>
        <v>0</v>
      </c>
      <c r="I135" s="61">
        <f>[2]март!J12+[2]фев!J12+[2]янв!J12</f>
        <v>0</v>
      </c>
      <c r="J135" s="61">
        <f>[2]март!K12+[2]фев!K12+[2]янв!K12</f>
        <v>7149.97</v>
      </c>
      <c r="K135" s="61">
        <f>[2]март!L12+[2]фев!L12+[2]янв!L12</f>
        <v>0</v>
      </c>
      <c r="L135" s="61">
        <f>[2]март!M12+[2]фев!M12+[2]янв!M12</f>
        <v>38459.64</v>
      </c>
      <c r="M135" s="61">
        <f>[2]март!N12+[2]фев!N12+[2]янв!N12</f>
        <v>2780</v>
      </c>
      <c r="N135" s="61">
        <f>[2]март!O12+[2]фев!O12+[2]янв!O12</f>
        <v>41239.64</v>
      </c>
      <c r="O135" s="61">
        <f>[2]март!P12+[2]фев!P12+[2]янв!P12</f>
        <v>0</v>
      </c>
      <c r="P135" s="61"/>
      <c r="Q135" s="61">
        <f>[2]март!Q12+[2]фев!Q12+[2]янв!Q12</f>
        <v>0</v>
      </c>
      <c r="R135" s="61">
        <f>[2]март!R12+[2]фев!R12+[2]янв!R12</f>
        <v>14131.37</v>
      </c>
      <c r="S135" s="59">
        <f>C135+F135+G135+I135+J135+K135+N135+O135++R135+Q135+H135</f>
        <v>153740.75</v>
      </c>
    </row>
    <row r="136" spans="1:19">
      <c r="A136" s="47" t="s">
        <v>374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[2]фев!M13+[2]янв!M13</f>
        <v>0</v>
      </c>
      <c r="M136" s="61">
        <f>[2]фев!N13+[2]янв!N13</f>
        <v>0</v>
      </c>
      <c r="N136" s="61">
        <f>[2]фев!O13+[2]янв!O13</f>
        <v>0</v>
      </c>
      <c r="O136" s="61"/>
      <c r="P136" s="61"/>
      <c r="Q136" s="61"/>
      <c r="R136" s="61"/>
      <c r="S136" s="59">
        <f t="shared" si="21"/>
        <v>0</v>
      </c>
    </row>
    <row r="137" spans="1:19">
      <c r="A137" s="60" t="s">
        <v>92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>
      <c r="A138" s="42" t="s">
        <v>93</v>
      </c>
      <c r="B138" s="3">
        <v>222</v>
      </c>
      <c r="C138" s="3">
        <f t="shared" si="18"/>
        <v>0</v>
      </c>
      <c r="D138" s="61">
        <f>[2]март!D14+[2]фев!D15+[2]янв!D15</f>
        <v>0</v>
      </c>
      <c r="E138" s="61">
        <f>[2]март!E14+[2]фев!E15+[2]янв!E15</f>
        <v>0</v>
      </c>
      <c r="F138" s="61">
        <f>[2]март!F14+[2]фев!F15+[2]янв!F15</f>
        <v>0</v>
      </c>
      <c r="G138" s="61">
        <f>[2]март!G14+[2]фев!G15+[2]янв!G15</f>
        <v>0</v>
      </c>
      <c r="H138" s="61"/>
      <c r="I138" s="61">
        <f>[2]март!J14+[2]фев!J15+[2]янв!J15</f>
        <v>0</v>
      </c>
      <c r="J138" s="61">
        <f>[2]март!K14+[2]фев!K15+[2]янв!K15</f>
        <v>0</v>
      </c>
      <c r="K138" s="61">
        <f>[2]март!L14+[2]фев!L15+[2]янв!L15</f>
        <v>0</v>
      </c>
      <c r="L138" s="61">
        <f>[2]март!M14+[2]фев!M15+[2]янв!M15</f>
        <v>10000</v>
      </c>
      <c r="M138" s="61">
        <f>[2]март!N14+[2]фев!N15+[2]янв!N15</f>
        <v>0</v>
      </c>
      <c r="N138" s="61">
        <f>[2]март!O14+[2]фев!O15+[2]янв!O15</f>
        <v>10000</v>
      </c>
      <c r="O138" s="61">
        <f>[2]март!P14+[2]фев!P15+[2]янв!P15</f>
        <v>0</v>
      </c>
      <c r="P138" s="61"/>
      <c r="Q138" s="61">
        <f>[2]март!Q14+[2]фев!Q15+[2]янв!Q15</f>
        <v>0</v>
      </c>
      <c r="R138" s="61">
        <f>[2]март!R14+[2]фев!R15+[2]янв!R15</f>
        <v>0</v>
      </c>
      <c r="S138" s="56">
        <f t="shared" si="21"/>
        <v>10000</v>
      </c>
    </row>
    <row r="139" spans="1:19">
      <c r="A139" s="42" t="s">
        <v>94</v>
      </c>
      <c r="B139" s="3">
        <v>222</v>
      </c>
      <c r="C139" s="3">
        <f t="shared" si="18"/>
        <v>0</v>
      </c>
      <c r="D139" s="61">
        <f>[2]март!D15+[2]фев!D16+[2]янв!D16</f>
        <v>0</v>
      </c>
      <c r="E139" s="61">
        <f>[2]март!E15+[2]фев!E16+[2]янв!E16</f>
        <v>0</v>
      </c>
      <c r="F139" s="61">
        <f>[2]март!F15+[2]фев!F16+[2]янв!F16</f>
        <v>0</v>
      </c>
      <c r="G139" s="61">
        <f>[2]март!G15+[2]фев!G16+[2]янв!G16</f>
        <v>0</v>
      </c>
      <c r="H139" s="61"/>
      <c r="I139" s="61">
        <f>[2]март!J15+[2]фев!J16+[2]янв!J16</f>
        <v>0</v>
      </c>
      <c r="J139" s="61">
        <f>[2]март!K15+[2]фев!K16+[2]янв!K16</f>
        <v>0</v>
      </c>
      <c r="K139" s="61">
        <f>[2]март!L15+[2]фев!L16+[2]янв!L16</f>
        <v>0</v>
      </c>
      <c r="L139" s="61">
        <f>[2]март!M15+[2]фев!M16+[2]янв!M16</f>
        <v>900</v>
      </c>
      <c r="M139" s="61">
        <f>[2]март!N15+[2]фев!N16+[2]янв!N16</f>
        <v>0</v>
      </c>
      <c r="N139" s="61">
        <f>[2]март!O15+[2]фев!O16+[2]янв!O16</f>
        <v>900</v>
      </c>
      <c r="O139" s="61">
        <f>[2]март!P15+[2]фев!P16+[2]янв!P16</f>
        <v>0</v>
      </c>
      <c r="P139" s="61"/>
      <c r="Q139" s="61">
        <f>[2]март!Q15+[2]фев!Q16+[2]янв!Q16</f>
        <v>0</v>
      </c>
      <c r="R139" s="61">
        <f>[2]март!R15+[2]фев!R16+[2]янв!R16</f>
        <v>0</v>
      </c>
      <c r="S139" s="56">
        <f t="shared" si="21"/>
        <v>900</v>
      </c>
    </row>
    <row r="140" spans="1:19">
      <c r="A140" s="60" t="s">
        <v>95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>
      <c r="A141" s="42" t="s">
        <v>96</v>
      </c>
      <c r="B141" s="3">
        <v>223</v>
      </c>
      <c r="C141" s="3">
        <f t="shared" si="18"/>
        <v>141479</v>
      </c>
      <c r="D141" s="61">
        <f>[2]март!D17+[2]фев!D18+[2]янв!D18</f>
        <v>141479</v>
      </c>
      <c r="E141" s="61">
        <f>[2]март!E17+[2]фев!E18+[2]янв!E18</f>
        <v>0</v>
      </c>
      <c r="F141" s="61">
        <f>[2]март!F17+[2]фев!F18+[2]янв!F18</f>
        <v>0</v>
      </c>
      <c r="G141" s="61">
        <f>[2]март!G17+[2]фев!G18+[2]янв!G18</f>
        <v>0</v>
      </c>
      <c r="H141" s="61"/>
      <c r="I141" s="61">
        <f>[2]март!J17+[2]фев!J18+[2]янв!J18</f>
        <v>0</v>
      </c>
      <c r="J141" s="61">
        <f>[2]март!K17+[2]фев!K18+[2]янв!K18</f>
        <v>0</v>
      </c>
      <c r="K141" s="61">
        <f>[2]март!L17+[2]фев!L18+[2]янв!L18</f>
        <v>0</v>
      </c>
      <c r="L141" s="61">
        <f>[2]март!M17+[2]фев!M18+[2]янв!M18</f>
        <v>270000</v>
      </c>
      <c r="M141" s="61">
        <f>[2]март!N17+[2]фев!N18+[2]янв!N18</f>
        <v>0</v>
      </c>
      <c r="N141" s="61">
        <f>[2]март!O17+[2]фев!O18+[2]янв!O18</f>
        <v>270000</v>
      </c>
      <c r="O141" s="61">
        <f>[2]март!P17+[2]фев!P18+[2]янв!P18</f>
        <v>752532.31</v>
      </c>
      <c r="P141" s="61"/>
      <c r="Q141" s="61">
        <f>[2]март!Q17+[2]фев!Q18+[2]янв!Q18</f>
        <v>0</v>
      </c>
      <c r="R141" s="61">
        <f>[2]март!R17+[2]фев!R18+[2]янв!R18</f>
        <v>0</v>
      </c>
      <c r="S141" s="56">
        <f t="shared" si="21"/>
        <v>1164011.31</v>
      </c>
    </row>
    <row r="142" spans="1:19">
      <c r="A142" s="42" t="s">
        <v>97</v>
      </c>
      <c r="B142" s="3">
        <v>223</v>
      </c>
      <c r="C142" s="3">
        <f t="shared" si="18"/>
        <v>158624</v>
      </c>
      <c r="D142" s="61">
        <f>[2]март!D18+[2]фев!D19+[2]янв!D19</f>
        <v>158624</v>
      </c>
      <c r="E142" s="61">
        <f>[2]март!E18+[2]фев!E19+[2]янв!E19</f>
        <v>0</v>
      </c>
      <c r="F142" s="61">
        <f>[2]март!F18+[2]фев!F19+[2]янв!F19</f>
        <v>0</v>
      </c>
      <c r="G142" s="61">
        <f>[2]март!G18+[2]фев!G19+[2]янв!G19</f>
        <v>0</v>
      </c>
      <c r="H142" s="61"/>
      <c r="I142" s="61">
        <f>[2]март!J18+[2]фев!J19+[2]янв!J19</f>
        <v>0</v>
      </c>
      <c r="J142" s="61">
        <f>[2]март!K18+[2]фев!K19+[2]янв!K19</f>
        <v>0</v>
      </c>
      <c r="K142" s="61">
        <f>[2]март!L18+[2]фев!L19+[2]янв!L19</f>
        <v>0</v>
      </c>
      <c r="L142" s="61">
        <f>[2]март!M18+[2]фев!M19+[2]янв!M19</f>
        <v>1124886</v>
      </c>
      <c r="M142" s="61">
        <f>[2]март!N18+[2]фев!N19+[2]янв!N19</f>
        <v>0</v>
      </c>
      <c r="N142" s="61">
        <f>[2]март!O18+[2]фев!O19+[2]янв!O19</f>
        <v>1124886</v>
      </c>
      <c r="O142" s="61">
        <f>[2]март!P18+[2]фев!P19+[2]янв!P19</f>
        <v>96107</v>
      </c>
      <c r="P142" s="61"/>
      <c r="Q142" s="61">
        <f>[2]март!Q18+[2]фев!Q19+[2]янв!Q19</f>
        <v>0</v>
      </c>
      <c r="R142" s="61">
        <f>[2]март!R18+[2]фев!R19+[2]янв!R19</f>
        <v>0</v>
      </c>
      <c r="S142" s="56">
        <f t="shared" si="21"/>
        <v>1379617</v>
      </c>
    </row>
    <row r="143" spans="1:19">
      <c r="A143" s="14" t="s">
        <v>98</v>
      </c>
      <c r="B143" s="3">
        <v>223</v>
      </c>
      <c r="C143" s="3">
        <f t="shared" si="18"/>
        <v>12479.2</v>
      </c>
      <c r="D143" s="61">
        <f>[2]март!D19+[2]фев!D20+[2]янв!D20</f>
        <v>12479.2</v>
      </c>
      <c r="E143" s="61">
        <f>[2]март!E19+[2]фев!E20+[2]янв!E20</f>
        <v>0</v>
      </c>
      <c r="F143" s="61">
        <f>[2]март!F19+[2]фев!F20+[2]янв!F20</f>
        <v>0</v>
      </c>
      <c r="G143" s="61">
        <f>[2]март!G19+[2]фев!G20+[2]янв!G20</f>
        <v>0</v>
      </c>
      <c r="H143" s="61"/>
      <c r="I143" s="61">
        <f>[2]март!J19+[2]фев!J20+[2]янв!J20</f>
        <v>0</v>
      </c>
      <c r="J143" s="61">
        <f>[2]март!K19+[2]фев!K20+[2]янв!K20</f>
        <v>0</v>
      </c>
      <c r="K143" s="61">
        <f>[2]март!L19+[2]фев!L20+[2]янв!L20</f>
        <v>0</v>
      </c>
      <c r="L143" s="61">
        <f>[2]март!M19+[2]фев!M20+[2]янв!M20</f>
        <v>371222.32</v>
      </c>
      <c r="M143" s="61">
        <f>[2]март!N19+[2]фев!N20+[2]янв!N20</f>
        <v>0</v>
      </c>
      <c r="N143" s="61">
        <f>[2]март!O19+[2]фев!O20+[2]янв!O20</f>
        <v>371222.32</v>
      </c>
      <c r="O143" s="61">
        <f>[2]март!P19+[2]фев!P20+[2]янв!P20</f>
        <v>22213.39</v>
      </c>
      <c r="P143" s="61"/>
      <c r="Q143" s="61">
        <f>[2]март!Q19+[2]фев!Q20+[2]янв!Q20</f>
        <v>0</v>
      </c>
      <c r="R143" s="61">
        <f>[2]март!R19+[2]фев!R20+[2]янв!R20</f>
        <v>0</v>
      </c>
      <c r="S143" s="56">
        <f t="shared" si="21"/>
        <v>405914.91000000003</v>
      </c>
    </row>
    <row r="144" spans="1:19">
      <c r="A144" s="44" t="s">
        <v>152</v>
      </c>
      <c r="B144" s="3">
        <v>224</v>
      </c>
      <c r="C144" s="3">
        <f t="shared" si="18"/>
        <v>0</v>
      </c>
      <c r="D144" s="61">
        <f>[2]март!D20+[2]фев!D21+[2]янв!D21</f>
        <v>0</v>
      </c>
      <c r="E144" s="61">
        <f>[2]март!E20+[2]фев!E21+[2]янв!E21</f>
        <v>0</v>
      </c>
      <c r="F144" s="61">
        <f>[2]март!F20+[2]фев!F21+[2]янв!F21</f>
        <v>0</v>
      </c>
      <c r="G144" s="61">
        <f>[2]март!G20+[2]фев!G21+[2]янв!G21</f>
        <v>0</v>
      </c>
      <c r="H144" s="61"/>
      <c r="I144" s="61">
        <f>[2]март!J20+[2]фев!J21+[2]янв!J21</f>
        <v>0</v>
      </c>
      <c r="J144" s="61">
        <f>[2]март!K20+[2]фев!K21+[2]янв!K21</f>
        <v>0</v>
      </c>
      <c r="K144" s="61">
        <f>[2]март!L20+[2]фев!L21+[2]янв!L21</f>
        <v>0</v>
      </c>
      <c r="L144" s="61">
        <f>[2]март!M20+[2]фев!M21+[2]янв!M21</f>
        <v>0</v>
      </c>
      <c r="M144" s="61">
        <f>[2]март!N20+[2]фев!N21+[2]янв!N21</f>
        <v>0</v>
      </c>
      <c r="N144" s="61">
        <f>[2]март!O20+[2]фев!O21+[2]янв!O21</f>
        <v>0</v>
      </c>
      <c r="O144" s="61">
        <f>[2]март!P20+[2]фев!P21+[2]янв!P21</f>
        <v>0</v>
      </c>
      <c r="P144" s="61"/>
      <c r="Q144" s="61">
        <f>[2]март!Q20+[2]фев!Q21+[2]янв!Q21</f>
        <v>0</v>
      </c>
      <c r="R144" s="61">
        <f>[2]март!R20+[2]фев!R21+[2]янв!R21</f>
        <v>0</v>
      </c>
      <c r="S144" s="59">
        <f t="shared" si="21"/>
        <v>0</v>
      </c>
    </row>
    <row r="145" spans="1:19">
      <c r="A145" s="62" t="s">
        <v>99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>
      <c r="A146" s="44" t="s">
        <v>100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56">
        <f t="shared" si="21"/>
        <v>0</v>
      </c>
    </row>
    <row r="147" spans="1:19">
      <c r="A147" s="44" t="s">
        <v>101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56">
        <f t="shared" si="21"/>
        <v>146922.86000000002</v>
      </c>
    </row>
    <row r="148" spans="1:19">
      <c r="A148" s="49" t="s">
        <v>259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56">
        <f t="shared" si="21"/>
        <v>400</v>
      </c>
    </row>
    <row r="149" spans="1:19">
      <c r="A149" s="49" t="s">
        <v>274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56">
        <f t="shared" si="21"/>
        <v>0</v>
      </c>
    </row>
    <row r="150" spans="1:19">
      <c r="A150" s="50" t="s">
        <v>156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>
      <c r="A151" s="44" t="s">
        <v>259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56">
        <f t="shared" si="21"/>
        <v>4300</v>
      </c>
    </row>
    <row r="152" spans="1:19" ht="13.8">
      <c r="A152" s="51" t="s">
        <v>375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56">
        <f t="shared" si="21"/>
        <v>1300</v>
      </c>
    </row>
    <row r="153" spans="1:19">
      <c r="A153" s="42" t="s">
        <v>260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56">
        <f>C153+F153+G153+I153+J153+K153+N153+O153++R153+Q153+H153</f>
        <v>0</v>
      </c>
    </row>
    <row r="154" spans="1:19">
      <c r="A154" s="49" t="s">
        <v>376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56">
        <f t="shared" si="21"/>
        <v>0</v>
      </c>
    </row>
    <row r="155" spans="1:19">
      <c r="A155" s="44" t="s">
        <v>213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56">
        <f>C155+F155+G155+I155+J155+K155+N155+O155++R155+Q155+H155</f>
        <v>6350</v>
      </c>
    </row>
    <row r="156" spans="1:19">
      <c r="A156" s="60" t="s">
        <v>102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>
      <c r="A157" s="42" t="s">
        <v>103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56">
        <f t="shared" si="21"/>
        <v>8084</v>
      </c>
    </row>
    <row r="158" spans="1:19">
      <c r="A158" s="42" t="s">
        <v>153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56">
        <f t="shared" si="21"/>
        <v>54529</v>
      </c>
    </row>
    <row r="159" spans="1:19">
      <c r="A159" s="42" t="s">
        <v>261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56">
        <f t="shared" si="21"/>
        <v>0</v>
      </c>
    </row>
    <row r="160" spans="1:19">
      <c r="A160" s="42" t="s">
        <v>262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56">
        <f t="shared" si="21"/>
        <v>0</v>
      </c>
    </row>
    <row r="161" spans="1:19">
      <c r="A161" s="42" t="s">
        <v>104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56">
        <f t="shared" si="21"/>
        <v>0</v>
      </c>
    </row>
    <row r="162" spans="1:19">
      <c r="A162" s="42" t="s">
        <v>105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56">
        <f t="shared" si="21"/>
        <v>0</v>
      </c>
    </row>
    <row r="163" spans="1:19">
      <c r="A163" s="42" t="s">
        <v>214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56">
        <f t="shared" si="21"/>
        <v>16030</v>
      </c>
    </row>
    <row r="164" spans="1:19">
      <c r="A164" s="47" t="s">
        <v>275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56">
        <f t="shared" si="21"/>
        <v>0</v>
      </c>
    </row>
    <row r="165" spans="1:19">
      <c r="A165" s="47" t="s">
        <v>396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56">
        <f t="shared" si="21"/>
        <v>85400</v>
      </c>
    </row>
    <row r="166" spans="1:19">
      <c r="A166" s="42" t="s">
        <v>107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56">
        <f>C166+F166+G166+I166+J166+K166+N166+O166++R166+Q166+H166</f>
        <v>259040</v>
      </c>
    </row>
    <row r="167" spans="1:19">
      <c r="A167" s="42" t="s">
        <v>397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56">
        <f t="shared" si="21"/>
        <v>7000</v>
      </c>
    </row>
    <row r="168" spans="1:19">
      <c r="A168" s="42" t="s">
        <v>106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56">
        <f t="shared" si="21"/>
        <v>10653.82</v>
      </c>
    </row>
    <row r="169" spans="1:19">
      <c r="A169" s="47" t="s">
        <v>377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56">
        <f t="shared" si="21"/>
        <v>0</v>
      </c>
    </row>
    <row r="170" spans="1:19">
      <c r="A170" s="42" t="s">
        <v>378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56">
        <f t="shared" si="21"/>
        <v>26902.07</v>
      </c>
    </row>
    <row r="171" spans="1:19">
      <c r="A171" s="47" t="s">
        <v>276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56">
        <f t="shared" si="21"/>
        <v>0</v>
      </c>
    </row>
    <row r="172" spans="1:19">
      <c r="A172" s="42" t="s">
        <v>108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56">
        <f t="shared" si="21"/>
        <v>308012.70000000007</v>
      </c>
    </row>
    <row r="173" spans="1:19">
      <c r="A173" s="42" t="s">
        <v>263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56">
        <f t="shared" si="21"/>
        <v>0</v>
      </c>
    </row>
    <row r="174" spans="1:19">
      <c r="A174" s="42" t="s">
        <v>264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56">
        <f t="shared" si="21"/>
        <v>0</v>
      </c>
    </row>
    <row r="175" spans="1:19">
      <c r="A175" s="42" t="s">
        <v>154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56">
        <f t="shared" si="21"/>
        <v>0</v>
      </c>
    </row>
    <row r="176" spans="1:19">
      <c r="A176" s="42" t="s">
        <v>215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56">
        <f t="shared" si="21"/>
        <v>0</v>
      </c>
    </row>
    <row r="177" spans="1:19">
      <c r="A177" s="42" t="s">
        <v>109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>
      <c r="A178" s="42" t="s">
        <v>155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>
      <c r="A179" s="42" t="s">
        <v>156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56">
        <f t="shared" si="21"/>
        <v>0</v>
      </c>
    </row>
    <row r="180" spans="1:19">
      <c r="A180" s="42" t="s">
        <v>110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>
      <c r="A181" s="47" t="s">
        <v>379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56">
        <f t="shared" si="21"/>
        <v>0</v>
      </c>
    </row>
    <row r="182" spans="1:19">
      <c r="A182" s="42" t="s">
        <v>157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56">
        <f t="shared" si="21"/>
        <v>0</v>
      </c>
    </row>
    <row r="183" spans="1:19">
      <c r="A183" s="42" t="s">
        <v>216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56">
        <f t="shared" si="21"/>
        <v>0</v>
      </c>
    </row>
    <row r="184" spans="1:19">
      <c r="A184" s="47" t="s">
        <v>380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56">
        <f t="shared" si="21"/>
        <v>79000</v>
      </c>
    </row>
    <row r="185" spans="1:19">
      <c r="A185" s="47" t="s">
        <v>277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56">
        <f t="shared" si="21"/>
        <v>0</v>
      </c>
    </row>
    <row r="186" spans="1:19">
      <c r="A186" s="42" t="s">
        <v>217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56">
        <f t="shared" si="21"/>
        <v>0</v>
      </c>
    </row>
    <row r="187" spans="1:19">
      <c r="A187" s="42" t="s">
        <v>265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56">
        <f t="shared" si="21"/>
        <v>138580</v>
      </c>
    </row>
    <row r="188" spans="1:19">
      <c r="A188" s="42" t="s">
        <v>218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56">
        <f t="shared" si="21"/>
        <v>0</v>
      </c>
    </row>
    <row r="189" spans="1:19">
      <c r="A189" s="14" t="s">
        <v>235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56">
        <f t="shared" si="21"/>
        <v>0</v>
      </c>
    </row>
    <row r="190" spans="1:19">
      <c r="A190" s="42" t="s">
        <v>219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56">
        <f t="shared" si="21"/>
        <v>0</v>
      </c>
    </row>
    <row r="191" spans="1:19">
      <c r="A191" s="52" t="s">
        <v>278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9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56">
        <f t="shared" si="21"/>
        <v>0</v>
      </c>
    </row>
    <row r="193" spans="1:19">
      <c r="A193" s="60" t="s">
        <v>111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>
      <c r="A194" s="42" t="s">
        <v>112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9">
        <f t="shared" ref="S194:S219" si="27">C194+F194+G194+I194+J194+K194+N194+O194++R194+Q194</f>
        <v>0</v>
      </c>
    </row>
    <row r="195" spans="1:19">
      <c r="A195" s="42" t="s">
        <v>158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>
      <c r="A196" s="42" t="s">
        <v>113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56">
        <f t="shared" si="27"/>
        <v>150627</v>
      </c>
    </row>
    <row r="197" spans="1:19">
      <c r="A197" s="42" t="s">
        <v>101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>
      <c r="A198" s="45" t="s">
        <v>398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>
      <c r="A199" s="45" t="s">
        <v>114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>
      <c r="A200" s="7" t="s">
        <v>116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9">
        <f t="shared" si="27"/>
        <v>0</v>
      </c>
    </row>
    <row r="201" spans="1:19">
      <c r="A201" s="7" t="s">
        <v>117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>
      <c r="A202" s="44" t="s">
        <v>118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9">
        <f t="shared" si="27"/>
        <v>0</v>
      </c>
    </row>
    <row r="203" spans="1:19">
      <c r="A203" s="7" t="s">
        <v>266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56">
        <f t="shared" si="27"/>
        <v>0</v>
      </c>
    </row>
    <row r="204" spans="1:19">
      <c r="A204" s="44" t="s">
        <v>267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56">
        <f t="shared" si="27"/>
        <v>0</v>
      </c>
    </row>
    <row r="205" spans="1:19">
      <c r="A205" s="44" t="s">
        <v>119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9">
        <f t="shared" si="27"/>
        <v>0</v>
      </c>
    </row>
    <row r="206" spans="1:19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>
      <c r="A207" s="42" t="s">
        <v>120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56">
        <f t="shared" si="27"/>
        <v>149526</v>
      </c>
    </row>
    <row r="208" spans="1:19">
      <c r="A208" s="42" t="s">
        <v>121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56">
        <f t="shared" si="27"/>
        <v>8500</v>
      </c>
    </row>
    <row r="209" spans="1:19">
      <c r="A209" s="42" t="s">
        <v>122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56">
        <f t="shared" si="27"/>
        <v>32000</v>
      </c>
    </row>
    <row r="210" spans="1:19">
      <c r="A210" s="42" t="s">
        <v>268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56">
        <f t="shared" si="27"/>
        <v>400</v>
      </c>
    </row>
    <row r="211" spans="1:19">
      <c r="A211" s="42" t="s">
        <v>236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56">
        <f t="shared" si="27"/>
        <v>0</v>
      </c>
    </row>
    <row r="212" spans="1:19">
      <c r="A212" s="42" t="s">
        <v>220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56">
        <f t="shared" si="27"/>
        <v>0</v>
      </c>
    </row>
    <row r="213" spans="1:19">
      <c r="A213" s="42" t="s">
        <v>224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56">
        <f t="shared" si="27"/>
        <v>0</v>
      </c>
    </row>
    <row r="214" spans="1:19">
      <c r="A214" s="42" t="s">
        <v>237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56">
        <f t="shared" si="27"/>
        <v>0</v>
      </c>
    </row>
    <row r="215" spans="1:19">
      <c r="A215" s="42" t="s">
        <v>123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56">
        <f t="shared" si="27"/>
        <v>0</v>
      </c>
    </row>
    <row r="216" spans="1:19">
      <c r="A216" s="42" t="s">
        <v>124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56">
        <f t="shared" si="27"/>
        <v>103500</v>
      </c>
    </row>
    <row r="217" spans="1:19">
      <c r="A217" s="42" t="s">
        <v>399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56">
        <f>C217+F217+G217+I217+J217+K217+N217+O217++R217+Q217</f>
        <v>196000</v>
      </c>
    </row>
    <row r="218" spans="1:19">
      <c r="A218" s="53" t="s">
        <v>279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56">
        <f t="shared" si="27"/>
        <v>0</v>
      </c>
    </row>
    <row r="219" spans="1:19">
      <c r="A219" s="41" t="s">
        <v>280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56">
        <f t="shared" si="27"/>
        <v>94015</v>
      </c>
    </row>
    <row r="220" spans="1:19">
      <c r="A220" s="41" t="s">
        <v>221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56">
        <f>C220+F220+G220+I220+J220+K220+N220+O220++R220+Q220+H220</f>
        <v>0</v>
      </c>
    </row>
    <row r="221" spans="1:19">
      <c r="A221" s="42" t="s">
        <v>159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56">
        <f>C221+F221+G221+I221+J221+K221+N221+O221++R221+Q221</f>
        <v>100100</v>
      </c>
    </row>
    <row r="222" spans="1:19">
      <c r="A222" s="53" t="s">
        <v>381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9">
        <f>C222+F222+G222+I222+J222+K222+N222+O222++R222+Q222</f>
        <v>15000</v>
      </c>
    </row>
    <row r="223" spans="1:19">
      <c r="A223" s="60" t="s">
        <v>125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>
      <c r="A224" s="42" t="s">
        <v>126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56">
        <f t="shared" ref="S224:S229" si="31">C224+F224+G224+I224+J224+K224+N224+O224++R224+Q224</f>
        <v>10000</v>
      </c>
    </row>
    <row r="225" spans="1:19">
      <c r="A225" s="42" t="s">
        <v>127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56">
        <f t="shared" si="31"/>
        <v>300000</v>
      </c>
    </row>
    <row r="226" spans="1:19">
      <c r="A226" s="42" t="s">
        <v>128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56">
        <f t="shared" si="31"/>
        <v>36500</v>
      </c>
    </row>
    <row r="227" spans="1:19">
      <c r="A227" s="42" t="s">
        <v>129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56">
        <f t="shared" si="31"/>
        <v>133600</v>
      </c>
    </row>
    <row r="228" spans="1:19">
      <c r="A228" s="42" t="s">
        <v>281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56">
        <f t="shared" si="31"/>
        <v>12000</v>
      </c>
    </row>
    <row r="229" spans="1:19">
      <c r="A229" s="42" t="s">
        <v>130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56">
        <f t="shared" si="31"/>
        <v>46385</v>
      </c>
    </row>
    <row r="230" spans="1:19">
      <c r="A230" s="42" t="s">
        <v>269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56">
        <f t="shared" ref="S230:S239" si="33">C230+F230+G230+I230+J230+K230+N230+O230++R230+Q230+H230</f>
        <v>0</v>
      </c>
    </row>
    <row r="231" spans="1:19">
      <c r="A231" s="42" t="s">
        <v>131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56">
        <f t="shared" si="33"/>
        <v>52325</v>
      </c>
    </row>
    <row r="232" spans="1:19">
      <c r="A232" s="42" t="s">
        <v>132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56">
        <f t="shared" si="33"/>
        <v>36300</v>
      </c>
    </row>
    <row r="233" spans="1:19">
      <c r="A233" s="42" t="s">
        <v>159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56">
        <f t="shared" si="33"/>
        <v>0</v>
      </c>
    </row>
    <row r="234" spans="1:19">
      <c r="A234" s="47" t="s">
        <v>382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56">
        <f t="shared" si="33"/>
        <v>0</v>
      </c>
    </row>
    <row r="235" spans="1:19">
      <c r="A235" s="47" t="s">
        <v>282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56">
        <f t="shared" si="33"/>
        <v>0</v>
      </c>
    </row>
    <row r="236" spans="1:19">
      <c r="A236" s="42" t="s">
        <v>133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56">
        <f t="shared" si="33"/>
        <v>107500</v>
      </c>
    </row>
    <row r="237" spans="1:19">
      <c r="A237" s="42" t="s">
        <v>160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9">
        <f t="shared" si="33"/>
        <v>0</v>
      </c>
    </row>
    <row r="238" spans="1:19">
      <c r="A238" s="42" t="s">
        <v>134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9">
        <f t="shared" si="33"/>
        <v>0</v>
      </c>
    </row>
    <row r="239" spans="1:19">
      <c r="A239" s="42" t="s">
        <v>135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>
      <c r="A240" s="63" t="s">
        <v>136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8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8" thickBot="1">
      <c r="A244" s="11"/>
      <c r="D244" s="4"/>
      <c r="G244" s="17"/>
      <c r="H244" s="17"/>
      <c r="I244" s="17"/>
      <c r="J244" s="46"/>
      <c r="L244" s="19"/>
      <c r="O244" s="640" t="s">
        <v>270</v>
      </c>
      <c r="P244" s="641"/>
      <c r="Q244" s="641"/>
      <c r="R244" s="642"/>
      <c r="S244" s="12">
        <f>S240</f>
        <v>7587339.1399999997</v>
      </c>
    </row>
    <row r="245" spans="1:19" ht="13.8" thickBot="1">
      <c r="A245" s="11"/>
      <c r="O245" s="640" t="s">
        <v>400</v>
      </c>
      <c r="P245" s="641"/>
      <c r="Q245" s="641"/>
      <c r="R245" s="642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3.2"/>
  <cols>
    <col min="1" max="1" width="72.88671875" customWidth="1"/>
    <col min="2" max="2" width="17.6640625" customWidth="1"/>
    <col min="3" max="3" width="19.109375" customWidth="1"/>
    <col min="4" max="4" width="17.5546875" customWidth="1"/>
    <col min="5" max="5" width="16.88671875" customWidth="1"/>
    <col min="6" max="6" width="15.5546875" customWidth="1"/>
    <col min="7" max="7" width="16.109375" customWidth="1"/>
    <col min="8" max="8" width="14.44140625" customWidth="1"/>
    <col min="9" max="9" width="11" hidden="1" customWidth="1"/>
    <col min="10" max="10" width="11.5546875" hidden="1" customWidth="1"/>
    <col min="11" max="11" width="10.6640625" hidden="1" customWidth="1"/>
    <col min="12" max="12" width="11.5546875" hidden="1" customWidth="1"/>
    <col min="13" max="13" width="12.5546875" hidden="1" customWidth="1"/>
    <col min="14" max="14" width="12.109375" hidden="1" customWidth="1"/>
    <col min="15" max="15" width="2.33203125" hidden="1" customWidth="1"/>
    <col min="16" max="16" width="10.109375" hidden="1" customWidth="1"/>
  </cols>
  <sheetData>
    <row r="1" spans="1:16" ht="15.75" customHeight="1">
      <c r="A1" s="525" t="s">
        <v>617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16" ht="15" customHeight="1">
      <c r="A2" s="525" t="s">
        <v>406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6" ht="15" customHeight="1">
      <c r="A3" s="525" t="s">
        <v>692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</row>
    <row r="4" spans="1:16" ht="14.25" customHeight="1" thickBot="1">
      <c r="A4" s="72"/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7" t="s">
        <v>407</v>
      </c>
      <c r="N4" s="527"/>
    </row>
    <row r="5" spans="1:16" ht="15.75" customHeight="1">
      <c r="A5" s="517" t="s">
        <v>606</v>
      </c>
      <c r="B5" s="509" t="s">
        <v>682</v>
      </c>
      <c r="C5" s="509" t="s">
        <v>607</v>
      </c>
      <c r="D5" s="521" t="s">
        <v>683</v>
      </c>
      <c r="E5" s="521"/>
      <c r="F5" s="521"/>
      <c r="G5" s="521"/>
      <c r="H5" s="523" t="s">
        <v>608</v>
      </c>
      <c r="I5" s="509" t="s">
        <v>685</v>
      </c>
      <c r="J5" s="509" t="s">
        <v>686</v>
      </c>
      <c r="K5" s="509"/>
      <c r="L5" s="509"/>
      <c r="M5" s="509"/>
      <c r="N5" s="658" t="s">
        <v>437</v>
      </c>
      <c r="O5" s="656" t="s">
        <v>438</v>
      </c>
      <c r="P5" s="654" t="s">
        <v>630</v>
      </c>
    </row>
    <row r="6" spans="1:16" ht="55.5" customHeight="1">
      <c r="A6" s="518"/>
      <c r="B6" s="510"/>
      <c r="C6" s="510"/>
      <c r="D6" s="318" t="s">
        <v>408</v>
      </c>
      <c r="E6" s="239" t="s">
        <v>409</v>
      </c>
      <c r="F6" s="239" t="s">
        <v>588</v>
      </c>
      <c r="G6" s="318" t="s">
        <v>587</v>
      </c>
      <c r="H6" s="524"/>
      <c r="I6" s="510"/>
      <c r="J6" s="318" t="s">
        <v>408</v>
      </c>
      <c r="K6" s="239" t="s">
        <v>283</v>
      </c>
      <c r="L6" s="239" t="s">
        <v>609</v>
      </c>
      <c r="M6" s="318" t="s">
        <v>610</v>
      </c>
      <c r="N6" s="659"/>
      <c r="O6" s="657"/>
      <c r="P6" s="655"/>
    </row>
    <row r="7" spans="1:16" ht="13.8">
      <c r="A7" s="73" t="s">
        <v>410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>
      <c r="A8" s="277" t="s">
        <v>411</v>
      </c>
      <c r="B8" s="278">
        <f>SUM(B9+B11+B12+B16+B21)</f>
        <v>21038.957719999999</v>
      </c>
      <c r="C8" s="278">
        <f>SUM(C9+C11+C12+C16+C21)</f>
        <v>32923</v>
      </c>
      <c r="D8" s="278">
        <f t="shared" ref="D8:J8" si="0">SUM(D9+D11+D12+D16+D21)</f>
        <v>21044</v>
      </c>
      <c r="E8" s="319">
        <f t="shared" si="0"/>
        <v>21835.960769999998</v>
      </c>
      <c r="F8" s="278">
        <f t="shared" si="0"/>
        <v>791.96076999999855</v>
      </c>
      <c r="G8" s="278">
        <f t="shared" si="0"/>
        <v>505.08415152017653</v>
      </c>
      <c r="H8" s="278">
        <f t="shared" si="0"/>
        <v>4.8370748175302598</v>
      </c>
      <c r="I8" s="278">
        <f t="shared" si="0"/>
        <v>1880.6383699999997</v>
      </c>
      <c r="J8" s="278">
        <f t="shared" si="0"/>
        <v>1957</v>
      </c>
      <c r="K8" s="278">
        <f>SUM(K9+K11+K12+K16+K21)</f>
        <v>2159.9407699999997</v>
      </c>
      <c r="L8" s="278">
        <f t="shared" ref="L8:L38" si="1">+K8-J8</f>
        <v>202.9407699999997</v>
      </c>
      <c r="M8" s="278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>
      <c r="A9" s="78" t="s">
        <v>412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20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>
      <c r="A10" s="81" t="s">
        <v>413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3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>
      <c r="A11" s="78" t="s">
        <v>414</v>
      </c>
      <c r="B11" s="86">
        <f>698.64476+2.13661+0.0679+5.63087+100.845</f>
        <v>807.32514000000003</v>
      </c>
      <c r="C11" s="79">
        <v>1253</v>
      </c>
      <c r="D11" s="80">
        <v>940</v>
      </c>
      <c r="E11" s="321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>
      <c r="A12" s="78" t="s">
        <v>415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20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>
      <c r="A13" s="87" t="s">
        <v>416</v>
      </c>
      <c r="B13" s="85">
        <f>538.25+10+6.62</f>
        <v>554.87</v>
      </c>
      <c r="C13" s="83">
        <v>680</v>
      </c>
      <c r="D13" s="84">
        <v>460</v>
      </c>
      <c r="E13" s="283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>
      <c r="A14" s="87" t="s">
        <v>417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3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>
      <c r="A15" s="87" t="s">
        <v>231</v>
      </c>
      <c r="B15" s="85">
        <f>18.917+1</f>
        <v>19.917000000000002</v>
      </c>
      <c r="C15" s="83">
        <v>22</v>
      </c>
      <c r="D15" s="84">
        <v>1</v>
      </c>
      <c r="E15" s="283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>
      <c r="A16" s="78" t="s">
        <v>418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20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3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3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>
      <c r="A18" s="78" t="s">
        <v>611</v>
      </c>
      <c r="B18" s="80">
        <f>B19+B20</f>
        <v>961.8</v>
      </c>
      <c r="C18" s="80">
        <f>C19+C20</f>
        <v>1690</v>
      </c>
      <c r="D18" s="80">
        <f>D19+D20</f>
        <v>983</v>
      </c>
      <c r="E18" s="320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>
      <c r="A19" s="81" t="s">
        <v>612</v>
      </c>
      <c r="B19" s="85">
        <v>365.32</v>
      </c>
      <c r="C19" s="83">
        <v>850</v>
      </c>
      <c r="D19" s="84">
        <v>360</v>
      </c>
      <c r="E19" s="284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4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>
      <c r="A20" s="81" t="s">
        <v>613</v>
      </c>
      <c r="B20" s="84">
        <v>596.48</v>
      </c>
      <c r="C20" s="83">
        <v>840</v>
      </c>
      <c r="D20" s="84">
        <v>623</v>
      </c>
      <c r="E20" s="284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>
      <c r="A21" s="78" t="s">
        <v>419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21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>
      <c r="A22" s="280" t="s">
        <v>26</v>
      </c>
      <c r="B22" s="278">
        <f>SUM(B23+B26+B28+B31+B34+B35+B37)</f>
        <v>3479.8981699999995</v>
      </c>
      <c r="C22" s="278">
        <f>SUM(C23+C26+C28+C31+C34+C35+C37)</f>
        <v>4905</v>
      </c>
      <c r="D22" s="278">
        <f>SUM(D23+D26+D28+D31+D34+D35+D37)</f>
        <v>3539</v>
      </c>
      <c r="E22" s="319">
        <f>SUM(E23+E26+E28+E31+E34+E35+E37)</f>
        <v>3306.8470000000002</v>
      </c>
      <c r="F22" s="278">
        <f t="shared" si="4"/>
        <v>-232.15299999999979</v>
      </c>
      <c r="G22" s="278">
        <f t="shared" si="5"/>
        <v>93.440152585476127</v>
      </c>
      <c r="H22" s="278">
        <f t="shared" si="6"/>
        <v>0.95027119715977226</v>
      </c>
      <c r="I22" s="278">
        <f>SUM(I23+I26+I28+I31+I34+I35+I37)</f>
        <v>857.11315999999999</v>
      </c>
      <c r="J22" s="278">
        <f>SUM(J23+J26+J28+J31+J34+J35+J37)</f>
        <v>428</v>
      </c>
      <c r="K22" s="278">
        <f>SUM(K23+K26+K28+K31+K34+K35+K37)</f>
        <v>601.50699999999995</v>
      </c>
      <c r="L22" s="278">
        <f>+K22-J22</f>
        <v>173.50699999999995</v>
      </c>
      <c r="M22" s="278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>
      <c r="A23" s="78" t="s">
        <v>420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22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>
      <c r="A24" s="87" t="s">
        <v>422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3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>
      <c r="A25" s="87" t="s">
        <v>421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3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>
      <c r="A26" s="88" t="s">
        <v>423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20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3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>
      <c r="A28" s="88" t="s">
        <v>424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20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>
      <c r="A29" s="81" t="s">
        <v>425</v>
      </c>
      <c r="B29" s="84">
        <v>0</v>
      </c>
      <c r="C29" s="83">
        <v>0</v>
      </c>
      <c r="D29" s="84"/>
      <c r="E29" s="284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>
      <c r="A30" s="81" t="s">
        <v>426</v>
      </c>
      <c r="B30" s="85">
        <f>22.1972+5.174</f>
        <v>27.371199999999998</v>
      </c>
      <c r="C30" s="83">
        <v>62</v>
      </c>
      <c r="D30" s="84">
        <v>46</v>
      </c>
      <c r="E30" s="321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>
      <c r="A31" s="78" t="s">
        <v>427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20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>
      <c r="A32" s="81" t="s">
        <v>428</v>
      </c>
      <c r="B32" s="83">
        <v>35.75</v>
      </c>
      <c r="C32" s="83"/>
      <c r="D32" s="84"/>
      <c r="E32" s="323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>
      <c r="A33" s="81" t="s">
        <v>429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>
      <c r="A34" s="78" t="s">
        <v>430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>
      <c r="A35" s="78" t="s">
        <v>246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24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>
      <c r="A36" s="81" t="s">
        <v>431</v>
      </c>
      <c r="B36" s="83"/>
      <c r="C36" s="83"/>
      <c r="D36" s="84"/>
      <c r="E36" s="323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>
      <c r="A37" s="81" t="s">
        <v>432</v>
      </c>
      <c r="B37" s="83"/>
      <c r="C37" s="83">
        <v>0</v>
      </c>
      <c r="D37" s="84">
        <v>0</v>
      </c>
      <c r="E37" s="323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79" t="e">
        <f>K37/O37</f>
        <v>#DIV/0!</v>
      </c>
      <c r="O37" s="83">
        <v>0</v>
      </c>
    </row>
    <row r="38" spans="1:16" ht="27.75" customHeight="1">
      <c r="A38" s="280" t="s">
        <v>433</v>
      </c>
      <c r="B38" s="278">
        <f>+B8+B22</f>
        <v>24518.855889999999</v>
      </c>
      <c r="C38" s="278">
        <f>SUM(C22+C8)</f>
        <v>37828</v>
      </c>
      <c r="D38" s="278">
        <f>D8+D22</f>
        <v>24583</v>
      </c>
      <c r="E38" s="319">
        <f>E8+E22</f>
        <v>25142.807769999999</v>
      </c>
      <c r="F38" s="278">
        <f t="shared" si="4"/>
        <v>559.80776999999944</v>
      </c>
      <c r="G38" s="278">
        <f t="shared" si="13"/>
        <v>102.27721502664441</v>
      </c>
      <c r="H38" s="278">
        <f t="shared" si="6"/>
        <v>1.0254478383004191</v>
      </c>
      <c r="I38" s="278">
        <f>I8+I22</f>
        <v>2737.7515299999995</v>
      </c>
      <c r="J38" s="278">
        <f>J8+J22</f>
        <v>2385</v>
      </c>
      <c r="K38" s="278">
        <f>K8+K22</f>
        <v>2761.4477699999998</v>
      </c>
      <c r="L38" s="278">
        <f t="shared" si="1"/>
        <v>376.44776999999976</v>
      </c>
      <c r="M38" s="278">
        <f t="shared" si="14"/>
        <v>115.78397358490564</v>
      </c>
      <c r="N38" s="279">
        <f>K38/O38</f>
        <v>20.397094162614632</v>
      </c>
      <c r="O38" s="77">
        <f>O8+O22</f>
        <v>135.38437132194028</v>
      </c>
    </row>
    <row r="39" spans="1:16" ht="39" hidden="1" customHeight="1">
      <c r="A39" s="276" t="s">
        <v>614</v>
      </c>
    </row>
    <row r="40" spans="1:16" ht="18" hidden="1">
      <c r="A40" s="515" t="s">
        <v>615</v>
      </c>
      <c r="B40" s="515"/>
      <c r="C40" s="281"/>
      <c r="D40" s="90"/>
      <c r="E40" s="90"/>
      <c r="F40" s="90"/>
      <c r="G40" s="516" t="s">
        <v>598</v>
      </c>
      <c r="H40" s="516"/>
      <c r="I40" s="516"/>
      <c r="J40" s="516"/>
      <c r="K40" s="516"/>
      <c r="L40" s="516"/>
      <c r="M40" s="91"/>
      <c r="O40" s="143"/>
    </row>
    <row r="41" spans="1:16" hidden="1">
      <c r="A41" s="228" t="s">
        <v>616</v>
      </c>
    </row>
    <row r="42" spans="1:16" hidden="1">
      <c r="A42" s="228" t="s">
        <v>599</v>
      </c>
    </row>
  </sheetData>
  <mergeCells count="17"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  <mergeCell ref="P5:P6"/>
    <mergeCell ref="O5:O6"/>
    <mergeCell ref="A1:N1"/>
  </mergeCells>
  <pageMargins left="0.68" right="0" top="0.39" bottom="0" header="0" footer="0"/>
  <pageSetup paperSize="9" scale="7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09375" defaultRowHeight="13.2"/>
  <cols>
    <col min="1" max="1" width="21.109375" style="29" customWidth="1"/>
    <col min="2" max="2" width="49.109375" style="40" customWidth="1"/>
    <col min="3" max="3" width="9.109375" style="40" customWidth="1"/>
    <col min="4" max="4" width="9" style="40" customWidth="1"/>
    <col min="5" max="5" width="8.5546875" style="25" customWidth="1"/>
    <col min="6" max="6" width="10.6640625" style="25" customWidth="1"/>
    <col min="7" max="7" width="6.5546875" style="25" customWidth="1"/>
    <col min="8" max="8" width="7.44140625" style="25" customWidth="1"/>
    <col min="9" max="16384" width="9.109375" style="25"/>
  </cols>
  <sheetData>
    <row r="1" spans="1:8" ht="15.6">
      <c r="B1" s="660" t="s">
        <v>247</v>
      </c>
      <c r="C1" s="660"/>
      <c r="D1" s="660"/>
      <c r="E1" s="660"/>
      <c r="F1" s="661" t="s">
        <v>477</v>
      </c>
      <c r="G1" s="661"/>
      <c r="H1" s="661"/>
    </row>
    <row r="2" spans="1:8" ht="15.6">
      <c r="A2" s="660" t="s">
        <v>628</v>
      </c>
      <c r="B2" s="660"/>
      <c r="C2" s="660"/>
      <c r="D2" s="660"/>
      <c r="E2" s="660"/>
      <c r="F2" s="660"/>
      <c r="G2" s="660"/>
    </row>
    <row r="3" spans="1:8" ht="13.8">
      <c r="B3" s="662" t="s">
        <v>691</v>
      </c>
      <c r="C3" s="662"/>
      <c r="D3" s="662"/>
      <c r="E3" s="662"/>
      <c r="F3" s="662"/>
      <c r="G3" s="26" t="s">
        <v>248</v>
      </c>
      <c r="H3" s="26"/>
    </row>
    <row r="4" spans="1:8" ht="56.25" customHeight="1">
      <c r="A4" s="157" t="s">
        <v>0</v>
      </c>
      <c r="B4" s="158" t="s">
        <v>1</v>
      </c>
      <c r="C4" s="153" t="s">
        <v>463</v>
      </c>
      <c r="D4" s="153" t="s">
        <v>465</v>
      </c>
      <c r="E4" s="152" t="s">
        <v>464</v>
      </c>
      <c r="F4" s="152" t="s">
        <v>684</v>
      </c>
      <c r="G4" s="152" t="s">
        <v>2</v>
      </c>
      <c r="H4" s="152" t="s">
        <v>3</v>
      </c>
    </row>
    <row r="5" spans="1:8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284</v>
      </c>
      <c r="B10" s="28" t="s">
        <v>285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230</v>
      </c>
      <c r="B13" s="20" t="s">
        <v>231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241</v>
      </c>
      <c r="B14" s="27" t="s">
        <v>242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611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618</v>
      </c>
      <c r="B18" s="20" t="s">
        <v>612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619</v>
      </c>
      <c r="B19" s="20" t="s">
        <v>613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140</v>
      </c>
      <c r="B23" s="28" t="s">
        <v>142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141</v>
      </c>
      <c r="B24" s="20" t="s">
        <v>143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4.200000000000003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2.8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2.8">
      <c r="A33" s="31" t="s">
        <v>145</v>
      </c>
      <c r="B33" s="28" t="s">
        <v>144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146</v>
      </c>
      <c r="B34" s="20" t="s">
        <v>147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2.8">
      <c r="A35" s="31" t="s">
        <v>148</v>
      </c>
      <c r="B35" s="28" t="s">
        <v>149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>
      <c r="A36" s="30" t="s">
        <v>222</v>
      </c>
      <c r="B36" s="20" t="s">
        <v>223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150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243</v>
      </c>
      <c r="B47" s="20" t="s">
        <v>244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137</v>
      </c>
      <c r="B48" s="20" t="s">
        <v>138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245</v>
      </c>
      <c r="B51" s="20" t="s">
        <v>246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48" t="s">
        <v>65</v>
      </c>
      <c r="B53" s="149" t="s">
        <v>170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2.8">
      <c r="A54" s="159" t="s">
        <v>650</v>
      </c>
      <c r="B54" s="160" t="s">
        <v>161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>
      <c r="A55" s="30" t="s">
        <v>631</v>
      </c>
      <c r="B55" s="20" t="s">
        <v>162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632</v>
      </c>
      <c r="B56" s="20" t="s">
        <v>139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2.8">
      <c r="A57" s="159" t="s">
        <v>633</v>
      </c>
      <c r="B57" s="160" t="s">
        <v>439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>
      <c r="A58" s="30" t="s">
        <v>651</v>
      </c>
      <c r="B58" s="20" t="s">
        <v>556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634</v>
      </c>
      <c r="B59" s="20" t="s">
        <v>554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635</v>
      </c>
      <c r="B60" s="20" t="s">
        <v>555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636</v>
      </c>
      <c r="B61" s="20" t="s">
        <v>589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637</v>
      </c>
      <c r="B62" s="20" t="s">
        <v>466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638</v>
      </c>
      <c r="B63" s="20" t="s">
        <v>553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639</v>
      </c>
      <c r="B64" s="20" t="s">
        <v>440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639</v>
      </c>
      <c r="B65" s="154" t="s">
        <v>441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639</v>
      </c>
      <c r="B66" s="154" t="s">
        <v>590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59" t="s">
        <v>640</v>
      </c>
      <c r="B67" s="160" t="s">
        <v>167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>
      <c r="A68" s="30" t="s">
        <v>641</v>
      </c>
      <c r="B68" s="20" t="s">
        <v>164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24" hidden="1">
      <c r="A69" s="30" t="s">
        <v>442</v>
      </c>
      <c r="B69" s="154" t="s">
        <v>443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444</v>
      </c>
      <c r="B70" s="20" t="s">
        <v>445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642</v>
      </c>
      <c r="B71" s="20" t="s">
        <v>166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643</v>
      </c>
      <c r="B72" s="20" t="s">
        <v>446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467</v>
      </c>
      <c r="B73" s="20" t="s">
        <v>447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643</v>
      </c>
      <c r="B74" s="20" t="s">
        <v>448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24">
      <c r="A75" s="30" t="s">
        <v>643</v>
      </c>
      <c r="B75" s="20" t="s">
        <v>449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643</v>
      </c>
      <c r="B76" s="20" t="s">
        <v>450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643</v>
      </c>
      <c r="B77" s="20" t="s">
        <v>451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643</v>
      </c>
      <c r="B78" s="20" t="s">
        <v>452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643</v>
      </c>
      <c r="B79" s="20" t="s">
        <v>453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643</v>
      </c>
      <c r="B80" s="20" t="s">
        <v>454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467</v>
      </c>
      <c r="B81" s="156" t="s">
        <v>455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643</v>
      </c>
      <c r="B82" s="20" t="s">
        <v>459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643</v>
      </c>
      <c r="B83" s="20" t="s">
        <v>460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457</v>
      </c>
      <c r="B84" s="20" t="s">
        <v>458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644</v>
      </c>
      <c r="B85" s="20" t="s">
        <v>165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645</v>
      </c>
      <c r="B86" s="20" t="s">
        <v>456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646</v>
      </c>
      <c r="B87" s="20" t="s">
        <v>163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647</v>
      </c>
      <c r="B88" s="20" t="s">
        <v>461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648</v>
      </c>
      <c r="B89" s="155" t="s">
        <v>620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649</v>
      </c>
      <c r="B90" s="20" t="s">
        <v>552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59" t="s">
        <v>470</v>
      </c>
      <c r="B91" s="160" t="s">
        <v>168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>
      <c r="A92" s="30" t="s">
        <v>405</v>
      </c>
      <c r="B92" s="20" t="s">
        <v>169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468</v>
      </c>
      <c r="B93" s="20" t="s">
        <v>469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66" t="s">
        <v>66</v>
      </c>
      <c r="B94" s="167" t="s">
        <v>462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286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>
      <c r="A95" s="159"/>
      <c r="B95" s="160" t="s">
        <v>238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285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>
      <c r="F96" s="54"/>
    </row>
    <row r="97" spans="6:6">
      <c r="F97" s="39"/>
    </row>
    <row r="99" spans="6:6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09375" defaultRowHeight="13.2"/>
  <cols>
    <col min="1" max="1" width="4.44140625" style="98" customWidth="1"/>
    <col min="2" max="3" width="9.109375" style="98"/>
    <col min="4" max="4" width="7.109375" style="98" customWidth="1"/>
    <col min="5" max="5" width="9.109375" style="98" customWidth="1"/>
    <col min="6" max="6" width="6.33203125" style="98" customWidth="1"/>
    <col min="7" max="7" width="4" style="133" customWidth="1"/>
    <col min="8" max="8" width="0.88671875" style="98" customWidth="1"/>
    <col min="9" max="9" width="7.88671875" style="98" customWidth="1"/>
    <col min="10" max="10" width="6.33203125" style="98" customWidth="1"/>
    <col min="11" max="11" width="3.33203125" style="98" customWidth="1"/>
    <col min="12" max="12" width="6" style="98" customWidth="1"/>
    <col min="13" max="13" width="7.88671875" style="98" customWidth="1"/>
    <col min="14" max="14" width="7" style="98" customWidth="1"/>
    <col min="15" max="15" width="3" style="98" customWidth="1"/>
    <col min="16" max="16" width="6.33203125" style="98" customWidth="1"/>
    <col min="17" max="17" width="8.44140625" style="98" customWidth="1"/>
    <col min="18" max="18" width="6.6640625" style="98" customWidth="1"/>
    <col min="19" max="19" width="4" style="98" customWidth="1"/>
    <col min="20" max="20" width="6.109375" style="98" customWidth="1"/>
    <col min="21" max="21" width="8" style="98" customWidth="1"/>
    <col min="22" max="22" width="6.44140625" style="98" customWidth="1"/>
    <col min="23" max="23" width="4" style="98" customWidth="1"/>
    <col min="24" max="24" width="5.44140625" style="98" customWidth="1"/>
    <col min="25" max="25" width="7.44140625" style="98" customWidth="1"/>
    <col min="26" max="26" width="6.5546875" style="98" customWidth="1"/>
    <col min="27" max="27" width="4" style="98" customWidth="1"/>
    <col min="28" max="28" width="5.6640625" style="98" customWidth="1"/>
    <col min="29" max="29" width="8" style="98" customWidth="1"/>
    <col min="30" max="30" width="7.33203125" style="98" customWidth="1"/>
    <col min="31" max="31" width="4" style="98" customWidth="1"/>
    <col min="32" max="32" width="6.44140625" style="98" customWidth="1"/>
    <col min="33" max="33" width="8.88671875" style="98" customWidth="1"/>
    <col min="34" max="34" width="8.44140625" style="98" customWidth="1"/>
    <col min="35" max="35" width="4" style="98" customWidth="1"/>
    <col min="36" max="36" width="6.44140625" style="98" customWidth="1"/>
    <col min="37" max="37" width="5.6640625" style="98" customWidth="1"/>
    <col min="38" max="38" width="6.88671875" style="98" customWidth="1"/>
    <col min="39" max="39" width="4" style="98" customWidth="1"/>
    <col min="40" max="40" width="4.6640625" style="98" customWidth="1"/>
    <col min="41" max="41" width="5.6640625" style="98" customWidth="1"/>
    <col min="42" max="42" width="7.33203125" style="98" customWidth="1"/>
    <col min="43" max="43" width="4" style="98" customWidth="1"/>
    <col min="44" max="44" width="4.44140625" style="98" customWidth="1"/>
    <col min="45" max="45" width="5.44140625" style="98" customWidth="1"/>
    <col min="46" max="46" width="6" style="98" customWidth="1"/>
    <col min="47" max="47" width="4" style="98" customWidth="1"/>
    <col min="48" max="48" width="5.109375" style="98" customWidth="1"/>
    <col min="49" max="49" width="7.109375" style="98" customWidth="1"/>
    <col min="50" max="50" width="5.44140625" style="98" customWidth="1"/>
    <col min="51" max="51" width="3.6640625" style="98" customWidth="1"/>
    <col min="52" max="52" width="5.44140625" style="98" customWidth="1"/>
    <col min="53" max="53" width="8.6640625" style="98" customWidth="1"/>
    <col min="54" max="54" width="6.88671875" style="98" customWidth="1"/>
    <col min="55" max="55" width="4" style="98" customWidth="1"/>
    <col min="56" max="56" width="4.6640625" style="98" customWidth="1"/>
    <col min="57" max="57" width="6" style="98" customWidth="1"/>
    <col min="58" max="58" width="6.10937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6640625" style="98" customWidth="1"/>
    <col min="67" max="67" width="3.88671875" style="98" customWidth="1"/>
    <col min="68" max="68" width="4" style="98" customWidth="1"/>
    <col min="69" max="69" width="5" style="98" customWidth="1"/>
    <col min="70" max="70" width="4.6640625" style="98" customWidth="1"/>
    <col min="71" max="71" width="5" style="98" customWidth="1"/>
    <col min="72" max="72" width="4" style="98" customWidth="1"/>
    <col min="73" max="73" width="5.109375" style="98" customWidth="1"/>
    <col min="74" max="74" width="6.5546875" style="98" customWidth="1"/>
    <col min="75" max="75" width="4" style="98" customWidth="1"/>
    <col min="76" max="76" width="5" style="134" customWidth="1"/>
    <col min="77" max="77" width="4.5546875" style="115" customWidth="1"/>
    <col min="78" max="78" width="4.44140625" style="115" customWidth="1"/>
    <col min="79" max="80" width="4" style="115" customWidth="1"/>
    <col min="81" max="81" width="6" style="115" customWidth="1"/>
    <col min="82" max="82" width="4.44140625" style="115" customWidth="1"/>
    <col min="83" max="84" width="4" style="115" customWidth="1"/>
    <col min="85" max="85" width="8.88671875" style="98" customWidth="1"/>
    <col min="86" max="86" width="7.44140625" style="98" customWidth="1"/>
    <col min="87" max="87" width="4" style="98" customWidth="1"/>
    <col min="88" max="88" width="7" style="98" customWidth="1"/>
    <col min="89" max="92" width="9.109375" style="98" customWidth="1"/>
    <col min="93" max="16384" width="9.109375" style="98"/>
  </cols>
  <sheetData>
    <row r="1" spans="1:128" ht="17.399999999999999">
      <c r="A1" s="663" t="s">
        <v>605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3"/>
      <c r="AL1" s="663"/>
      <c r="AM1" s="663"/>
      <c r="AN1" s="663"/>
      <c r="AO1" s="663"/>
      <c r="AP1" s="663"/>
      <c r="AQ1" s="663"/>
      <c r="AR1" s="663"/>
      <c r="AS1" s="663"/>
      <c r="AT1" s="663"/>
      <c r="AU1" s="663"/>
      <c r="AV1" s="663"/>
      <c r="AW1" s="663"/>
      <c r="AX1" s="663"/>
      <c r="AY1" s="663"/>
      <c r="AZ1" s="663"/>
      <c r="BA1" s="663"/>
      <c r="BB1" s="663"/>
      <c r="BC1" s="663"/>
      <c r="BD1" s="663"/>
      <c r="BE1" s="663"/>
      <c r="BF1" s="663"/>
      <c r="BG1" s="663"/>
      <c r="BH1" s="663"/>
      <c r="BI1" s="663"/>
      <c r="BJ1" s="663"/>
      <c r="BK1" s="663"/>
      <c r="BL1" s="663"/>
      <c r="BM1" s="663"/>
      <c r="BN1" s="663"/>
      <c r="BO1" s="663"/>
      <c r="BP1" s="663"/>
      <c r="BQ1" s="663"/>
      <c r="BR1" s="663"/>
      <c r="BS1" s="663"/>
      <c r="BT1" s="663"/>
      <c r="BU1" s="663"/>
      <c r="BV1" s="663"/>
      <c r="BW1" s="663"/>
      <c r="BX1" s="663"/>
      <c r="BY1" s="663"/>
      <c r="BZ1" s="663"/>
      <c r="CA1" s="663"/>
      <c r="CB1" s="663"/>
      <c r="CC1" s="663"/>
      <c r="CD1" s="663"/>
      <c r="CE1" s="663"/>
      <c r="CF1" s="663"/>
      <c r="CG1" s="663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114"/>
      <c r="Y2" s="262"/>
      <c r="Z2" s="262"/>
      <c r="AA2" s="114"/>
      <c r="AB2" s="114"/>
      <c r="AC2" s="262"/>
      <c r="AD2" s="262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2"/>
      <c r="BR2" s="262"/>
      <c r="BS2" s="114"/>
      <c r="BT2" s="114"/>
      <c r="BU2" s="262"/>
      <c r="BV2" s="262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240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>
      <c r="A3" s="551"/>
      <c r="B3" s="551"/>
      <c r="C3" s="551"/>
      <c r="D3" s="551"/>
      <c r="E3" s="664" t="s">
        <v>171</v>
      </c>
      <c r="F3" s="664"/>
      <c r="G3" s="664"/>
      <c r="H3" s="664"/>
      <c r="I3" s="664" t="s">
        <v>172</v>
      </c>
      <c r="J3" s="664"/>
      <c r="K3" s="664"/>
      <c r="L3" s="664"/>
      <c r="M3" s="664" t="s">
        <v>173</v>
      </c>
      <c r="N3" s="664"/>
      <c r="O3" s="664"/>
      <c r="P3" s="664"/>
      <c r="Q3" s="664" t="s">
        <v>174</v>
      </c>
      <c r="R3" s="664"/>
      <c r="S3" s="664"/>
      <c r="T3" s="664"/>
      <c r="U3" s="664" t="s">
        <v>175</v>
      </c>
      <c r="V3" s="664"/>
      <c r="W3" s="664"/>
      <c r="X3" s="664"/>
      <c r="Y3" s="664" t="s">
        <v>176</v>
      </c>
      <c r="Z3" s="664"/>
      <c r="AA3" s="664"/>
      <c r="AB3" s="664"/>
      <c r="AC3" s="664" t="s">
        <v>177</v>
      </c>
      <c r="AD3" s="664"/>
      <c r="AE3" s="664"/>
      <c r="AF3" s="664"/>
      <c r="AG3" s="665" t="s">
        <v>178</v>
      </c>
      <c r="AH3" s="666"/>
      <c r="AI3" s="666"/>
      <c r="AJ3" s="667"/>
      <c r="AK3" s="668" t="s">
        <v>271</v>
      </c>
      <c r="AL3" s="669"/>
      <c r="AM3" s="669"/>
      <c r="AN3" s="670"/>
      <c r="AO3" s="668" t="s">
        <v>385</v>
      </c>
      <c r="AP3" s="669"/>
      <c r="AQ3" s="669"/>
      <c r="AR3" s="670"/>
      <c r="AS3" s="668" t="s">
        <v>386</v>
      </c>
      <c r="AT3" s="669"/>
      <c r="AU3" s="669"/>
      <c r="AV3" s="670"/>
      <c r="AW3" s="668" t="s">
        <v>387</v>
      </c>
      <c r="AX3" s="669"/>
      <c r="AY3" s="669"/>
      <c r="AZ3" s="670"/>
      <c r="BA3" s="665" t="s">
        <v>389</v>
      </c>
      <c r="BB3" s="666"/>
      <c r="BC3" s="666"/>
      <c r="BD3" s="667"/>
      <c r="BE3" s="668" t="s">
        <v>592</v>
      </c>
      <c r="BF3" s="669"/>
      <c r="BG3" s="669"/>
      <c r="BH3" s="670"/>
      <c r="BI3" s="668" t="s">
        <v>404</v>
      </c>
      <c r="BJ3" s="669"/>
      <c r="BK3" s="669"/>
      <c r="BL3" s="670"/>
      <c r="BM3" s="668" t="s">
        <v>388</v>
      </c>
      <c r="BN3" s="669"/>
      <c r="BO3" s="669"/>
      <c r="BP3" s="670"/>
      <c r="BQ3" s="664" t="s">
        <v>71</v>
      </c>
      <c r="BR3" s="664"/>
      <c r="BS3" s="664"/>
      <c r="BT3" s="664"/>
      <c r="BU3" s="664" t="s">
        <v>604</v>
      </c>
      <c r="BV3" s="664"/>
      <c r="BW3" s="664"/>
      <c r="BX3" s="668"/>
      <c r="BY3" s="668" t="s">
        <v>383</v>
      </c>
      <c r="BZ3" s="669"/>
      <c r="CA3" s="669"/>
      <c r="CB3" s="670"/>
      <c r="CC3" s="668" t="s">
        <v>601</v>
      </c>
      <c r="CD3" s="669"/>
      <c r="CE3" s="669"/>
      <c r="CF3" s="670"/>
      <c r="CG3" s="665" t="s">
        <v>179</v>
      </c>
      <c r="CH3" s="666"/>
      <c r="CI3" s="666"/>
      <c r="CJ3" s="667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>
      <c r="A4" s="120" t="s">
        <v>180</v>
      </c>
      <c r="B4" s="551" t="s">
        <v>181</v>
      </c>
      <c r="C4" s="551"/>
      <c r="D4" s="551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263" t="s">
        <v>68</v>
      </c>
      <c r="AH4" s="263" t="s">
        <v>69</v>
      </c>
      <c r="AI4" s="263" t="s">
        <v>70</v>
      </c>
      <c r="AJ4" s="263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263" t="s">
        <v>68</v>
      </c>
      <c r="BB4" s="263" t="s">
        <v>69</v>
      </c>
      <c r="BC4" s="263" t="s">
        <v>70</v>
      </c>
      <c r="BD4" s="263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1" t="s">
        <v>68</v>
      </c>
      <c r="CD4" s="121" t="s">
        <v>69</v>
      </c>
      <c r="CE4" s="121" t="s">
        <v>70</v>
      </c>
      <c r="CF4" s="121" t="s">
        <v>184</v>
      </c>
      <c r="CG4" s="274" t="s">
        <v>68</v>
      </c>
      <c r="CH4" s="274" t="s">
        <v>69</v>
      </c>
      <c r="CI4" s="274" t="s">
        <v>70</v>
      </c>
      <c r="CJ4" s="263" t="s">
        <v>184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>
      <c r="A5" s="100">
        <v>200</v>
      </c>
      <c r="B5" s="555" t="s">
        <v>185</v>
      </c>
      <c r="C5" s="556"/>
      <c r="D5" s="557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4">
        <f t="shared" ref="AG5:AH65" si="3">E5+I5+M5+Q5+U5+Y5+AC5</f>
        <v>1372</v>
      </c>
      <c r="AH5" s="264">
        <f>AH7+AH9+AH10+AH45+AH6</f>
        <v>0</v>
      </c>
      <c r="AI5" s="264">
        <f>AH5/AG5*100</f>
        <v>0</v>
      </c>
      <c r="AJ5" s="264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4">
        <f t="shared" ref="BA5:BB65" si="8">AK5+AO5+AS5+AW5</f>
        <v>110</v>
      </c>
      <c r="BB5" s="264">
        <f>BB7+BB9+BB10+BB45</f>
        <v>0</v>
      </c>
      <c r="BC5" s="264">
        <f>BB5/BA5*100</f>
        <v>0</v>
      </c>
      <c r="BD5" s="264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4">
        <f t="shared" ref="CG5:CG10" si="12">AG5+BA5+BE5+BI5+BM5+BQ5+BU5+BY5</f>
        <v>2473.5</v>
      </c>
      <c r="CH5" s="264">
        <f>CH7+CH9+CH10+CH45+CH6</f>
        <v>3.6999999999999998E-2</v>
      </c>
      <c r="CI5" s="264">
        <f t="shared" ref="CI5:CI66" si="13">CH5/CG5*100</f>
        <v>1.4958560743885182E-3</v>
      </c>
      <c r="CJ5" s="264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>
      <c r="A6" s="100">
        <v>211</v>
      </c>
      <c r="B6" s="258" t="s">
        <v>403</v>
      </c>
      <c r="C6" s="259"/>
      <c r="D6" s="260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4">
        <f t="shared" si="3"/>
        <v>0</v>
      </c>
      <c r="AH6" s="264">
        <f>F6+R6</f>
        <v>0</v>
      </c>
      <c r="AI6" s="264" t="e">
        <f>AH6/AG6*100</f>
        <v>#DIV/0!</v>
      </c>
      <c r="AJ6" s="264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4">
        <f t="shared" si="8"/>
        <v>0</v>
      </c>
      <c r="BB6" s="264"/>
      <c r="BC6" s="264"/>
      <c r="BD6" s="264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4">
        <f t="shared" si="12"/>
        <v>0</v>
      </c>
      <c r="CH6" s="264">
        <f>F6+R6+AT6</f>
        <v>0</v>
      </c>
      <c r="CI6" s="264" t="e">
        <f t="shared" si="13"/>
        <v>#DIV/0!</v>
      </c>
      <c r="CJ6" s="264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8">
      <c r="A7" s="109">
        <v>212</v>
      </c>
      <c r="B7" s="561" t="s">
        <v>86</v>
      </c>
      <c r="C7" s="562"/>
      <c r="D7" s="563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4">
        <f t="shared" si="3"/>
        <v>18</v>
      </c>
      <c r="AH7" s="265">
        <f>AH8</f>
        <v>0</v>
      </c>
      <c r="AI7" s="264">
        <f>AH7/AG7*100</f>
        <v>0</v>
      </c>
      <c r="AJ7" s="264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4">
        <f t="shared" si="8"/>
        <v>0</v>
      </c>
      <c r="BB7" s="265">
        <f>BB8</f>
        <v>0</v>
      </c>
      <c r="BC7" s="264"/>
      <c r="BD7" s="264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4">
        <f t="shared" si="12"/>
        <v>52.5</v>
      </c>
      <c r="CH7" s="265">
        <f>CH8</f>
        <v>0</v>
      </c>
      <c r="CI7" s="265">
        <f t="shared" si="13"/>
        <v>0</v>
      </c>
      <c r="CJ7" s="265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>
      <c r="A8" s="108"/>
      <c r="B8" s="567" t="s">
        <v>186</v>
      </c>
      <c r="C8" s="568"/>
      <c r="D8" s="569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4">
        <f t="shared" si="3"/>
        <v>18</v>
      </c>
      <c r="AH8" s="266">
        <f>F8+J8+N8+R8+V8+Z8+AD8</f>
        <v>0</v>
      </c>
      <c r="AI8" s="264">
        <f>AH8/AG8*100</f>
        <v>0</v>
      </c>
      <c r="AJ8" s="266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4">
        <f t="shared" si="8"/>
        <v>0</v>
      </c>
      <c r="BB8" s="266">
        <f>AL8+AP8+AT8+AX8</f>
        <v>0</v>
      </c>
      <c r="BC8" s="266"/>
      <c r="BD8" s="266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6">
        <f t="shared" si="12"/>
        <v>52.5</v>
      </c>
      <c r="CH8" s="255">
        <f>R8+V8+Z8+AD8+BR8+BV8+F8+J8+N8+AL8+BZ8+AP8+AT8+AX8+BF8</f>
        <v>0</v>
      </c>
      <c r="CI8" s="266">
        <f t="shared" si="13"/>
        <v>0</v>
      </c>
      <c r="CJ8" s="266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>
      <c r="A9" s="108">
        <v>213</v>
      </c>
      <c r="B9" s="558" t="s">
        <v>187</v>
      </c>
      <c r="C9" s="559"/>
      <c r="D9" s="560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4">
        <f t="shared" si="3"/>
        <v>0</v>
      </c>
      <c r="AH9" s="266"/>
      <c r="AI9" s="266"/>
      <c r="AJ9" s="266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4">
        <f t="shared" si="8"/>
        <v>0</v>
      </c>
      <c r="BB9" s="266"/>
      <c r="BC9" s="264"/>
      <c r="BD9" s="266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6">
        <f t="shared" si="12"/>
        <v>0</v>
      </c>
      <c r="CH9" s="255">
        <f>R9+V9+Z9+AD9+BR9+BV9+F9+J9+N9+AL9+BZ9+AP9+AT9+AX9+BF9</f>
        <v>0</v>
      </c>
      <c r="CI9" s="266"/>
      <c r="CJ9" s="266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>
      <c r="A10" s="100">
        <v>220</v>
      </c>
      <c r="B10" s="555" t="s">
        <v>90</v>
      </c>
      <c r="C10" s="556"/>
      <c r="D10" s="557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4">
        <f t="shared" si="3"/>
        <v>1354</v>
      </c>
      <c r="AH10" s="264">
        <f>AH11+AH12+AH16+AH25+AH14</f>
        <v>0</v>
      </c>
      <c r="AI10" s="264">
        <f>AH10/AG10*100</f>
        <v>0</v>
      </c>
      <c r="AJ10" s="264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4">
        <f t="shared" si="8"/>
        <v>110</v>
      </c>
      <c r="BB10" s="270">
        <f>BB11+BB12+BB16+BB25+BB14</f>
        <v>0</v>
      </c>
      <c r="BC10" s="264">
        <f>BB10/BA10*100</f>
        <v>0</v>
      </c>
      <c r="BD10" s="264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4">
        <f t="shared" si="12"/>
        <v>2092</v>
      </c>
      <c r="CH10" s="270">
        <f>CH11+CH12+CH16+CH25+CH14+CH15</f>
        <v>0</v>
      </c>
      <c r="CI10" s="264">
        <f t="shared" si="13"/>
        <v>0</v>
      </c>
      <c r="CJ10" s="264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>
      <c r="A11" s="108">
        <v>221</v>
      </c>
      <c r="B11" s="558" t="s">
        <v>91</v>
      </c>
      <c r="C11" s="559"/>
      <c r="D11" s="560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4">
        <f t="shared" si="3"/>
        <v>234</v>
      </c>
      <c r="AH11" s="266">
        <f>F11+J11+N11+R11+V11+Z11+AD11</f>
        <v>0</v>
      </c>
      <c r="AI11" s="266">
        <f>AH11/AG11*100</f>
        <v>0</v>
      </c>
      <c r="AJ11" s="266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4">
        <f t="shared" si="8"/>
        <v>60</v>
      </c>
      <c r="BB11" s="266">
        <f>AL11+AP11+AT11+AX11</f>
        <v>0</v>
      </c>
      <c r="BC11" s="266">
        <f>BB11/BA11*100</f>
        <v>0</v>
      </c>
      <c r="BD11" s="266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6">
        <f>AG11+BA11+BE11+BI11+BM11+BQ11+BU11+BY11</f>
        <v>477</v>
      </c>
      <c r="CH11" s="255">
        <f>R11+V11+Z11+AD11+BR11+BV11+F11+J11+N11+AL11+BZ11+AP11+AT11+AX11+BF11+BN11+BJ11</f>
        <v>0</v>
      </c>
      <c r="CI11" s="266">
        <f t="shared" si="13"/>
        <v>0</v>
      </c>
      <c r="CJ11" s="266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8">
      <c r="A12" s="109">
        <v>222</v>
      </c>
      <c r="B12" s="561" t="s">
        <v>188</v>
      </c>
      <c r="C12" s="562"/>
      <c r="D12" s="563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4">
        <f t="shared" si="3"/>
        <v>0</v>
      </c>
      <c r="AH12" s="265">
        <f>AH13</f>
        <v>0</v>
      </c>
      <c r="AI12" s="265" t="e">
        <f>AH12/AG12*100</f>
        <v>#DIV/0!</v>
      </c>
      <c r="AJ12" s="267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4">
        <f t="shared" si="8"/>
        <v>0</v>
      </c>
      <c r="BB12" s="265"/>
      <c r="BC12" s="264" t="e">
        <f>BB12/BA12*100</f>
        <v>#DIV/0!</v>
      </c>
      <c r="BD12" s="265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4">
        <f>Q12+U12+Y12+AC12+BQ12+BU12+E12+I12+M12+AK12+BY12+AO12+AS12+AW12+BE12</f>
        <v>52</v>
      </c>
      <c r="CH12" s="273">
        <f>CH13</f>
        <v>0</v>
      </c>
      <c r="CI12" s="265">
        <f t="shared" si="13"/>
        <v>0</v>
      </c>
      <c r="CJ12" s="265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>
      <c r="A13" s="108"/>
      <c r="B13" s="564" t="s">
        <v>189</v>
      </c>
      <c r="C13" s="565"/>
      <c r="D13" s="566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4">
        <f t="shared" si="3"/>
        <v>0</v>
      </c>
      <c r="AH13" s="266">
        <f>F13+J13+N13+R13+V13+Z13+AD13</f>
        <v>0</v>
      </c>
      <c r="AI13" s="266" t="e">
        <f>AH13/AG13*100</f>
        <v>#DIV/0!</v>
      </c>
      <c r="AJ13" s="268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4">
        <f t="shared" si="8"/>
        <v>0</v>
      </c>
      <c r="BB13" s="266">
        <f>AL13+AP13+AT13+AX13</f>
        <v>0</v>
      </c>
      <c r="BC13" s="266" t="e">
        <f>BB13/BA13*100</f>
        <v>#DIV/0!</v>
      </c>
      <c r="BD13" s="266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6">
        <f t="shared" ref="CG13:CH15" si="28">Q13+U13+Y13+AC13+BQ13+BU13+E13+I13+M13+AK13+BY13+AO13+AS13+AW13+BE13</f>
        <v>52</v>
      </c>
      <c r="CH13" s="255">
        <f>R13+V13+Z13+AD13+BR13+BV13+F13+J13+N13+AL13+BZ13+AP13+AT13+AX13+BF13+BJ13</f>
        <v>0</v>
      </c>
      <c r="CI13" s="266">
        <f t="shared" si="13"/>
        <v>0</v>
      </c>
      <c r="CJ13" s="266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8" hidden="1">
      <c r="A14" s="110">
        <v>223</v>
      </c>
      <c r="B14" s="573" t="s">
        <v>602</v>
      </c>
      <c r="C14" s="574"/>
      <c r="D14" s="575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4">
        <f t="shared" si="3"/>
        <v>0</v>
      </c>
      <c r="AH14" s="264">
        <f>F14+J14+N14+R14+V14+Z14+AD14</f>
        <v>0</v>
      </c>
      <c r="AI14" s="264"/>
      <c r="AJ14" s="269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4">
        <f t="shared" si="8"/>
        <v>0</v>
      </c>
      <c r="BB14" s="264">
        <f>AL14+AP14+AT14+AX14</f>
        <v>0</v>
      </c>
      <c r="BC14" s="264"/>
      <c r="BD14" s="264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4">
        <f t="shared" si="28"/>
        <v>0</v>
      </c>
      <c r="CH14" s="270">
        <f t="shared" si="28"/>
        <v>0</v>
      </c>
      <c r="CI14" s="264" t="e">
        <f>CH14/CG14*100</f>
        <v>#DIV/0!</v>
      </c>
      <c r="CJ14" s="264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>
      <c r="A15" s="111">
        <v>224</v>
      </c>
      <c r="B15" s="576" t="s">
        <v>384</v>
      </c>
      <c r="C15" s="577"/>
      <c r="D15" s="578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4">
        <f t="shared" si="3"/>
        <v>0</v>
      </c>
      <c r="AH15" s="266"/>
      <c r="AI15" s="266"/>
      <c r="AJ15" s="26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4">
        <f t="shared" si="8"/>
        <v>0</v>
      </c>
      <c r="BB15" s="266">
        <f>AL15+AP15+AT15+AX15</f>
        <v>0</v>
      </c>
      <c r="BC15" s="266"/>
      <c r="BD15" s="266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6">
        <f t="shared" si="28"/>
        <v>0</v>
      </c>
      <c r="CH15" s="255">
        <f t="shared" si="28"/>
        <v>0</v>
      </c>
      <c r="CI15" s="266"/>
      <c r="CJ15" s="266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8">
      <c r="A16" s="109">
        <v>225</v>
      </c>
      <c r="B16" s="570" t="s">
        <v>190</v>
      </c>
      <c r="C16" s="571"/>
      <c r="D16" s="572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4">
        <f t="shared" si="3"/>
        <v>99</v>
      </c>
      <c r="AH16" s="265">
        <f>SUM(AH17:AH24)</f>
        <v>0</v>
      </c>
      <c r="AI16" s="265">
        <f t="shared" ref="AI16:AI34" si="29">AH16/AG16*100</f>
        <v>0</v>
      </c>
      <c r="AJ16" s="267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4">
        <f t="shared" si="8"/>
        <v>50</v>
      </c>
      <c r="BB16" s="273">
        <f>SUM(BB17:BB24)</f>
        <v>0</v>
      </c>
      <c r="BC16" s="264">
        <f>BB16/BA16*100</f>
        <v>0</v>
      </c>
      <c r="BD16" s="265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5">
        <f>SUM(CG17:CG24)</f>
        <v>204.9</v>
      </c>
      <c r="CH16" s="273">
        <f>SUM(CH17:CH24)</f>
        <v>0</v>
      </c>
      <c r="CI16" s="265">
        <f t="shared" si="13"/>
        <v>0</v>
      </c>
      <c r="CJ16" s="265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>
      <c r="A17" s="108"/>
      <c r="B17" s="564" t="s">
        <v>249</v>
      </c>
      <c r="C17" s="565"/>
      <c r="D17" s="566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4">
        <f t="shared" si="3"/>
        <v>0</v>
      </c>
      <c r="AH17" s="266">
        <f t="shared" si="3"/>
        <v>0</v>
      </c>
      <c r="AI17" s="266" t="e">
        <f t="shared" si="29"/>
        <v>#DIV/0!</v>
      </c>
      <c r="AJ17" s="268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4">
        <f t="shared" si="8"/>
        <v>0</v>
      </c>
      <c r="BB17" s="266"/>
      <c r="BC17" s="266" t="e">
        <f>BB17/BA17*100</f>
        <v>#DIV/0!</v>
      </c>
      <c r="BD17" s="266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4">
        <f t="shared" ref="CG17:CG65" si="32">AG17+BA17+BE17+BI17+BM17+BQ17+BU17+BY17</f>
        <v>0</v>
      </c>
      <c r="CH17" s="255">
        <f t="shared" ref="CH17:CH23" si="33">R17+V17+Z17+AD17+BR17+BV17+F17+J17+N17+AL17+BZ17+AP17+AT17+AX17+BF17</f>
        <v>0</v>
      </c>
      <c r="CI17" s="271" t="e">
        <f t="shared" si="13"/>
        <v>#DIV/0!</v>
      </c>
      <c r="CJ17" s="266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>
      <c r="A18" s="108"/>
      <c r="B18" s="564" t="s">
        <v>390</v>
      </c>
      <c r="C18" s="565"/>
      <c r="D18" s="566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4">
        <f t="shared" si="3"/>
        <v>0</v>
      </c>
      <c r="AH18" s="266">
        <f t="shared" si="3"/>
        <v>0</v>
      </c>
      <c r="AI18" s="266" t="e">
        <f t="shared" si="29"/>
        <v>#DIV/0!</v>
      </c>
      <c r="AJ18" s="268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4">
        <f t="shared" si="8"/>
        <v>0</v>
      </c>
      <c r="BB18" s="266">
        <f t="shared" si="8"/>
        <v>0</v>
      </c>
      <c r="BC18" s="266"/>
      <c r="BD18" s="266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4">
        <f t="shared" si="32"/>
        <v>0</v>
      </c>
      <c r="CH18" s="255">
        <f t="shared" si="33"/>
        <v>0</v>
      </c>
      <c r="CI18" s="271" t="e">
        <f t="shared" si="13"/>
        <v>#DIV/0!</v>
      </c>
      <c r="CJ18" s="266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>
      <c r="A19" s="108"/>
      <c r="B19" s="564" t="s">
        <v>191</v>
      </c>
      <c r="C19" s="565"/>
      <c r="D19" s="566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4">
        <f t="shared" si="3"/>
        <v>0</v>
      </c>
      <c r="AH19" s="266">
        <f t="shared" si="3"/>
        <v>0</v>
      </c>
      <c r="AI19" s="266" t="e">
        <f t="shared" si="29"/>
        <v>#DIV/0!</v>
      </c>
      <c r="AJ19" s="268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4">
        <f t="shared" si="8"/>
        <v>0</v>
      </c>
      <c r="BB19" s="266">
        <f t="shared" si="8"/>
        <v>0</v>
      </c>
      <c r="BC19" s="266"/>
      <c r="BD19" s="266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4">
        <f t="shared" si="32"/>
        <v>14</v>
      </c>
      <c r="CH19" s="255">
        <f t="shared" si="33"/>
        <v>0</v>
      </c>
      <c r="CI19" s="271">
        <f t="shared" si="13"/>
        <v>0</v>
      </c>
      <c r="CJ19" s="266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>
      <c r="A20" s="108"/>
      <c r="B20" s="564" t="s">
        <v>253</v>
      </c>
      <c r="C20" s="565"/>
      <c r="D20" s="566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4">
        <f t="shared" si="3"/>
        <v>0</v>
      </c>
      <c r="AH20" s="266">
        <f t="shared" si="3"/>
        <v>0</v>
      </c>
      <c r="AI20" s="266" t="e">
        <f t="shared" si="29"/>
        <v>#DIV/0!</v>
      </c>
      <c r="AJ20" s="268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4">
        <f t="shared" si="8"/>
        <v>0</v>
      </c>
      <c r="BB20" s="266">
        <f t="shared" si="8"/>
        <v>0</v>
      </c>
      <c r="BC20" s="266"/>
      <c r="BD20" s="266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4">
        <f t="shared" si="32"/>
        <v>0</v>
      </c>
      <c r="CH20" s="255">
        <f t="shared" si="33"/>
        <v>0</v>
      </c>
      <c r="CI20" s="271" t="e">
        <f t="shared" si="13"/>
        <v>#DIV/0!</v>
      </c>
      <c r="CJ20" s="266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>
      <c r="A21" s="108"/>
      <c r="B21" s="564" t="s">
        <v>273</v>
      </c>
      <c r="C21" s="565"/>
      <c r="D21" s="566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4">
        <f t="shared" si="3"/>
        <v>0</v>
      </c>
      <c r="AH21" s="266">
        <f t="shared" si="3"/>
        <v>0</v>
      </c>
      <c r="AI21" s="266" t="e">
        <f t="shared" si="29"/>
        <v>#DIV/0!</v>
      </c>
      <c r="AJ21" s="268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4">
        <f t="shared" si="8"/>
        <v>50</v>
      </c>
      <c r="BB21" s="266">
        <f t="shared" si="8"/>
        <v>0</v>
      </c>
      <c r="BC21" s="266"/>
      <c r="BD21" s="266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4">
        <f t="shared" si="32"/>
        <v>50.4</v>
      </c>
      <c r="CH21" s="255">
        <f t="shared" si="33"/>
        <v>0</v>
      </c>
      <c r="CI21" s="271">
        <f t="shared" si="13"/>
        <v>0</v>
      </c>
      <c r="CJ21" s="266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>
      <c r="A22" s="108"/>
      <c r="B22" s="564" t="s">
        <v>251</v>
      </c>
      <c r="C22" s="565"/>
      <c r="D22" s="566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4">
        <f t="shared" si="3"/>
        <v>0</v>
      </c>
      <c r="AH22" s="266">
        <f t="shared" si="3"/>
        <v>0</v>
      </c>
      <c r="AI22" s="266" t="e">
        <f t="shared" si="29"/>
        <v>#DIV/0!</v>
      </c>
      <c r="AJ22" s="268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4">
        <f t="shared" si="8"/>
        <v>0</v>
      </c>
      <c r="BB22" s="266">
        <f t="shared" si="8"/>
        <v>0</v>
      </c>
      <c r="BC22" s="266"/>
      <c r="BD22" s="266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4">
        <f t="shared" si="32"/>
        <v>41.5</v>
      </c>
      <c r="CH22" s="255">
        <f t="shared" si="33"/>
        <v>0</v>
      </c>
      <c r="CI22" s="271">
        <f t="shared" si="13"/>
        <v>0</v>
      </c>
      <c r="CJ22" s="266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>
      <c r="A23" s="108"/>
      <c r="B23" s="564" t="s">
        <v>192</v>
      </c>
      <c r="C23" s="565"/>
      <c r="D23" s="566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4">
        <f t="shared" si="3"/>
        <v>0</v>
      </c>
      <c r="AH23" s="266">
        <f t="shared" si="3"/>
        <v>0</v>
      </c>
      <c r="AI23" s="266" t="e">
        <f t="shared" si="29"/>
        <v>#DIV/0!</v>
      </c>
      <c r="AJ23" s="268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4">
        <f t="shared" si="8"/>
        <v>0</v>
      </c>
      <c r="BB23" s="266">
        <f t="shared" si="8"/>
        <v>0</v>
      </c>
      <c r="BC23" s="266"/>
      <c r="BD23" s="266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4">
        <f t="shared" si="32"/>
        <v>0</v>
      </c>
      <c r="CH23" s="255">
        <f t="shared" si="33"/>
        <v>0</v>
      </c>
      <c r="CI23" s="266" t="e">
        <f t="shared" si="13"/>
        <v>#DIV/0!</v>
      </c>
      <c r="CJ23" s="266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>
      <c r="A24" s="108"/>
      <c r="B24" s="567" t="s">
        <v>229</v>
      </c>
      <c r="C24" s="568"/>
      <c r="D24" s="569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4">
        <f>E24+I24+M24+Q24+U24+Y24+AC24</f>
        <v>99</v>
      </c>
      <c r="AH24" s="266">
        <f>F24+J24+N24+R24+V24+Z24+AD24</f>
        <v>0</v>
      </c>
      <c r="AI24" s="266">
        <f>AH24/AG24*100</f>
        <v>0</v>
      </c>
      <c r="AJ24" s="266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4">
        <f>AK24+AO24+AS24+AW24</f>
        <v>0</v>
      </c>
      <c r="BB24" s="266">
        <f>AL24+AP24+AT24+AX24</f>
        <v>0</v>
      </c>
      <c r="BC24" s="266"/>
      <c r="BD24" s="266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4">
        <f>AG24+BA24+BE24+BI24+BM24+BQ24+BU24+BY24</f>
        <v>99</v>
      </c>
      <c r="CH24" s="255">
        <f>R24+V24+Z24+AD24+BR24+BV24+F24+J24+N24+AL24+BZ24+AP24+AT24+AX24+BF24</f>
        <v>0</v>
      </c>
      <c r="CI24" s="266">
        <f>CH24/CG24*100</f>
        <v>0</v>
      </c>
      <c r="CJ24" s="266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>
      <c r="A25" s="109">
        <v>226</v>
      </c>
      <c r="B25" s="561" t="s">
        <v>102</v>
      </c>
      <c r="C25" s="562"/>
      <c r="D25" s="563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4">
        <f t="shared" si="3"/>
        <v>1021</v>
      </c>
      <c r="AH25" s="265">
        <f>SUM(AH26:AH44)</f>
        <v>0</v>
      </c>
      <c r="AI25" s="265">
        <f t="shared" si="29"/>
        <v>0</v>
      </c>
      <c r="AJ25" s="265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4">
        <f t="shared" si="8"/>
        <v>0</v>
      </c>
      <c r="BB25" s="273">
        <f>SUM(BB26:BB44)</f>
        <v>0</v>
      </c>
      <c r="BC25" s="264" t="e">
        <f>BB25/BA25*100</f>
        <v>#DIV/0!</v>
      </c>
      <c r="BD25" s="265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4">
        <f t="shared" si="32"/>
        <v>1358.1</v>
      </c>
      <c r="CH25" s="273">
        <f>SUM(CH26:CH44)</f>
        <v>0</v>
      </c>
      <c r="CI25" s="265">
        <f t="shared" si="13"/>
        <v>0</v>
      </c>
      <c r="CJ25" s="265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>
      <c r="A26" s="108"/>
      <c r="B26" s="564" t="s">
        <v>193</v>
      </c>
      <c r="C26" s="565"/>
      <c r="D26" s="566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4">
        <f t="shared" si="3"/>
        <v>0</v>
      </c>
      <c r="AH26" s="266">
        <f t="shared" si="3"/>
        <v>0</v>
      </c>
      <c r="AI26" s="266" t="e">
        <f t="shared" si="29"/>
        <v>#DIV/0!</v>
      </c>
      <c r="AJ26" s="266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4">
        <f t="shared" si="8"/>
        <v>0</v>
      </c>
      <c r="BB26" s="266">
        <f t="shared" si="8"/>
        <v>0</v>
      </c>
      <c r="BC26" s="266"/>
      <c r="BD26" s="266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4">
        <f t="shared" si="32"/>
        <v>0</v>
      </c>
      <c r="CH26" s="255">
        <f>R26+V26+Z26+AD26+BR26+BV26+F26+J26+N26+AL26+BZ26+AP26+AT26+AX26+BF26</f>
        <v>0</v>
      </c>
      <c r="CI26" s="266" t="e">
        <f t="shared" si="13"/>
        <v>#DIV/0!</v>
      </c>
      <c r="CJ26" s="266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>
      <c r="A27" s="108"/>
      <c r="B27" s="564" t="s">
        <v>392</v>
      </c>
      <c r="C27" s="565"/>
      <c r="D27" s="566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4">
        <f t="shared" si="3"/>
        <v>0</v>
      </c>
      <c r="AH27" s="266">
        <f>F27+J27+N27+R27+V27+Z27+AD27</f>
        <v>0</v>
      </c>
      <c r="AI27" s="266" t="e">
        <f>AH27/AG27*100</f>
        <v>#DIV/0!</v>
      </c>
      <c r="AJ27" s="266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4">
        <f t="shared" si="8"/>
        <v>0</v>
      </c>
      <c r="BB27" s="255">
        <f>AL27+AP27+AT27+AX27</f>
        <v>0</v>
      </c>
      <c r="BC27" s="266" t="e">
        <f>BB27/BA27*100</f>
        <v>#DIV/0!</v>
      </c>
      <c r="BD27" s="266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4">
        <f t="shared" si="32"/>
        <v>0</v>
      </c>
      <c r="CH27" s="255">
        <f>R27+V27+Z27+AD27+BR27+BV27+F27+J27+N27+AL27+BZ27+AP27+AT27+AX27+BF27</f>
        <v>0</v>
      </c>
      <c r="CI27" s="266" t="e">
        <f>CH27/CG27*100</f>
        <v>#DIV/0!</v>
      </c>
      <c r="CJ27" s="266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>
      <c r="A28" s="108"/>
      <c r="B28" s="567" t="s">
        <v>194</v>
      </c>
      <c r="C28" s="568"/>
      <c r="D28" s="569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4">
        <f t="shared" si="3"/>
        <v>0</v>
      </c>
      <c r="AH28" s="266">
        <f t="shared" si="3"/>
        <v>0</v>
      </c>
      <c r="AI28" s="266"/>
      <c r="AJ28" s="266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4">
        <f t="shared" si="8"/>
        <v>0</v>
      </c>
      <c r="BB28" s="266">
        <f t="shared" si="8"/>
        <v>0</v>
      </c>
      <c r="BC28" s="266"/>
      <c r="BD28" s="266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4">
        <f t="shared" si="32"/>
        <v>0</v>
      </c>
      <c r="CH28" s="255">
        <f>R28+V28+Z28+AD28+BR28+BV28+F28+J28+N28+AL28+BZ28+AP28+AT28+AX28+BF28+BN28</f>
        <v>0</v>
      </c>
      <c r="CI28" s="266"/>
      <c r="CJ28" s="266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>
      <c r="A29" s="108"/>
      <c r="B29" s="567" t="s">
        <v>195</v>
      </c>
      <c r="C29" s="568"/>
      <c r="D29" s="569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4">
        <f t="shared" si="3"/>
        <v>75</v>
      </c>
      <c r="AH29" s="266">
        <f t="shared" si="3"/>
        <v>0</v>
      </c>
      <c r="AI29" s="266">
        <f t="shared" si="29"/>
        <v>0</v>
      </c>
      <c r="AJ29" s="266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4">
        <f t="shared" si="8"/>
        <v>0</v>
      </c>
      <c r="BB29" s="266">
        <f t="shared" si="8"/>
        <v>0</v>
      </c>
      <c r="BC29" s="266" t="e">
        <f>BB29/BA29*100</f>
        <v>#DIV/0!</v>
      </c>
      <c r="BD29" s="266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4">
        <f t="shared" si="32"/>
        <v>75</v>
      </c>
      <c r="CH29" s="255">
        <f>R29+V29+Z29+AD29+BR29+BV29+F29+J29+N29+AL29+BZ29+AP29+AT29+AX29+BF29</f>
        <v>0</v>
      </c>
      <c r="CI29" s="266">
        <f t="shared" si="13"/>
        <v>0</v>
      </c>
      <c r="CJ29" s="266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>
      <c r="A30" s="108"/>
      <c r="B30" s="567" t="s">
        <v>434</v>
      </c>
      <c r="C30" s="568"/>
      <c r="D30" s="569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4">
        <f t="shared" si="3"/>
        <v>0</v>
      </c>
      <c r="AH30" s="266">
        <f t="shared" si="3"/>
        <v>0</v>
      </c>
      <c r="AI30" s="266" t="e">
        <f t="shared" si="29"/>
        <v>#DIV/0!</v>
      </c>
      <c r="AJ30" s="266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4">
        <f t="shared" si="8"/>
        <v>0</v>
      </c>
      <c r="BB30" s="266">
        <f t="shared" si="8"/>
        <v>0</v>
      </c>
      <c r="BC30" s="266"/>
      <c r="BD30" s="266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4">
        <f t="shared" si="32"/>
        <v>0</v>
      </c>
      <c r="CH30" s="255">
        <f>R30+V30+Z30+AD30+BR30+BV30+F30+J30+N30+AL30+BZ30+AP30+AT30+AX30+BF30</f>
        <v>0</v>
      </c>
      <c r="CI30" s="266" t="e">
        <f t="shared" si="13"/>
        <v>#DIV/0!</v>
      </c>
      <c r="CJ30" s="266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>
      <c r="A31" s="108"/>
      <c r="B31" s="579" t="s">
        <v>250</v>
      </c>
      <c r="C31" s="580"/>
      <c r="D31" s="581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4">
        <f t="shared" si="3"/>
        <v>0</v>
      </c>
      <c r="AH31" s="266">
        <f t="shared" si="3"/>
        <v>0</v>
      </c>
      <c r="AI31" s="266" t="e">
        <f t="shared" si="29"/>
        <v>#DIV/0!</v>
      </c>
      <c r="AJ31" s="266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4">
        <f t="shared" si="8"/>
        <v>0</v>
      </c>
      <c r="BB31" s="266">
        <f t="shared" si="8"/>
        <v>0</v>
      </c>
      <c r="BC31" s="266"/>
      <c r="BD31" s="266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4">
        <f t="shared" si="32"/>
        <v>0</v>
      </c>
      <c r="CH31" s="255">
        <f>R31+V31+Z31+AD31+BR31+BV31+F31+J31+N31+AL31+BZ31+AP31+AT31+AX31+BF31</f>
        <v>0</v>
      </c>
      <c r="CI31" s="266" t="e">
        <f t="shared" si="13"/>
        <v>#DIV/0!</v>
      </c>
      <c r="CJ31" s="266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>
      <c r="A32" s="108"/>
      <c r="B32" s="579" t="s">
        <v>402</v>
      </c>
      <c r="C32" s="580"/>
      <c r="D32" s="581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4">
        <f t="shared" si="3"/>
        <v>0</v>
      </c>
      <c r="AH32" s="266">
        <f t="shared" si="3"/>
        <v>0</v>
      </c>
      <c r="AI32" s="266"/>
      <c r="AJ32" s="266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4">
        <f t="shared" si="8"/>
        <v>0</v>
      </c>
      <c r="BB32" s="266">
        <f t="shared" si="8"/>
        <v>0</v>
      </c>
      <c r="BC32" s="266"/>
      <c r="BD32" s="266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4">
        <f t="shared" si="32"/>
        <v>0</v>
      </c>
      <c r="CH32" s="255">
        <f>R32+V32+Z32+AD32+BR32+BV32+F32+J32+N32+AL32+BZ32+AP32+AT32+AX32+BF32+BJ32</f>
        <v>0</v>
      </c>
      <c r="CI32" s="266" t="e">
        <f t="shared" si="13"/>
        <v>#DIV/0!</v>
      </c>
      <c r="CJ32" s="266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>
      <c r="A33" s="108"/>
      <c r="B33" s="579" t="s">
        <v>226</v>
      </c>
      <c r="C33" s="580"/>
      <c r="D33" s="581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4">
        <f t="shared" si="3"/>
        <v>0</v>
      </c>
      <c r="AH33" s="266">
        <f t="shared" si="3"/>
        <v>0</v>
      </c>
      <c r="AI33" s="266" t="e">
        <f t="shared" si="29"/>
        <v>#DIV/0!</v>
      </c>
      <c r="AJ33" s="266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4">
        <f t="shared" si="8"/>
        <v>0</v>
      </c>
      <c r="BB33" s="266">
        <f t="shared" si="8"/>
        <v>0</v>
      </c>
      <c r="BC33" s="266"/>
      <c r="BD33" s="266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4">
        <f t="shared" si="32"/>
        <v>0</v>
      </c>
      <c r="CH33" s="255">
        <f>R33+V33+Z33+AD33+BR33+BV33+F33+J33+N33+AL33+BZ33+AP33+AT33+AX33+BF33</f>
        <v>0</v>
      </c>
      <c r="CI33" s="266" t="e">
        <f t="shared" si="13"/>
        <v>#DIV/0!</v>
      </c>
      <c r="CJ33" s="266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>
      <c r="A34" s="108"/>
      <c r="B34" s="579" t="s">
        <v>435</v>
      </c>
      <c r="C34" s="580"/>
      <c r="D34" s="581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4">
        <f t="shared" si="3"/>
        <v>115</v>
      </c>
      <c r="AH34" s="266">
        <f t="shared" si="3"/>
        <v>0</v>
      </c>
      <c r="AI34" s="266">
        <f t="shared" si="29"/>
        <v>0</v>
      </c>
      <c r="AJ34" s="266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4">
        <f t="shared" si="8"/>
        <v>0</v>
      </c>
      <c r="BB34" s="266">
        <f t="shared" si="8"/>
        <v>0</v>
      </c>
      <c r="BC34" s="266"/>
      <c r="BD34" s="266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4">
        <f t="shared" si="32"/>
        <v>115</v>
      </c>
      <c r="CH34" s="255">
        <f>R34+V34+Z34+AD34+BR34+BV34+F34+J34+N34+AL34+BZ34+AP34+AT34+AX34+BF34</f>
        <v>0</v>
      </c>
      <c r="CI34" s="266">
        <f t="shared" si="13"/>
        <v>0</v>
      </c>
      <c r="CJ34" s="266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>
      <c r="A35" s="108"/>
      <c r="B35" s="579" t="s">
        <v>196</v>
      </c>
      <c r="C35" s="580"/>
      <c r="D35" s="581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4">
        <f t="shared" si="3"/>
        <v>0</v>
      </c>
      <c r="AH35" s="266">
        <f t="shared" si="3"/>
        <v>0</v>
      </c>
      <c r="AI35" s="266" t="e">
        <f>AH35/AG35*100</f>
        <v>#DIV/0!</v>
      </c>
      <c r="AJ35" s="266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4">
        <f t="shared" si="8"/>
        <v>0</v>
      </c>
      <c r="BB35" s="255">
        <f t="shared" si="8"/>
        <v>0</v>
      </c>
      <c r="BC35" s="266"/>
      <c r="BD35" s="266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4">
        <f t="shared" si="32"/>
        <v>58.1</v>
      </c>
      <c r="CH35" s="255">
        <f>R35+V35+Z35+AD35+BR35+BV35+F35+J35+N35+AL35+BZ35+AP35+AT35+AX35+BF35+BN35+BJ35</f>
        <v>0</v>
      </c>
      <c r="CI35" s="266">
        <f t="shared" si="13"/>
        <v>0</v>
      </c>
      <c r="CJ35" s="266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>
      <c r="A36" s="108"/>
      <c r="B36" s="579" t="s">
        <v>254</v>
      </c>
      <c r="C36" s="580"/>
      <c r="D36" s="581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4">
        <f t="shared" si="3"/>
        <v>0</v>
      </c>
      <c r="AH36" s="266">
        <f t="shared" si="3"/>
        <v>0</v>
      </c>
      <c r="AI36" s="266" t="e">
        <f>AH36/AG36*100</f>
        <v>#DIV/0!</v>
      </c>
      <c r="AJ36" s="266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4">
        <f t="shared" si="8"/>
        <v>0</v>
      </c>
      <c r="BB36" s="266">
        <f t="shared" si="8"/>
        <v>0</v>
      </c>
      <c r="BC36" s="266"/>
      <c r="BD36" s="266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4">
        <f t="shared" si="32"/>
        <v>0</v>
      </c>
      <c r="CH36" s="255">
        <f>R36+V36+Z36+AD36+BR36+BV36+F36+J36+N36+AL36+BZ36+AP36+AT36+AX36+BF36</f>
        <v>0</v>
      </c>
      <c r="CI36" s="266" t="e">
        <f t="shared" si="13"/>
        <v>#DIV/0!</v>
      </c>
      <c r="CJ36" s="266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>
      <c r="A37" s="108"/>
      <c r="B37" s="579" t="s">
        <v>197</v>
      </c>
      <c r="C37" s="580"/>
      <c r="D37" s="581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4">
        <f t="shared" si="3"/>
        <v>0</v>
      </c>
      <c r="AH37" s="266">
        <f t="shared" si="3"/>
        <v>0</v>
      </c>
      <c r="AI37" s="266"/>
      <c r="AJ37" s="266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4">
        <f t="shared" si="8"/>
        <v>0</v>
      </c>
      <c r="BB37" s="266">
        <f t="shared" si="8"/>
        <v>0</v>
      </c>
      <c r="BC37" s="266"/>
      <c r="BD37" s="266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4">
        <f t="shared" si="32"/>
        <v>0</v>
      </c>
      <c r="CH37" s="255">
        <f>R37+V37+Z37+AD37+BR37+BV37+F37+J37+N37+AL37+BZ37+AP37+AT37+AX37+BF37</f>
        <v>0</v>
      </c>
      <c r="CI37" s="266" t="e">
        <f t="shared" si="13"/>
        <v>#DIV/0!</v>
      </c>
      <c r="CJ37" s="266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>
      <c r="A38" s="108"/>
      <c r="B38" s="567" t="s">
        <v>391</v>
      </c>
      <c r="C38" s="568"/>
      <c r="D38" s="569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4">
        <f t="shared" si="3"/>
        <v>0</v>
      </c>
      <c r="AH38" s="266">
        <f t="shared" si="3"/>
        <v>0</v>
      </c>
      <c r="AI38" s="266"/>
      <c r="AJ38" s="266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4">
        <f t="shared" si="8"/>
        <v>0</v>
      </c>
      <c r="BB38" s="266">
        <f t="shared" si="8"/>
        <v>0</v>
      </c>
      <c r="BC38" s="266"/>
      <c r="BD38" s="266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4">
        <f t="shared" si="32"/>
        <v>0</v>
      </c>
      <c r="CH38" s="255">
        <f>R38+V38+Z38+AD38+BR38+BV38+F38+J38+N38+AL38+BZ38+AP38+AT38+AX38+BF38+BN38</f>
        <v>0</v>
      </c>
      <c r="CI38" s="266"/>
      <c r="CJ38" s="266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>
      <c r="A39" s="108"/>
      <c r="B39" s="567" t="s">
        <v>255</v>
      </c>
      <c r="C39" s="568"/>
      <c r="D39" s="569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4">
        <f t="shared" si="3"/>
        <v>424</v>
      </c>
      <c r="AH39" s="266">
        <f t="shared" si="3"/>
        <v>0</v>
      </c>
      <c r="AI39" s="266"/>
      <c r="AJ39" s="266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4">
        <f t="shared" si="8"/>
        <v>0</v>
      </c>
      <c r="BB39" s="266">
        <f t="shared" si="8"/>
        <v>0</v>
      </c>
      <c r="BC39" s="266"/>
      <c r="BD39" s="266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4">
        <f t="shared" si="32"/>
        <v>456</v>
      </c>
      <c r="CH39" s="255">
        <f t="shared" ref="CH39:CH44" si="48">R39+V39+Z39+AD39+BR39+BV39+F39+J39+N39+AL39+BZ39+AP39+AT39+AX39+BF39</f>
        <v>0</v>
      </c>
      <c r="CI39" s="266">
        <f t="shared" si="13"/>
        <v>0</v>
      </c>
      <c r="CJ39" s="266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>
      <c r="A40" s="108"/>
      <c r="B40" s="567" t="s">
        <v>198</v>
      </c>
      <c r="C40" s="568"/>
      <c r="D40" s="569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4">
        <f t="shared" si="3"/>
        <v>407</v>
      </c>
      <c r="AH40" s="266">
        <f t="shared" si="3"/>
        <v>0</v>
      </c>
      <c r="AI40" s="266">
        <f>AH40/AG40*100</f>
        <v>0</v>
      </c>
      <c r="AJ40" s="266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4">
        <f t="shared" si="8"/>
        <v>0</v>
      </c>
      <c r="BB40" s="266">
        <f t="shared" si="8"/>
        <v>0</v>
      </c>
      <c r="BC40" s="266"/>
      <c r="BD40" s="266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4">
        <f t="shared" si="32"/>
        <v>407</v>
      </c>
      <c r="CH40" s="255">
        <f t="shared" si="48"/>
        <v>0</v>
      </c>
      <c r="CI40" s="266">
        <f t="shared" si="13"/>
        <v>0</v>
      </c>
      <c r="CJ40" s="266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>
      <c r="A41" s="108"/>
      <c r="B41" s="567" t="s">
        <v>479</v>
      </c>
      <c r="C41" s="568"/>
      <c r="D41" s="569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4">
        <f>E41+I41+M41+Q41+U41+Y41+AC41</f>
        <v>0</v>
      </c>
      <c r="AH41" s="266">
        <f>F41+J41+N41+R41+V41+Z41+AD41</f>
        <v>0</v>
      </c>
      <c r="AI41" s="266"/>
      <c r="AJ41" s="266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4">
        <f>AK41+AO41+AS41+AW41</f>
        <v>0</v>
      </c>
      <c r="BB41" s="266">
        <f>AL41+AP41+AT41+AX41</f>
        <v>0</v>
      </c>
      <c r="BC41" s="266"/>
      <c r="BD41" s="266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4">
        <f>AG41+BA41+BE41+BI41+BM41+BQ41+BU41+BY41</f>
        <v>0</v>
      </c>
      <c r="CH41" s="255">
        <f t="shared" si="48"/>
        <v>0</v>
      </c>
      <c r="CI41" s="266"/>
      <c r="CJ41" s="266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>
      <c r="A42" s="108"/>
      <c r="B42" s="567" t="s">
        <v>603</v>
      </c>
      <c r="C42" s="568"/>
      <c r="D42" s="569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4">
        <f>E42+I42+M42+Q42+U42+Y42+AC42</f>
        <v>0</v>
      </c>
      <c r="AH42" s="266">
        <f>F42+J42+N42+R42+V42+Z42+AD42</f>
        <v>0</v>
      </c>
      <c r="AI42" s="266"/>
      <c r="AJ42" s="266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4">
        <f>AK42+AO42+AS42+AW42</f>
        <v>0</v>
      </c>
      <c r="BB42" s="266">
        <f>AL42+AP42+AT42+AX42</f>
        <v>0</v>
      </c>
      <c r="BC42" s="266"/>
      <c r="BD42" s="266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4">
        <f>AG42+BA42+BE42+BI42+BM42+BQ42+BU42+BY42</f>
        <v>247</v>
      </c>
      <c r="CH42" s="255">
        <f t="shared" si="48"/>
        <v>0</v>
      </c>
      <c r="CI42" s="266"/>
      <c r="CJ42" s="266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>
      <c r="A43" s="108"/>
      <c r="B43" s="567" t="s">
        <v>558</v>
      </c>
      <c r="C43" s="568"/>
      <c r="D43" s="569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4">
        <f t="shared" si="3"/>
        <v>0</v>
      </c>
      <c r="AH43" s="266">
        <f t="shared" si="3"/>
        <v>0</v>
      </c>
      <c r="AI43" s="266" t="e">
        <f>AH43/AG43*100</f>
        <v>#DIV/0!</v>
      </c>
      <c r="AJ43" s="266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4">
        <f t="shared" si="8"/>
        <v>0</v>
      </c>
      <c r="BB43" s="266">
        <f t="shared" si="8"/>
        <v>0</v>
      </c>
      <c r="BC43" s="266"/>
      <c r="BD43" s="266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4">
        <f t="shared" si="32"/>
        <v>0</v>
      </c>
      <c r="CH43" s="255">
        <f t="shared" si="48"/>
        <v>0</v>
      </c>
      <c r="CI43" s="266" t="e">
        <f t="shared" si="13"/>
        <v>#DIV/0!</v>
      </c>
      <c r="CJ43" s="266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>
      <c r="A44" s="108"/>
      <c r="B44" s="567" t="s">
        <v>252</v>
      </c>
      <c r="C44" s="568"/>
      <c r="D44" s="569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4">
        <f t="shared" si="3"/>
        <v>0</v>
      </c>
      <c r="AH44" s="266">
        <f t="shared" si="3"/>
        <v>0</v>
      </c>
      <c r="AI44" s="266"/>
      <c r="AJ44" s="266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4">
        <f t="shared" si="8"/>
        <v>0</v>
      </c>
      <c r="BB44" s="266">
        <f t="shared" si="8"/>
        <v>0</v>
      </c>
      <c r="BC44" s="266"/>
      <c r="BD44" s="266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4">
        <f t="shared" si="32"/>
        <v>0</v>
      </c>
      <c r="CH44" s="255">
        <f t="shared" si="48"/>
        <v>0</v>
      </c>
      <c r="CI44" s="266"/>
      <c r="CJ44" s="266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8">
      <c r="A45" s="109">
        <v>290</v>
      </c>
      <c r="B45" s="561" t="s">
        <v>67</v>
      </c>
      <c r="C45" s="562"/>
      <c r="D45" s="563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4">
        <f t="shared" si="3"/>
        <v>0</v>
      </c>
      <c r="AH45" s="265">
        <f>AH46+AH47+AH48+AH50+AH49</f>
        <v>0</v>
      </c>
      <c r="AI45" s="265" t="e">
        <f>AH45/AG45*100</f>
        <v>#DIV/0!</v>
      </c>
      <c r="AJ45" s="265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4">
        <f t="shared" si="8"/>
        <v>0</v>
      </c>
      <c r="BB45" s="265">
        <f t="shared" si="51"/>
        <v>0</v>
      </c>
      <c r="BC45" s="265">
        <f t="shared" si="51"/>
        <v>0</v>
      </c>
      <c r="BD45" s="265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4">
        <f t="shared" si="32"/>
        <v>329</v>
      </c>
      <c r="CH45" s="273">
        <f>CH46+CH50+CH47</f>
        <v>3.6999999999999998E-2</v>
      </c>
      <c r="CI45" s="265" t="e">
        <f>CI46+CI50+CI47</f>
        <v>#DIV/0!</v>
      </c>
      <c r="CJ45" s="265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>
      <c r="A46" s="108"/>
      <c r="B46" s="558" t="s">
        <v>228</v>
      </c>
      <c r="C46" s="559"/>
      <c r="D46" s="560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4">
        <f t="shared" si="3"/>
        <v>0</v>
      </c>
      <c r="AH46" s="266">
        <f>F46+J46+N46+R46+V46+Z46+AD46</f>
        <v>0</v>
      </c>
      <c r="AI46" s="266"/>
      <c r="AJ46" s="266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4">
        <f t="shared" si="8"/>
        <v>0</v>
      </c>
      <c r="BB46" s="266">
        <f>AL46+AP46+AT46+AX46</f>
        <v>0</v>
      </c>
      <c r="BC46" s="266"/>
      <c r="BD46" s="266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4">
        <f t="shared" si="32"/>
        <v>0</v>
      </c>
      <c r="CH46" s="255">
        <f>R46+V46+Z46+AD46+BR46+BV46+F46+J46+N46+AL46+BZ46+AP46+AT46+AX46+BF46</f>
        <v>3.6999999999999998E-2</v>
      </c>
      <c r="CI46" s="266" t="e">
        <f t="shared" si="13"/>
        <v>#DIV/0!</v>
      </c>
      <c r="CJ46" s="266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>
      <c r="A47" s="108"/>
      <c r="B47" s="567" t="s">
        <v>199</v>
      </c>
      <c r="C47" s="568"/>
      <c r="D47" s="569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4">
        <f t="shared" si="3"/>
        <v>0</v>
      </c>
      <c r="AH47" s="266">
        <f>F47+J47+N47+R47+V47+Z47+AD47</f>
        <v>0</v>
      </c>
      <c r="AI47" s="266" t="e">
        <f>AH47/AG47*100</f>
        <v>#DIV/0!</v>
      </c>
      <c r="AJ47" s="266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4">
        <f t="shared" si="8"/>
        <v>0</v>
      </c>
      <c r="BB47" s="266">
        <f>AL47+AP47+AT47+AX47</f>
        <v>0</v>
      </c>
      <c r="BC47" s="266"/>
      <c r="BD47" s="266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4">
        <f t="shared" si="32"/>
        <v>21</v>
      </c>
      <c r="CH47" s="255">
        <f>R47+V47+Z47+AD47+BR47+BV47+F47+J47+N47+AL47+BZ47+AP47+AT47+AX47+BF47</f>
        <v>0</v>
      </c>
      <c r="CI47" s="266">
        <f t="shared" si="13"/>
        <v>0</v>
      </c>
      <c r="CJ47" s="266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>
      <c r="A48" s="108"/>
      <c r="B48" s="567" t="s">
        <v>200</v>
      </c>
      <c r="C48" s="568"/>
      <c r="D48" s="569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4">
        <f t="shared" si="3"/>
        <v>0</v>
      </c>
      <c r="AH48" s="266">
        <f>F48+J48+N48+R48+V48+Z48+AD48</f>
        <v>0</v>
      </c>
      <c r="AI48" s="266" t="e">
        <f>AH48/AG48*100</f>
        <v>#DIV/0!</v>
      </c>
      <c r="AJ48" s="266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4">
        <f t="shared" si="8"/>
        <v>0</v>
      </c>
      <c r="BB48" s="266">
        <f>AL48+AP48+AT48+AX48</f>
        <v>0</v>
      </c>
      <c r="BC48" s="266"/>
      <c r="BD48" s="266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4">
        <f t="shared" si="32"/>
        <v>0</v>
      </c>
      <c r="CH48" s="255">
        <f>R48+V48+Z48+AD48+BR48+BV48+F48+J48+N48+AL48+BZ48+AP48+AT48+AX48+BF48</f>
        <v>0</v>
      </c>
      <c r="CI48" s="266" t="e">
        <f t="shared" si="13"/>
        <v>#DIV/0!</v>
      </c>
      <c r="CJ48" s="266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>
      <c r="A49" s="108"/>
      <c r="B49" s="567" t="s">
        <v>224</v>
      </c>
      <c r="C49" s="568"/>
      <c r="D49" s="569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4">
        <f t="shared" si="3"/>
        <v>0</v>
      </c>
      <c r="AH49" s="266">
        <f>F49+J49+N49+R49+V49+Z49+AD49</f>
        <v>0</v>
      </c>
      <c r="AI49" s="266" t="e">
        <f>AH49/AG49*100</f>
        <v>#DIV/0!</v>
      </c>
      <c r="AJ49" s="266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4">
        <f t="shared" si="8"/>
        <v>0</v>
      </c>
      <c r="BB49" s="266">
        <f>AL49+AP49+AT49+AX49</f>
        <v>0</v>
      </c>
      <c r="BC49" s="266"/>
      <c r="BD49" s="266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4">
        <f t="shared" si="32"/>
        <v>0</v>
      </c>
      <c r="CH49" s="255">
        <f>R49+V49+Z49+AD49+BR49+BV49+F49+J49+N49+AL49+BZ49+AP49+AT49+AX49+BF49</f>
        <v>0</v>
      </c>
      <c r="CI49" s="266"/>
      <c r="CJ49" s="266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>
      <c r="A50" s="108"/>
      <c r="B50" s="564" t="s">
        <v>194</v>
      </c>
      <c r="C50" s="565"/>
      <c r="D50" s="566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4">
        <f t="shared" si="3"/>
        <v>0</v>
      </c>
      <c r="AH50" s="266">
        <f>F50+J50+N50+R50+V50+Z50+AD50</f>
        <v>0</v>
      </c>
      <c r="AI50" s="266"/>
      <c r="AJ50" s="266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4">
        <f t="shared" si="8"/>
        <v>0</v>
      </c>
      <c r="BB50" s="266">
        <f>AL50+AP50+AT50+AX50</f>
        <v>0</v>
      </c>
      <c r="BC50" s="266"/>
      <c r="BD50" s="266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4">
        <f t="shared" si="32"/>
        <v>308</v>
      </c>
      <c r="CH50" s="255">
        <f>R50+V50+Z50+AD50+BR50+BV50+F50+J50+N50+AL50+BZ50+AP50+AT50+AX50+BF50</f>
        <v>0</v>
      </c>
      <c r="CI50" s="266">
        <f t="shared" si="13"/>
        <v>0</v>
      </c>
      <c r="CJ50" s="266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>
      <c r="A51" s="112">
        <v>300</v>
      </c>
      <c r="B51" s="594" t="s">
        <v>201</v>
      </c>
      <c r="C51" s="595"/>
      <c r="D51" s="596"/>
      <c r="E51" s="99">
        <f>E52+E55</f>
        <v>1525</v>
      </c>
      <c r="F51" s="99">
        <f>F52+F55</f>
        <v>0</v>
      </c>
      <c r="G51" s="99">
        <f>F51/E51*100</f>
        <v>0</v>
      </c>
      <c r="H51" s="261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0">
        <f t="shared" si="3"/>
        <v>26770</v>
      </c>
      <c r="AH51" s="270">
        <f>AH52+AH55</f>
        <v>0</v>
      </c>
      <c r="AI51" s="264">
        <f t="shared" ref="AI51:AI66" si="59">AH51/AG51*100</f>
        <v>0</v>
      </c>
      <c r="AJ51" s="268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1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1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1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1">
        <f>AX51-AW51</f>
        <v>-425</v>
      </c>
      <c r="BA51" s="264">
        <f t="shared" si="8"/>
        <v>1470</v>
      </c>
      <c r="BB51" s="264">
        <f>BB52+BB55</f>
        <v>0</v>
      </c>
      <c r="BC51" s="264">
        <f>BB51/BA51*100</f>
        <v>0</v>
      </c>
      <c r="BD51" s="266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1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1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1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4">
        <f t="shared" si="32"/>
        <v>29008.3</v>
      </c>
      <c r="CH51" s="270">
        <f>CH52+CH55</f>
        <v>0</v>
      </c>
      <c r="CI51" s="264">
        <f t="shared" si="13"/>
        <v>0</v>
      </c>
      <c r="CJ51" s="264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>
      <c r="A52" s="113">
        <v>310</v>
      </c>
      <c r="B52" s="582" t="s">
        <v>202</v>
      </c>
      <c r="C52" s="583"/>
      <c r="D52" s="584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1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4">
        <f t="shared" si="3"/>
        <v>1300</v>
      </c>
      <c r="AH52" s="271">
        <f>AH53+AH54</f>
        <v>0</v>
      </c>
      <c r="AI52" s="271">
        <f t="shared" si="59"/>
        <v>0</v>
      </c>
      <c r="AJ52" s="272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4">
        <f t="shared" si="8"/>
        <v>20</v>
      </c>
      <c r="BB52" s="271">
        <f>BB53+BB54</f>
        <v>0</v>
      </c>
      <c r="BC52" s="271">
        <f>BB52/BA52*100</f>
        <v>0</v>
      </c>
      <c r="BD52" s="271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4">
        <f t="shared" si="32"/>
        <v>1504</v>
      </c>
      <c r="CH52" s="275">
        <f>CH53+CH54</f>
        <v>0</v>
      </c>
      <c r="CI52" s="271">
        <f t="shared" si="13"/>
        <v>0</v>
      </c>
      <c r="CJ52" s="271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>
      <c r="A53" s="108"/>
      <c r="B53" s="588" t="s">
        <v>203</v>
      </c>
      <c r="C53" s="589"/>
      <c r="D53" s="590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4">
        <f t="shared" si="3"/>
        <v>1300</v>
      </c>
      <c r="AH53" s="266">
        <f>F53+J53+N53+R53+V53+Z53+AD53</f>
        <v>0</v>
      </c>
      <c r="AI53" s="271">
        <f t="shared" si="59"/>
        <v>0</v>
      </c>
      <c r="AJ53" s="268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4">
        <f t="shared" si="8"/>
        <v>0</v>
      </c>
      <c r="BB53" s="266">
        <f>AL53+AP53+AT53+AX53</f>
        <v>0</v>
      </c>
      <c r="BC53" s="266" t="e">
        <f>BB53/BA53*100</f>
        <v>#DIV/0!</v>
      </c>
      <c r="BD53" s="266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4">
        <f t="shared" si="32"/>
        <v>1424</v>
      </c>
      <c r="CH53" s="255">
        <f>R53+V53+Z53+AD53+BR53+BV53+F53+J53+N53+AL53+BZ53+AP53+AT53+AX53+BF53</f>
        <v>0</v>
      </c>
      <c r="CI53" s="266">
        <f t="shared" si="13"/>
        <v>0</v>
      </c>
      <c r="CJ53" s="266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>
      <c r="A54" s="108"/>
      <c r="B54" s="588" t="s">
        <v>204</v>
      </c>
      <c r="C54" s="589"/>
      <c r="D54" s="590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4">
        <f t="shared" si="3"/>
        <v>0</v>
      </c>
      <c r="AH54" s="266">
        <f>F54+J54+N54+R54+V54+Z54+AD54</f>
        <v>0</v>
      </c>
      <c r="AI54" s="271" t="e">
        <f t="shared" si="59"/>
        <v>#DIV/0!</v>
      </c>
      <c r="AJ54" s="268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4">
        <f t="shared" si="8"/>
        <v>20</v>
      </c>
      <c r="BB54" s="266">
        <f>AL54+AP54+AT54+AX54</f>
        <v>0</v>
      </c>
      <c r="BC54" s="266"/>
      <c r="BD54" s="266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4">
        <f t="shared" si="32"/>
        <v>80</v>
      </c>
      <c r="CH54" s="255">
        <f>R54+V54+Z54+AD54+BR54+BV54+F54+J54+N54+BJ54+BB54</f>
        <v>0</v>
      </c>
      <c r="CI54" s="266">
        <f>CH54/CG54*100</f>
        <v>0</v>
      </c>
      <c r="CJ54" s="266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>
      <c r="A55" s="109">
        <v>340</v>
      </c>
      <c r="B55" s="591" t="s">
        <v>125</v>
      </c>
      <c r="C55" s="592"/>
      <c r="D55" s="593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0">
        <f t="shared" si="3"/>
        <v>25470</v>
      </c>
      <c r="AH55" s="273">
        <f>AH56+AH57+AH58+AH59+AH60+AH61+AH62+AH63+AH64+AH65</f>
        <v>0</v>
      </c>
      <c r="AI55" s="265">
        <f t="shared" si="59"/>
        <v>0</v>
      </c>
      <c r="AJ55" s="267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4">
        <f t="shared" si="8"/>
        <v>1450</v>
      </c>
      <c r="BB55" s="273">
        <f>SUM(BB56:BB65)</f>
        <v>0</v>
      </c>
      <c r="BC55" s="265">
        <f>BB55/BA55*100</f>
        <v>0</v>
      </c>
      <c r="BD55" s="265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4">
        <f t="shared" si="32"/>
        <v>27504.3</v>
      </c>
      <c r="CH55" s="273">
        <f>CH56+CH57+CH58+CH59+CH60+CH61+CH62+CH63+CH64+CH65</f>
        <v>0</v>
      </c>
      <c r="CI55" s="265">
        <f t="shared" si="13"/>
        <v>0</v>
      </c>
      <c r="CJ55" s="265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8">
      <c r="A56" s="108"/>
      <c r="B56" s="585" t="s">
        <v>205</v>
      </c>
      <c r="C56" s="586"/>
      <c r="D56" s="587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4">
        <f t="shared" si="3"/>
        <v>21700</v>
      </c>
      <c r="AH56" s="266">
        <f t="shared" si="3"/>
        <v>0</v>
      </c>
      <c r="AI56" s="266">
        <f t="shared" si="59"/>
        <v>0</v>
      </c>
      <c r="AJ56" s="268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4">
        <f t="shared" si="8"/>
        <v>825</v>
      </c>
      <c r="BB56" s="266">
        <f t="shared" si="8"/>
        <v>0</v>
      </c>
      <c r="BC56" s="266">
        <f>BB56/BA56*100</f>
        <v>0</v>
      </c>
      <c r="BD56" s="266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4">
        <f t="shared" si="32"/>
        <v>22570</v>
      </c>
      <c r="CH56" s="255">
        <f>R56+V56+Z56+AD56+BR56+BV56+F56+J56+N56+AL56+BZ56+AP56+AT56+AX56+BF56+BJ56</f>
        <v>0</v>
      </c>
      <c r="CI56" s="266">
        <f t="shared" si="13"/>
        <v>0</v>
      </c>
      <c r="CJ56" s="266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8">
      <c r="A57" s="108"/>
      <c r="B57" s="585" t="s">
        <v>436</v>
      </c>
      <c r="C57" s="586"/>
      <c r="D57" s="587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4">
        <f t="shared" si="3"/>
        <v>1750</v>
      </c>
      <c r="AH57" s="266">
        <f t="shared" si="3"/>
        <v>0</v>
      </c>
      <c r="AI57" s="266">
        <f t="shared" si="59"/>
        <v>0</v>
      </c>
      <c r="AJ57" s="268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4">
        <f t="shared" si="8"/>
        <v>190</v>
      </c>
      <c r="BB57" s="266">
        <f t="shared" si="8"/>
        <v>0</v>
      </c>
      <c r="BC57" s="266">
        <f>BB57/BA57*100</f>
        <v>0</v>
      </c>
      <c r="BD57" s="266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4">
        <f t="shared" si="32"/>
        <v>2099.3000000000002</v>
      </c>
      <c r="CH57" s="255">
        <f>R57+V57+Z57+AD57+BR57+BV57+F57+J57+N57+AL57+BZ57+AP57+AT57+AX57+BF57+BJ57+BN57</f>
        <v>0</v>
      </c>
      <c r="CI57" s="266">
        <f t="shared" si="13"/>
        <v>0</v>
      </c>
      <c r="CJ57" s="266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8">
      <c r="A58" s="108"/>
      <c r="B58" s="585" t="s">
        <v>206</v>
      </c>
      <c r="C58" s="586"/>
      <c r="D58" s="587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4">
        <f t="shared" si="3"/>
        <v>155</v>
      </c>
      <c r="AH58" s="266">
        <f t="shared" si="3"/>
        <v>0</v>
      </c>
      <c r="AI58" s="266">
        <f t="shared" si="59"/>
        <v>0</v>
      </c>
      <c r="AJ58" s="268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4">
        <f t="shared" si="8"/>
        <v>20</v>
      </c>
      <c r="BB58" s="266">
        <f t="shared" si="8"/>
        <v>0</v>
      </c>
      <c r="BC58" s="266"/>
      <c r="BD58" s="266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4">
        <f t="shared" si="32"/>
        <v>190</v>
      </c>
      <c r="CH58" s="255">
        <f>R58+V58+Z58+AD58+BR58+BV58+F58+J58+N58+AL58+BZ58+AP58+AT58+AX58+BF58+BJ58+BN58</f>
        <v>0</v>
      </c>
      <c r="CI58" s="266">
        <f t="shared" si="13"/>
        <v>0</v>
      </c>
      <c r="CJ58" s="266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8">
      <c r="A59" s="108"/>
      <c r="B59" s="585" t="s">
        <v>207</v>
      </c>
      <c r="C59" s="586"/>
      <c r="D59" s="587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4">
        <f t="shared" si="3"/>
        <v>1145</v>
      </c>
      <c r="AH59" s="266">
        <f t="shared" si="3"/>
        <v>0</v>
      </c>
      <c r="AI59" s="266">
        <f t="shared" si="59"/>
        <v>0</v>
      </c>
      <c r="AJ59" s="268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4">
        <f t="shared" si="8"/>
        <v>80</v>
      </c>
      <c r="BB59" s="266">
        <f t="shared" si="8"/>
        <v>0</v>
      </c>
      <c r="BC59" s="266">
        <f>BB59/BA59*100</f>
        <v>0</v>
      </c>
      <c r="BD59" s="266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4">
        <f t="shared" si="32"/>
        <v>1275</v>
      </c>
      <c r="CH59" s="255">
        <f>R59+V59+Z59+AD59+BR59+BV59+F59+J59+N59+AL59+BZ59+AP59+AT59+AX59+BF59+BJ59+BN59</f>
        <v>0</v>
      </c>
      <c r="CI59" s="266">
        <f t="shared" si="13"/>
        <v>0</v>
      </c>
      <c r="CJ59" s="266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8">
      <c r="A60" s="108"/>
      <c r="B60" s="585" t="s">
        <v>208</v>
      </c>
      <c r="C60" s="586"/>
      <c r="D60" s="587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4">
        <f t="shared" si="3"/>
        <v>720</v>
      </c>
      <c r="AH60" s="266">
        <f t="shared" si="3"/>
        <v>0</v>
      </c>
      <c r="AI60" s="266"/>
      <c r="AJ60" s="268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4">
        <f t="shared" si="8"/>
        <v>320</v>
      </c>
      <c r="BB60" s="266">
        <f t="shared" si="8"/>
        <v>0</v>
      </c>
      <c r="BC60" s="266"/>
      <c r="BD60" s="266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4">
        <f>AG60+BA60+BE60+BI60+BM60+BQ60+BU60+BY60</f>
        <v>1150</v>
      </c>
      <c r="CH60" s="255">
        <f>R60+V60+Z60+AD60+BR60+BV60+F60+J60+N60+AL60+BZ60+AP60+AT60+AX60+BF60+BJ60</f>
        <v>0</v>
      </c>
      <c r="CI60" s="266">
        <f>CH60/CG60*100</f>
        <v>0</v>
      </c>
      <c r="CJ60" s="266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8">
      <c r="A61" s="108"/>
      <c r="B61" s="585" t="s">
        <v>600</v>
      </c>
      <c r="C61" s="586"/>
      <c r="D61" s="587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4">
        <f t="shared" si="3"/>
        <v>0</v>
      </c>
      <c r="AH61" s="266">
        <f t="shared" si="3"/>
        <v>0</v>
      </c>
      <c r="AI61" s="266" t="e">
        <f t="shared" si="59"/>
        <v>#DIV/0!</v>
      </c>
      <c r="AJ61" s="268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4">
        <f t="shared" si="8"/>
        <v>15</v>
      </c>
      <c r="BB61" s="266">
        <f t="shared" si="8"/>
        <v>0</v>
      </c>
      <c r="BC61" s="266"/>
      <c r="BD61" s="266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4">
        <f t="shared" si="32"/>
        <v>15</v>
      </c>
      <c r="CH61" s="255">
        <f>R61+V61+Z61+AD61+BR61+BV61+F61+J61+N61+AL61+BZ61+AP61+AT61+AX61+BF61+BJ61</f>
        <v>0</v>
      </c>
      <c r="CI61" s="266">
        <f>CH61/CG61*100</f>
        <v>0</v>
      </c>
      <c r="CJ61" s="266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8" hidden="1">
      <c r="A62" s="108"/>
      <c r="B62" s="585" t="s">
        <v>227</v>
      </c>
      <c r="C62" s="586"/>
      <c r="D62" s="587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4">
        <f t="shared" si="3"/>
        <v>0</v>
      </c>
      <c r="AH62" s="266">
        <f t="shared" si="3"/>
        <v>0</v>
      </c>
      <c r="AI62" s="266" t="e">
        <f t="shared" si="59"/>
        <v>#DIV/0!</v>
      </c>
      <c r="AJ62" s="268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4">
        <f t="shared" si="8"/>
        <v>0</v>
      </c>
      <c r="BB62" s="266">
        <f t="shared" si="8"/>
        <v>0</v>
      </c>
      <c r="BC62" s="266"/>
      <c r="BD62" s="266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4">
        <f t="shared" si="32"/>
        <v>0</v>
      </c>
      <c r="CH62" s="255">
        <f>R62+V62+Z62+AD62+BR62+BV62+F62+J62+N62+AL62+BZ62+AP62+AT62+AX62+BF62</f>
        <v>0</v>
      </c>
      <c r="CI62" s="266" t="e">
        <f>CH62/CG62*100</f>
        <v>#DIV/0!</v>
      </c>
      <c r="CJ62" s="266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8">
      <c r="A63" s="108"/>
      <c r="B63" s="585" t="s">
        <v>132</v>
      </c>
      <c r="C63" s="586"/>
      <c r="D63" s="587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4">
        <f t="shared" si="3"/>
        <v>0</v>
      </c>
      <c r="AH63" s="266">
        <f t="shared" si="3"/>
        <v>0</v>
      </c>
      <c r="AI63" s="266"/>
      <c r="AJ63" s="268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4">
        <f t="shared" si="8"/>
        <v>0</v>
      </c>
      <c r="BB63" s="266">
        <f t="shared" si="8"/>
        <v>0</v>
      </c>
      <c r="BC63" s="266"/>
      <c r="BD63" s="266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4">
        <f t="shared" si="32"/>
        <v>25</v>
      </c>
      <c r="CH63" s="255">
        <f>R63+V63+Z63+AD63+BR63+BV63+F63+J63+N63+AL63+BZ63+AP63+AT63+AX63+BF63</f>
        <v>0</v>
      </c>
      <c r="CI63" s="266">
        <f t="shared" si="13"/>
        <v>0</v>
      </c>
      <c r="CJ63" s="266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8" hidden="1">
      <c r="A64" s="108"/>
      <c r="B64" s="585" t="s">
        <v>210</v>
      </c>
      <c r="C64" s="586"/>
      <c r="D64" s="587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4">
        <f t="shared" si="3"/>
        <v>0</v>
      </c>
      <c r="AH64" s="266">
        <f t="shared" si="3"/>
        <v>0</v>
      </c>
      <c r="AI64" s="266" t="e">
        <f t="shared" si="59"/>
        <v>#DIV/0!</v>
      </c>
      <c r="AJ64" s="268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4">
        <f t="shared" si="8"/>
        <v>0</v>
      </c>
      <c r="BB64" s="266">
        <f t="shared" si="8"/>
        <v>0</v>
      </c>
      <c r="BC64" s="266"/>
      <c r="BD64" s="266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4">
        <f t="shared" si="32"/>
        <v>0</v>
      </c>
      <c r="CH64" s="255">
        <f>R64+V64+Z64+AD64+BR64+BV64+F64+J64+N64+AL64+BZ64+AP64+AT64+AX64+BF64</f>
        <v>0</v>
      </c>
      <c r="CI64" s="266" t="e">
        <f t="shared" si="13"/>
        <v>#DIV/0!</v>
      </c>
      <c r="CJ64" s="266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8">
      <c r="A65" s="108"/>
      <c r="B65" s="585" t="s">
        <v>211</v>
      </c>
      <c r="C65" s="586"/>
      <c r="D65" s="587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4">
        <f t="shared" si="3"/>
        <v>0</v>
      </c>
      <c r="AH65" s="266">
        <f t="shared" si="3"/>
        <v>0</v>
      </c>
      <c r="AI65" s="266" t="e">
        <f t="shared" si="59"/>
        <v>#DIV/0!</v>
      </c>
      <c r="AJ65" s="268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4">
        <f t="shared" si="8"/>
        <v>0</v>
      </c>
      <c r="BB65" s="266">
        <f t="shared" si="8"/>
        <v>0</v>
      </c>
      <c r="BC65" s="266"/>
      <c r="BD65" s="266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4">
        <f t="shared" si="32"/>
        <v>180</v>
      </c>
      <c r="CH65" s="255">
        <f>R65+V65+Z65+AD65+BR65+BV65+F65+J65+N65+AL65+BZ65+AP65+AT65+AX65+BF65+BJ65</f>
        <v>0</v>
      </c>
      <c r="CI65" s="266">
        <f t="shared" si="13"/>
        <v>0</v>
      </c>
      <c r="CJ65" s="266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>
      <c r="A66" s="100"/>
      <c r="B66" s="555" t="s">
        <v>212</v>
      </c>
      <c r="C66" s="556"/>
      <c r="D66" s="557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4">
        <f>E66+I66+M66+Q66+U66+Y66+AC66</f>
        <v>28142</v>
      </c>
      <c r="AH66" s="270">
        <f>AH5+AH51</f>
        <v>0</v>
      </c>
      <c r="AI66" s="264">
        <f t="shared" si="59"/>
        <v>0</v>
      </c>
      <c r="AJ66" s="269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4">
        <f>AK66+AO66+AS66+AW66</f>
        <v>1580</v>
      </c>
      <c r="BB66" s="270">
        <f>BB5+BB51</f>
        <v>0</v>
      </c>
      <c r="BC66" s="264">
        <f>BB66/BA66*100</f>
        <v>0</v>
      </c>
      <c r="BD66" s="264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4">
        <f>AG66+BA66+BE66+BI66+BM66+BQ66+BU66+BY66</f>
        <v>31481.8</v>
      </c>
      <c r="CH66" s="270">
        <f>CH5+CH51</f>
        <v>3.6999999999999998E-2</v>
      </c>
      <c r="CI66" s="264">
        <f t="shared" si="13"/>
        <v>1.175282226556296E-4</v>
      </c>
      <c r="CJ66" s="264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>
      <c r="BT71" s="98">
        <f>BQ66+BU66+BY66</f>
        <v>1599.8</v>
      </c>
      <c r="BX71" s="115"/>
      <c r="CG71" s="254">
        <v>23605.599999999999</v>
      </c>
    </row>
    <row r="72" spans="1:179">
      <c r="AF72" s="98">
        <f>AG66+BA66+BE66+BI66+BM66</f>
        <v>29882</v>
      </c>
      <c r="AG72" s="257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>
      <c r="BX73" s="115"/>
    </row>
    <row r="74" spans="1:179">
      <c r="BX74" s="115"/>
    </row>
    <row r="75" spans="1:179">
      <c r="BX75" s="115"/>
    </row>
    <row r="76" spans="1:179">
      <c r="BX76" s="115"/>
    </row>
    <row r="77" spans="1:179">
      <c r="BX77" s="115"/>
    </row>
    <row r="78" spans="1:179">
      <c r="BX78" s="115"/>
    </row>
    <row r="79" spans="1:179">
      <c r="BX79" s="115"/>
    </row>
    <row r="80" spans="1:179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2.2.</vt:lpstr>
      <vt:lpstr>9пр (2)</vt:lpstr>
      <vt:lpstr>_2_</vt:lpstr>
      <vt:lpstr>6</vt:lpstr>
      <vt:lpstr>9пр</vt:lpstr>
      <vt:lpstr>9</vt:lpstr>
      <vt:lpstr>7</vt:lpstr>
      <vt:lpstr>2.2</vt:lpstr>
      <vt:lpstr>2</vt:lpstr>
      <vt:lpstr>6 (3)</vt:lpstr>
      <vt:lpstr>_2_!Область_печати</vt:lpstr>
      <vt:lpstr>'2'!Область_печати</vt:lpstr>
      <vt:lpstr>'2.2'!Область_печати</vt:lpstr>
      <vt:lpstr>'2.2.'!Область_печати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2021-03-19T03:39:46Z</cp:lastPrinted>
  <dcterms:created xsi:type="dcterms:W3CDTF">1996-10-08T23:32:33Z</dcterms:created>
  <dcterms:modified xsi:type="dcterms:W3CDTF">2021-03-19T03:39:48Z</dcterms:modified>
</cp:coreProperties>
</file>