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24519" iterate="1"/>
</workbook>
</file>

<file path=xl/calcChain.xml><?xml version="1.0" encoding="utf-8"?>
<calcChain xmlns="http://schemas.openxmlformats.org/spreadsheetml/2006/main">
  <c r="G18" i="1"/>
  <c r="I46"/>
  <c r="H46"/>
  <c r="G46"/>
  <c r="H18"/>
  <c r="I18"/>
  <c r="H16"/>
  <c r="I16" s="1"/>
  <c r="G44"/>
  <c r="H39"/>
  <c r="I39" s="1"/>
  <c r="H15"/>
  <c r="I15" s="1"/>
  <c r="G37"/>
  <c r="I45"/>
  <c r="H36"/>
  <c r="I36" s="1"/>
  <c r="I4"/>
  <c r="G32"/>
  <c r="G26"/>
  <c r="G40" s="1"/>
  <c r="H44"/>
  <c r="H11"/>
  <c r="G11"/>
  <c r="D11"/>
  <c r="E11"/>
  <c r="F14"/>
  <c r="F13"/>
  <c r="F12"/>
  <c r="F10"/>
  <c r="F9"/>
  <c r="F8"/>
  <c r="F7"/>
  <c r="F6"/>
  <c r="F5"/>
  <c r="F4"/>
  <c r="F17"/>
  <c r="F43"/>
  <c r="F42"/>
  <c r="F41"/>
  <c r="E44"/>
  <c r="D44"/>
  <c r="B33"/>
  <c r="B19"/>
  <c r="B38"/>
  <c r="D38" s="1"/>
  <c r="C35"/>
  <c r="B35"/>
  <c r="C34"/>
  <c r="B34"/>
  <c r="C33"/>
  <c r="I17" l="1"/>
  <c r="I41"/>
  <c r="I14"/>
  <c r="I12"/>
  <c r="I10"/>
  <c r="F11"/>
  <c r="I8"/>
  <c r="I7"/>
  <c r="I5"/>
  <c r="F44"/>
  <c r="I42"/>
  <c r="I6"/>
  <c r="I9"/>
  <c r="I13"/>
  <c r="E38"/>
  <c r="F38" s="1"/>
  <c r="D34"/>
  <c r="D35"/>
  <c r="D33"/>
  <c r="C37"/>
  <c r="B37"/>
  <c r="I43" l="1"/>
  <c r="I44" s="1"/>
  <c r="I11"/>
  <c r="D37"/>
  <c r="E33"/>
  <c r="E34"/>
  <c r="F34" s="1"/>
  <c r="E35"/>
  <c r="F35" s="1"/>
  <c r="H38"/>
  <c r="I38" s="1"/>
  <c r="C31"/>
  <c r="B31"/>
  <c r="C21"/>
  <c r="B21"/>
  <c r="F33" l="1"/>
  <c r="F37" s="1"/>
  <c r="E37"/>
  <c r="H35"/>
  <c r="I35" s="1"/>
  <c r="H34"/>
  <c r="I34" s="1"/>
  <c r="H33"/>
  <c r="B23"/>
  <c r="I33" l="1"/>
  <c r="I37" s="1"/>
  <c r="H37"/>
  <c r="C30"/>
  <c r="B30"/>
  <c r="C29" l="1"/>
  <c r="B29"/>
  <c r="C28" l="1"/>
  <c r="B28"/>
  <c r="B27" l="1"/>
  <c r="B32" s="1"/>
  <c r="C27"/>
  <c r="C32" s="1"/>
  <c r="D32" l="1"/>
  <c r="D28"/>
  <c r="D29"/>
  <c r="D30"/>
  <c r="D31"/>
  <c r="D27"/>
  <c r="E30" l="1"/>
  <c r="F30" s="1"/>
  <c r="E32"/>
  <c r="F32" s="1"/>
  <c r="E28"/>
  <c r="F28" s="1"/>
  <c r="E31"/>
  <c r="F31" s="1"/>
  <c r="E27"/>
  <c r="F27" s="1"/>
  <c r="E29"/>
  <c r="F29" s="1"/>
  <c r="C25"/>
  <c r="B25"/>
  <c r="D20"/>
  <c r="C24"/>
  <c r="B24"/>
  <c r="D24" l="1"/>
  <c r="E24" s="1"/>
  <c r="F24" s="1"/>
  <c r="D25"/>
  <c r="E20"/>
  <c r="F20" s="1"/>
  <c r="H31"/>
  <c r="I31" s="1"/>
  <c r="H29"/>
  <c r="I29" s="1"/>
  <c r="H27"/>
  <c r="I27" s="1"/>
  <c r="H28"/>
  <c r="I28" s="1"/>
  <c r="H30"/>
  <c r="I30" s="1"/>
  <c r="H32"/>
  <c r="I32" s="1"/>
  <c r="C23"/>
  <c r="D23" s="1"/>
  <c r="E25" l="1"/>
  <c r="F25" s="1"/>
  <c r="E23"/>
  <c r="F23" s="1"/>
  <c r="H20"/>
  <c r="H25"/>
  <c r="I25" s="1"/>
  <c r="H24"/>
  <c r="I24" s="1"/>
  <c r="C22"/>
  <c r="B22"/>
  <c r="I20" l="1"/>
  <c r="H23"/>
  <c r="I23" s="1"/>
  <c r="D22"/>
  <c r="E22" l="1"/>
  <c r="F22" s="1"/>
  <c r="D21"/>
  <c r="C19"/>
  <c r="C26" s="1"/>
  <c r="C40" s="1"/>
  <c r="B26"/>
  <c r="B40" s="1"/>
  <c r="H22" l="1"/>
  <c r="I22" s="1"/>
  <c r="D26"/>
  <c r="E21"/>
  <c r="F21" s="1"/>
  <c r="D19"/>
  <c r="E19" l="1"/>
  <c r="F19" s="1"/>
  <c r="H21"/>
  <c r="E26"/>
  <c r="F26" s="1"/>
  <c r="D40"/>
  <c r="D46" s="1"/>
  <c r="I21" l="1"/>
  <c r="H19"/>
  <c r="I19" s="1"/>
  <c r="E40"/>
  <c r="H26" l="1"/>
  <c r="H40" s="1"/>
  <c r="F40"/>
  <c r="F46" s="1"/>
  <c r="E46"/>
  <c r="I26" l="1"/>
  <c r="I40" l="1"/>
</calcChain>
</file>

<file path=xl/sharedStrings.xml><?xml version="1.0" encoding="utf-8"?>
<sst xmlns="http://schemas.openxmlformats.org/spreadsheetml/2006/main" count="49" uniqueCount="48">
  <si>
    <t>штат</t>
  </si>
  <si>
    <t>тарификация</t>
  </si>
  <si>
    <t>Сказка</t>
  </si>
  <si>
    <t>Дюймовочка</t>
  </si>
  <si>
    <t>золотой</t>
  </si>
  <si>
    <t>малышок</t>
  </si>
  <si>
    <t>мишутка</t>
  </si>
  <si>
    <t>теремок</t>
  </si>
  <si>
    <t>Светлячок</t>
  </si>
  <si>
    <t>ДДУ</t>
  </si>
  <si>
    <t>Школа №1</t>
  </si>
  <si>
    <t>Школа №2</t>
  </si>
  <si>
    <t>Школа №3</t>
  </si>
  <si>
    <t>Школа №4</t>
  </si>
  <si>
    <t>ЦО</t>
  </si>
  <si>
    <t>Школы</t>
  </si>
  <si>
    <t>ДДТ</t>
  </si>
  <si>
    <t>ДЮСШ</t>
  </si>
  <si>
    <t>ЦРТДЮ</t>
  </si>
  <si>
    <t>Прочие</t>
  </si>
  <si>
    <t>ВУ</t>
  </si>
  <si>
    <t>Всего</t>
  </si>
  <si>
    <t>ФОТ в месяц</t>
  </si>
  <si>
    <t>ФОТ в год</t>
  </si>
  <si>
    <t>Учреждения</t>
  </si>
  <si>
    <t xml:space="preserve">Председатель </t>
  </si>
  <si>
    <t>Глава ХП</t>
  </si>
  <si>
    <t>Депутат ХП</t>
  </si>
  <si>
    <t>Аппарат администрации</t>
  </si>
  <si>
    <t>КСО</t>
  </si>
  <si>
    <t>ФУ</t>
  </si>
  <si>
    <t>Адм.комиссия</t>
  </si>
  <si>
    <t>ЕДДС</t>
  </si>
  <si>
    <t>Всего по 07 раздел</t>
  </si>
  <si>
    <t>ДУ</t>
  </si>
  <si>
    <t>ГЦБ</t>
  </si>
  <si>
    <t>УК</t>
  </si>
  <si>
    <t>ДШИ</t>
  </si>
  <si>
    <t>Всего по 08 раздел</t>
  </si>
  <si>
    <t>Аппарат УТ и СР</t>
  </si>
  <si>
    <t>Раздел 01</t>
  </si>
  <si>
    <t>Бассейн</t>
  </si>
  <si>
    <t>Аппарат 07</t>
  </si>
  <si>
    <t>КДН</t>
  </si>
  <si>
    <t>Аппарат 08</t>
  </si>
  <si>
    <t xml:space="preserve">Всего аппарат </t>
  </si>
  <si>
    <t>Прочий персонал 0412 раздел</t>
  </si>
  <si>
    <t>Свод ФОТ на 2017 год учреждений г.Ак-Довурак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</si>
</sst>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/>
    <xf numFmtId="0" fontId="1" fillId="0" borderId="1" xfId="0" applyFont="1" applyBorder="1"/>
    <xf numFmtId="1" fontId="3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1" fontId="4" fillId="0" borderId="1" xfId="0" applyNumberFormat="1" applyFont="1" applyBorder="1"/>
    <xf numFmtId="1" fontId="2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5;&#1056;&#1054;&#1045;&#1050;&#1058;%202017/&#1064;&#1090;&#1072;&#1090;&#1099;%20&#1090;%20&#1090;&#1072;&#1088;&#1080;&#1092;&#1080;&#1082;&#1072;&#1094;&#1080;&#1080;%2007&#1088;&#1072;&#1079;&#1076;&#1077;&#1083;/&#1090;&#1072;&#1088;&#1080;&#1092;&#1080;&#1082;&#1072;&#1094;&#1080;&#1103;%202016-17%20&#1091;&#1095;%20&#1075;&#1086;&#1076;/&#1090;&#1072;&#1088;&#1080;&#1092;&#1080;&#1082;&#1072;&#1094;&#1080;&#1103;%202016-17%20&#1091;&#1095;%20&#1075;&#1086;&#1076;/&#1076;&#1076;&#1091;/&#1089;&#1082;&#1072;&#1079;&#1082;&#1072;16-1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5;&#1056;&#1054;&#1045;&#1050;&#1058;%202017/&#1064;&#1090;&#1072;&#1090;&#1099;%20&#1090;%20&#1090;&#1072;&#1088;&#1080;&#1092;&#1080;&#1082;&#1072;&#1094;&#1080;&#1080;%2007&#1088;&#1072;&#1079;&#1076;&#1077;&#1083;/&#1090;&#1072;&#1088;&#1080;&#1092;&#1080;&#1082;&#1072;&#1094;&#1080;&#1103;%202016-17%20&#1091;&#1095;%20&#1075;&#1086;&#1076;/&#1090;&#1072;&#1088;&#1080;&#1092;&#1080;&#1082;&#1072;&#1094;&#1080;&#1103;%202016-17%20&#1091;&#1095;%20&#1075;&#1086;&#1076;/&#1096;&#1082;&#1086;&#1083;&#1099;/&#1058;&#1072;&#1088;&#1080;&#1092;&#1080;&#1082;&#1072;&#1094;&#1080;&#1103;%20&#1052;&#1041;&#1054;&#1059;%20&#1057;&#1054;&#1064;%20&#8470;3%20&#1085;&#1072;%202016-2017%20&#1091;&#107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5;&#1056;&#1054;&#1045;&#1050;&#1058;%202017/&#1064;&#1090;&#1072;&#1090;&#1099;%20&#1090;%20&#1090;&#1072;&#1088;&#1080;&#1092;&#1080;&#1082;&#1072;&#1094;&#1080;&#1080;%2007&#1088;&#1072;&#1079;&#1076;&#1077;&#1083;/&#1090;&#1072;&#1088;&#1080;&#1092;&#1080;&#1082;&#1072;&#1094;&#1080;&#1103;%202016-17%20&#1091;&#1095;%20&#1075;&#1086;&#1076;/&#1090;&#1072;&#1088;&#1080;&#1092;&#1080;&#1082;&#1072;&#1094;&#1080;&#1103;%202016-17%20&#1091;&#1095;%20&#1075;&#1086;&#1076;/&#1096;&#1082;&#1086;&#1083;&#1099;/&#1058;&#1072;&#1088;&#1080;&#1092;&#1080;&#1082;&#1072;&#1094;&#1080;&#1103;%20&#1052;&#1041;&#1054;&#1059;%20&#1057;&#1054;&#1064;%20&#8470;4%202016-2017%20&#1091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5;&#1056;&#1054;&#1045;&#1050;&#1058;%202017/&#1064;&#1090;&#1072;&#1090;&#1099;%20&#1090;%20&#1090;&#1072;&#1088;&#1080;&#1092;&#1080;&#1082;&#1072;&#1094;&#1080;&#1080;%2007&#1088;&#1072;&#1079;&#1076;&#1077;&#1083;/&#1090;&#1072;&#1088;&#1080;&#1092;&#1080;&#1082;&#1072;&#1094;&#1080;&#1103;%202016-17%20&#1091;&#1095;%20&#1075;&#1086;&#1076;/&#1090;&#1072;&#1088;&#1080;&#1092;&#1080;&#1082;&#1072;&#1094;&#1080;&#1103;%202016-17%20&#1091;&#1095;%20&#1075;&#1086;&#1076;/&#1091;&#1076;&#1086;/&#1062;&#1077;&#1085;&#1090;&#1088;%20&#1086;&#1073;&#1088;&#1072;&#1079;&#1086;&#1074;&#1072;&#1085;&#1080;&#1103;%20&#1085;&#1072;%2016-1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5;&#1056;&#1054;&#1045;&#1050;&#1058;%202017/&#1064;&#1090;&#1072;&#1090;&#1099;%20&#1090;%20&#1090;&#1072;&#1088;&#1080;&#1092;&#1080;&#1082;&#1072;&#1094;&#1080;&#1080;%2007&#1088;&#1072;&#1079;&#1076;&#1077;&#1083;/&#1090;&#1072;&#1088;&#1080;&#1092;&#1080;&#1082;&#1072;&#1094;&#1080;&#1103;%202016-17%20&#1091;&#1095;%20&#1075;&#1086;&#1076;/&#1090;&#1072;&#1088;&#1080;&#1092;&#1080;&#1082;&#1072;&#1094;&#1080;&#1103;%202016-17%20&#1091;&#1095;%20&#1075;&#1086;&#1076;/&#1091;&#1076;&#1086;/&#1044;&#1044;&#1058;%202016-17%20&#1091;&#1095;.&#1075;&#1075;%20&#1101;&#1090;&#1082;&#1077;&#1085;&#1080;%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5;&#1056;&#1054;&#1045;&#1050;&#1058;%202017/&#1064;&#1090;&#1072;&#1090;&#1099;%20&#1090;%20&#1090;&#1072;&#1088;&#1080;&#1092;&#1080;&#1082;&#1072;&#1094;&#1080;&#1080;%2007&#1088;&#1072;&#1079;&#1076;&#1077;&#1083;/&#1090;&#1072;&#1088;&#1080;&#1092;&#1080;&#1082;&#1072;&#1094;&#1080;&#1103;%202016-17%20&#1091;&#1095;%20&#1075;&#1086;&#1076;/&#1090;&#1072;&#1088;&#1080;&#1092;&#1080;&#1082;&#1072;&#1094;&#1080;&#1103;%202016-17%20&#1091;&#1095;%20&#1075;&#1086;&#1076;/&#1091;&#1076;&#1086;/&#1044;&#1044;&#1058;%202016-17%20&#1091;&#1095;.&#1075;&#107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5;&#1056;&#1054;&#1045;&#1050;&#1058;%202017/&#1064;&#1090;&#1072;&#1090;&#1099;%20&#1090;%20&#1090;&#1072;&#1088;&#1080;&#1092;&#1080;&#1082;&#1072;&#1094;&#1080;&#1080;%2007&#1088;&#1072;&#1079;&#1076;&#1077;&#1083;/&#1090;&#1072;&#1088;&#1080;&#1092;&#1080;&#1082;&#1072;&#1094;&#1080;&#1103;%202016-17%20&#1091;&#1095;%20&#1075;&#1086;&#1076;/&#1090;&#1072;&#1088;&#1080;&#1092;&#1080;&#1082;&#1072;&#1094;&#1080;&#1103;%202016-17%20&#1091;&#1095;%20&#1075;&#1086;&#1076;/&#1091;&#1076;&#1086;/&#1090;&#1072;&#1088;&#1080;&#1092;&#1080;&#1082;&#1072;&#1094;&#1080;&#1103;%20&#1044;&#1070;&#1057;&#1064;%2016-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5;&#1056;&#1054;&#1045;&#1050;&#1058;%202017/&#1064;&#1090;&#1072;&#1090;&#1099;%20&#1090;%20&#1090;&#1072;&#1088;&#1080;&#1092;&#1080;&#1082;&#1072;&#1094;&#1080;&#1080;%2007&#1088;&#1072;&#1079;&#1076;&#1077;&#1083;/&#1090;&#1072;&#1088;&#1080;&#1092;&#1080;&#1082;&#1072;&#1094;&#1080;&#1103;%202016-17%20&#1091;&#1095;%20&#1075;&#1086;&#1076;/&#1090;&#1072;&#1088;&#1080;&#1092;&#1080;&#1082;&#1072;&#1094;&#1080;&#1103;%202016-17%20&#1091;&#1095;%20&#1075;&#1086;&#1076;/&#1091;&#1076;&#1086;/&#1062;&#1056;&#1058;&#1044;&#1070;-2016-17.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5;&#1056;&#1054;&#1045;&#1050;&#1058;%202017/&#1064;&#1090;&#1072;&#1090;&#1099;%20&#1090;%20&#1090;&#1072;&#1088;&#1080;&#1092;&#1080;&#1082;&#1072;&#1094;&#1080;&#1080;%2007&#1088;&#1072;&#1079;&#1076;&#1077;&#1083;/&#1090;&#1072;&#1088;&#1080;&#1092;&#1080;&#1082;&#1072;&#1094;&#1080;&#1103;%202016-17%20&#1091;&#1095;%20&#1075;&#1086;&#1076;/&#1090;&#1072;&#1088;&#1080;&#1092;&#1080;&#1082;&#1072;&#1094;&#1080;&#1103;%202016-17%20&#1091;&#1095;%20&#1075;&#1086;&#1076;/&#1052;&#1077;&#1090;&#1086;&#1076;&#1082;&#1072;&#1073;%2016-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5;&#1056;&#1054;&#1045;&#1050;&#1058;%202017/&#1064;&#1090;&#1072;&#1090;&#1099;%20&#1090;%20&#1090;&#1072;&#1088;&#1080;&#1092;&#1080;&#1082;&#1072;&#1094;&#1080;&#1080;%2007&#1088;&#1072;&#1079;&#1076;&#1077;&#1083;/&#1090;&#1072;&#1088;&#1080;&#1092;&#1080;&#1082;&#1072;&#1094;&#1080;&#1103;%202016-17%20&#1091;&#1095;%20&#1075;&#1086;&#1076;/&#1090;&#1072;&#1088;&#1080;&#1092;&#1080;&#1082;&#1072;&#1094;&#1080;&#1103;%202016-17%20&#1091;&#1095;%20&#1075;&#1086;&#1076;/&#1076;&#1076;&#1091;/11%20&#1075;&#1088;%20&#1058;&#1072;&#1088;&#1080;&#1092;&#1080;&#1082;&#1072;&#1094;&#1080;&#1103;%20%20&#1052;&#1041;&#1044;&#1054;&#1059;%20&#1047;&#1086;&#1083;&#1086;&#1090;&#1086;&#1081;%20&#1082;&#1083;&#1102;&#1095;&#1080;&#1082;16-17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5;&#1056;&#1054;&#1045;&#1050;&#1058;%202017/&#1064;&#1090;&#1072;&#1090;&#1099;%20&#1090;%20&#1090;&#1072;&#1088;&#1080;&#1092;&#1080;&#1082;&#1072;&#1094;&#1080;&#1080;%2007&#1088;&#1072;&#1079;&#1076;&#1077;&#1083;/&#1090;&#1072;&#1088;&#1080;&#1092;&#1080;&#1082;&#1072;&#1094;&#1080;&#1103;%202016-17%20&#1091;&#1095;%20&#1075;&#1086;&#1076;/&#1090;&#1072;&#1088;&#1080;&#1092;&#1080;&#1082;&#1072;&#1094;&#1080;&#1103;%202016-17%20&#1091;&#1095;%20&#1075;&#1086;&#1076;/&#1058;&#1072;&#1088;&#1080;&#1092;&#1080;&#1082;&#1072;&#1094;&#1080;&#1103;%20%20&#1052;&#1041;&#1044;&#1054;&#1059;%20&#1052;&#1072;&#1083;&#1099;&#1096;&#1086;&#1082;16-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5;&#1056;&#1054;&#1045;&#1050;&#1058;%202017/&#1064;&#1090;&#1072;&#1090;&#1099;%20&#1090;%20&#1090;&#1072;&#1088;&#1080;&#1092;&#1080;&#1082;&#1072;&#1094;&#1080;&#1080;%2007&#1088;&#1072;&#1079;&#1076;&#1077;&#1083;/&#1090;&#1072;&#1088;&#1080;&#1092;&#1080;&#1082;&#1072;&#1094;&#1080;&#1103;%202016-17%20&#1091;&#1095;%20&#1075;&#1086;&#1076;/&#1090;&#1072;&#1088;&#1080;&#1092;&#1080;&#1082;&#1072;&#1094;&#1080;&#1103;%202016-17%20&#1091;&#1095;%20&#1075;&#1086;&#1076;/&#1076;&#1076;&#1091;/&#1058;&#1072;&#1088;&#1080;&#1092;&#1080;&#1082;&#1072;&#1094;&#1080;&#1103;%20%20&#1052;&#1041;&#1044;&#1054;&#1059;%20&#1052;&#1080;&#1096;&#1091;&#1090;&#1082;&#1072;%2016-17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5;&#1056;&#1054;&#1045;&#1050;&#1058;%202017/&#1064;&#1090;&#1072;&#1090;&#1099;%20&#1090;%20&#1090;&#1072;&#1088;&#1080;&#1092;&#1080;&#1082;&#1072;&#1094;&#1080;&#1080;%2007&#1088;&#1072;&#1079;&#1076;&#1077;&#1083;/&#1090;&#1072;&#1088;&#1080;&#1092;&#1080;&#1082;&#1072;&#1094;&#1080;&#1103;%202016-17%20&#1091;&#1095;%20&#1075;&#1086;&#1076;/&#1090;&#1072;&#1088;&#1080;&#1092;&#1080;&#1082;&#1072;&#1094;&#1080;&#1103;%202016-17%20&#1091;&#1095;%20&#1075;&#1086;&#1076;/&#1058;&#1072;&#1088;&#1080;&#1092;&#1080;&#1082;&#1072;&#1094;&#1080;&#1103;%20%20&#1052;&#1041;&#1044;&#1054;&#1059;%20&#1052;&#1080;&#1096;&#1091;&#1090;&#1082;&#1072;%2016-17%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5;&#1056;&#1054;&#1045;&#1050;&#1058;%202017/&#1064;&#1090;&#1072;&#1090;&#1099;%20&#1090;%20&#1090;&#1072;&#1088;&#1080;&#1092;&#1080;&#1082;&#1072;&#1094;&#1080;&#1080;%2007&#1088;&#1072;&#1079;&#1076;&#1077;&#1083;/&#1090;&#1072;&#1088;&#1080;&#1092;&#1080;&#1082;&#1072;&#1094;&#1080;&#1103;%202016-17%20&#1091;&#1095;%20&#1075;&#1086;&#1076;/&#1090;&#1072;&#1088;&#1080;&#1092;&#1080;&#1082;&#1072;&#1094;&#1080;&#1103;%202016-17%20&#1091;&#1095;%20&#1075;&#1086;&#1076;/&#1058;&#1072;&#1088;&#1080;&#1092;&#1080;&#1082;&#1072;&#1094;&#1080;&#1103;%20%20&#1052;&#1041;&#1044;&#1054;&#1059;%20&#1058;&#1077;&#1088;&#1077;&#1084;&#1086;&#1082;16-17%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5;&#1056;&#1054;&#1045;&#1050;&#1058;%202017/&#1064;&#1090;&#1072;&#1090;&#1099;%20&#1090;%20&#1090;&#1072;&#1088;&#1080;&#1092;&#1080;&#1082;&#1072;&#1094;&#1080;&#1080;%2007&#1088;&#1072;&#1079;&#1076;&#1077;&#1083;/&#1090;&#1072;&#1088;&#1080;&#1092;&#1080;&#1082;&#1072;&#1094;&#1080;&#1103;%202016-17%20&#1091;&#1095;%20&#1075;&#1086;&#1076;/&#1090;&#1072;&#1088;&#1080;&#1092;&#1080;&#1082;&#1072;&#1094;&#1080;&#1103;%202016-17%20&#1091;&#1095;%20&#1075;&#1086;&#1076;/&#1090;&#1072;&#1088;&#1080;&#1092;&#1080;&#1082;&#1072;&#1094;&#1080;&#1103;-&#1089;&#1074;&#1077;&#1090;&#1083;&#1103;&#1095;&#1086;&#1082;%202016-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5;&#1056;&#1054;&#1045;&#1050;&#1058;%202017/&#1064;&#1090;&#1072;&#1090;&#1099;%20&#1090;%20&#1090;&#1072;&#1088;&#1080;&#1092;&#1080;&#1082;&#1072;&#1094;&#1080;&#1080;%2007&#1088;&#1072;&#1079;&#1076;&#1077;&#1083;/&#1090;&#1072;&#1088;&#1080;&#1092;&#1080;&#1082;&#1072;&#1094;&#1080;&#1103;%202016-17%20&#1091;&#1095;%20&#1075;&#1086;&#1076;/&#1090;&#1072;&#1088;&#1080;&#1092;&#1080;&#1082;&#1072;&#1094;&#1080;&#1103;%202016-17%20&#1091;&#1095;%20&#1075;&#1086;&#1076;/&#1096;&#1082;&#1086;&#1083;&#1099;/&#1058;&#1072;&#1088;&#1080;&#1092;&#1080;&#1082;&#1072;&#1094;&#1080;&#1103;%20&#1052;&#1041;&#1054;&#1059;%20&#1057;&#1054;&#1064;%20&#8470;1%20%20&#1085;&#1072;%202016-2017%20&#1091;&#1075;%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5;&#1056;&#1054;&#1045;&#1050;&#1058;%202017/&#1064;&#1090;&#1072;&#1090;&#1099;%20&#1090;%20&#1090;&#1072;&#1088;&#1080;&#1092;&#1080;&#1082;&#1072;&#1094;&#1080;&#1080;%2007&#1088;&#1072;&#1079;&#1076;&#1077;&#1083;/&#1090;&#1072;&#1088;&#1080;&#1092;&#1080;&#1082;&#1072;&#1094;&#1080;&#1103;%202016-17%20&#1091;&#1095;%20&#1075;&#1086;&#1076;/&#1090;&#1072;&#1088;&#1080;&#1092;&#1080;&#1082;&#1072;&#1094;&#1080;&#1103;%202016-17%20&#1091;&#1095;%20&#1075;&#1086;&#1076;/&#1096;&#1082;&#1086;&#1083;&#1099;/&#1058;&#1072;&#1088;&#1080;&#1092;&#1080;&#1082;&#1072;&#1094;&#1080;&#1103;%20%20&#1052;&#1041;&#1054;&#1059;%20&#1057;&#1054;&#1064;&#8470;2%202016-17%20&#1091;&#107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тат"/>
      <sheetName val="тариф"/>
    </sheetNames>
    <sheetDataSet>
      <sheetData sheetId="0">
        <row r="38">
          <cell r="O38">
            <v>630701.19429999997</v>
          </cell>
        </row>
      </sheetData>
      <sheetData sheetId="1">
        <row r="50">
          <cell r="AD50">
            <v>670519.5</v>
          </cell>
        </row>
        <row r="51">
          <cell r="AD51">
            <v>88530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шт адм и педперс"/>
      <sheetName val="штат увп и оп"/>
      <sheetName val="тариф"/>
    </sheetNames>
    <sheetDataSet>
      <sheetData sheetId="0">
        <row r="34">
          <cell r="Q34">
            <v>360942.962</v>
          </cell>
        </row>
      </sheetData>
      <sheetData sheetId="1">
        <row r="27">
          <cell r="O27">
            <v>234568.24300000002</v>
          </cell>
        </row>
      </sheetData>
      <sheetData sheetId="2">
        <row r="71">
          <cell r="BN71">
            <v>1406677.3288888894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штат пед"/>
      <sheetName val="тариф"/>
      <sheetName val="штат оп и увп"/>
    </sheetNames>
    <sheetDataSet>
      <sheetData sheetId="0">
        <row r="40">
          <cell r="Q40">
            <v>444281.41749999998</v>
          </cell>
        </row>
      </sheetData>
      <sheetData sheetId="1">
        <row r="85">
          <cell r="BP85">
            <v>1689814.6533333333</v>
          </cell>
        </row>
      </sheetData>
      <sheetData sheetId="2">
        <row r="29">
          <cell r="O29">
            <v>284286.10350000003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оп"/>
      <sheetName val="штат ап и педперс"/>
      <sheetName val="тарификация доп обр"/>
      <sheetName val="тариф общеобр осош"/>
    </sheetNames>
    <sheetDataSet>
      <sheetData sheetId="0">
        <row r="22">
          <cell r="N22">
            <v>80578.384000000005</v>
          </cell>
        </row>
      </sheetData>
      <sheetData sheetId="1">
        <row r="25">
          <cell r="N25">
            <v>171270.02799999999</v>
          </cell>
        </row>
      </sheetData>
      <sheetData sheetId="2">
        <row r="25">
          <cell r="AG25">
            <v>253946.40000000002</v>
          </cell>
        </row>
        <row r="26">
          <cell r="AG26">
            <v>63842</v>
          </cell>
        </row>
      </sheetData>
      <sheetData sheetId="3">
        <row r="27">
          <cell r="BB27">
            <v>242559.40444444437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штат"/>
      <sheetName val="тариф"/>
    </sheetNames>
    <sheetDataSet>
      <sheetData sheetId="0">
        <row r="25">
          <cell r="N25">
            <v>152322.56299999999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штат"/>
      <sheetName val="тариф"/>
    </sheetNames>
    <sheetDataSet>
      <sheetData sheetId="0" refreshError="1"/>
      <sheetData sheetId="1" refreshError="1">
        <row r="25">
          <cell r="Y25">
            <v>250344</v>
          </cell>
        </row>
        <row r="26">
          <cell r="Y26">
            <v>39108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"/>
      <sheetName val="штат (2)"/>
    </sheetNames>
    <sheetDataSet>
      <sheetData sheetId="0">
        <row r="28">
          <cell r="AG28">
            <v>364956.40800000005</v>
          </cell>
        </row>
        <row r="29">
          <cell r="AG29">
            <v>28800</v>
          </cell>
        </row>
      </sheetData>
      <sheetData sheetId="1">
        <row r="29">
          <cell r="O29">
            <v>257969.821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штат (3)"/>
      <sheetName val="тариф-я"/>
    </sheetNames>
    <sheetDataSet>
      <sheetData sheetId="0">
        <row r="26">
          <cell r="N26">
            <v>157405.196</v>
          </cell>
        </row>
      </sheetData>
      <sheetData sheetId="1">
        <row r="27">
          <cell r="AC27">
            <v>305178</v>
          </cell>
        </row>
        <row r="28">
          <cell r="AC28">
            <v>67854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мет про"/>
      <sheetName val="бухг пр"/>
      <sheetName val="хоз пр"/>
    </sheetNames>
    <sheetDataSet>
      <sheetData sheetId="0">
        <row r="22">
          <cell r="U22">
            <v>247644.57500000001</v>
          </cell>
        </row>
      </sheetData>
      <sheetData sheetId="1">
        <row r="19">
          <cell r="L19">
            <v>121763.4</v>
          </cell>
        </row>
      </sheetData>
      <sheetData sheetId="2">
        <row r="22">
          <cell r="L22">
            <v>132034.23000000001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икация"/>
      <sheetName val="штат "/>
      <sheetName val="Лист2"/>
      <sheetName val="Лист3"/>
    </sheetNames>
    <sheetDataSet>
      <sheetData sheetId="0">
        <row r="37">
          <cell r="Y37">
            <v>476655.78350000008</v>
          </cell>
        </row>
        <row r="38">
          <cell r="Y38">
            <v>101053</v>
          </cell>
        </row>
      </sheetData>
      <sheetData sheetId="1">
        <row r="35">
          <cell r="N35">
            <v>385266.10649999999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"/>
      <sheetName val="штат"/>
      <sheetName val="Лист2"/>
      <sheetName val="Лист3"/>
    </sheetNames>
    <sheetDataSet>
      <sheetData sheetId="0">
        <row r="17">
          <cell r="Y17">
            <v>73449.763000000006</v>
          </cell>
        </row>
        <row r="18">
          <cell r="Y18">
            <v>21175</v>
          </cell>
        </row>
      </sheetData>
      <sheetData sheetId="1">
        <row r="30">
          <cell r="P30">
            <v>156585.83049999998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икация"/>
      <sheetName val="штат"/>
      <sheetName val="Лист2"/>
      <sheetName val="Лист3"/>
    </sheetNames>
    <sheetDataSet>
      <sheetData sheetId="0" refreshError="1"/>
      <sheetData sheetId="1">
        <row r="37">
          <cell r="N37">
            <v>455632.59700000007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икация"/>
      <sheetName val="штат"/>
      <sheetName val="Лист2"/>
      <sheetName val="Лист3"/>
    </sheetNames>
    <sheetDataSet>
      <sheetData sheetId="0">
        <row r="44">
          <cell r="Y44">
            <v>570974.24399999995</v>
          </cell>
        </row>
        <row r="45">
          <cell r="Y45">
            <v>87749</v>
          </cell>
        </row>
      </sheetData>
      <sheetData sheetId="1">
        <row r="37">
          <cell r="N37">
            <v>467081.23699999996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"/>
      <sheetName val="штат"/>
      <sheetName val="Лист2"/>
      <sheetName val="Лист3"/>
    </sheetNames>
    <sheetDataSet>
      <sheetData sheetId="0">
        <row r="30">
          <cell r="Y30">
            <v>293472.59400000004</v>
          </cell>
        </row>
        <row r="31">
          <cell r="Y31">
            <v>52254</v>
          </cell>
        </row>
      </sheetData>
      <sheetData sheetId="1">
        <row r="31">
          <cell r="O31">
            <v>250715.8775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штат (2)"/>
      <sheetName val="тарификация"/>
    </sheetNames>
    <sheetDataSet>
      <sheetData sheetId="0">
        <row r="31">
          <cell r="N31">
            <v>230497.64499999996</v>
          </cell>
        </row>
      </sheetData>
      <sheetData sheetId="1">
        <row r="30">
          <cell r="Y30">
            <v>304047.5</v>
          </cell>
        </row>
        <row r="31">
          <cell r="Y31">
            <v>41679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АДМ И ПЕД штат "/>
      <sheetName val="тариф (2)"/>
      <sheetName val="ОП штат "/>
      <sheetName val="Лист1"/>
    </sheetNames>
    <sheetDataSet>
      <sheetData sheetId="0">
        <row r="35">
          <cell r="Q35">
            <v>374509.51300000004</v>
          </cell>
        </row>
      </sheetData>
      <sheetData sheetId="1">
        <row r="79">
          <cell r="BN79">
            <v>1404537.6333333328</v>
          </cell>
        </row>
      </sheetData>
      <sheetData sheetId="2">
        <row r="30">
          <cell r="N30">
            <v>228381.1134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"/>
      <sheetName val="штат пед"/>
      <sheetName val="штат увп и оп"/>
    </sheetNames>
    <sheetDataSet>
      <sheetData sheetId="0">
        <row r="43">
          <cell r="BL43">
            <v>632625.6044444443</v>
          </cell>
        </row>
      </sheetData>
      <sheetData sheetId="1">
        <row r="29">
          <cell r="R29">
            <v>264034.22199999995</v>
          </cell>
        </row>
      </sheetData>
      <sheetData sheetId="2">
        <row r="28">
          <cell r="O28">
            <v>223396.37599999999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4" workbookViewId="0">
      <selection activeCell="L19" sqref="L19"/>
    </sheetView>
  </sheetViews>
  <sheetFormatPr defaultRowHeight="15.75"/>
  <cols>
    <col min="1" max="1" width="34.28515625" style="20" customWidth="1"/>
    <col min="2" max="2" width="0" style="1" hidden="1" customWidth="1"/>
    <col min="3" max="3" width="14" style="1" hidden="1" customWidth="1"/>
    <col min="4" max="4" width="10.5703125" style="1" hidden="1" customWidth="1"/>
    <col min="5" max="5" width="9.5703125" style="1" hidden="1" customWidth="1"/>
    <col min="6" max="6" width="13.140625" style="21" hidden="1" customWidth="1"/>
    <col min="7" max="8" width="16.42578125" style="21" customWidth="1"/>
    <col min="9" max="9" width="12.7109375" style="21" customWidth="1"/>
    <col min="10" max="16384" width="9.140625" style="1"/>
  </cols>
  <sheetData>
    <row r="1" spans="1:9">
      <c r="A1" s="24" t="s">
        <v>47</v>
      </c>
      <c r="B1" s="24"/>
      <c r="C1" s="24"/>
      <c r="D1" s="24"/>
      <c r="E1" s="24"/>
      <c r="F1" s="24"/>
      <c r="G1" s="24"/>
      <c r="H1" s="24"/>
      <c r="I1" s="24"/>
    </row>
    <row r="2" spans="1:9">
      <c r="A2" s="23"/>
      <c r="B2" s="23"/>
      <c r="C2" s="23"/>
      <c r="D2" s="23"/>
      <c r="E2" s="23"/>
      <c r="F2" s="23"/>
      <c r="G2" s="23"/>
      <c r="H2" s="23"/>
      <c r="I2" s="23"/>
    </row>
    <row r="3" spans="1:9" ht="41.25" customHeight="1">
      <c r="A3" s="2" t="s">
        <v>24</v>
      </c>
      <c r="B3" s="3" t="s">
        <v>0</v>
      </c>
      <c r="C3" s="3" t="s">
        <v>1</v>
      </c>
      <c r="D3" s="3">
        <v>211</v>
      </c>
      <c r="E3" s="3">
        <v>213</v>
      </c>
      <c r="F3" s="3" t="s">
        <v>22</v>
      </c>
      <c r="G3" s="3">
        <v>211</v>
      </c>
      <c r="H3" s="3">
        <v>213</v>
      </c>
      <c r="I3" s="3" t="s">
        <v>23</v>
      </c>
    </row>
    <row r="4" spans="1:9" ht="13.5" customHeight="1">
      <c r="A4" s="2" t="s">
        <v>25</v>
      </c>
      <c r="B4" s="3"/>
      <c r="C4" s="3"/>
      <c r="D4" s="4">
        <v>942</v>
      </c>
      <c r="E4" s="4">
        <v>284</v>
      </c>
      <c r="F4" s="5">
        <f t="shared" ref="F4:F14" si="0">D4+E4</f>
        <v>1226</v>
      </c>
      <c r="G4" s="4">
        <v>942</v>
      </c>
      <c r="H4" s="4">
        <v>284</v>
      </c>
      <c r="I4" s="5">
        <f>G4+H4</f>
        <v>1226</v>
      </c>
    </row>
    <row r="5" spans="1:9" ht="13.5" customHeight="1">
      <c r="A5" s="2" t="s">
        <v>26</v>
      </c>
      <c r="B5" s="3"/>
      <c r="C5" s="3"/>
      <c r="D5" s="4">
        <v>1007</v>
      </c>
      <c r="E5" s="4">
        <v>304</v>
      </c>
      <c r="F5" s="5">
        <f t="shared" si="0"/>
        <v>1311</v>
      </c>
      <c r="G5" s="4">
        <v>1007</v>
      </c>
      <c r="H5" s="4">
        <v>304</v>
      </c>
      <c r="I5" s="5">
        <f t="shared" ref="I5:I14" si="1">G5+H5</f>
        <v>1311</v>
      </c>
    </row>
    <row r="6" spans="1:9" ht="13.5" customHeight="1">
      <c r="A6" s="2" t="s">
        <v>27</v>
      </c>
      <c r="B6" s="3"/>
      <c r="C6" s="3"/>
      <c r="D6" s="4">
        <v>613</v>
      </c>
      <c r="E6" s="4">
        <v>185</v>
      </c>
      <c r="F6" s="5">
        <f t="shared" si="0"/>
        <v>798</v>
      </c>
      <c r="G6" s="4">
        <v>613</v>
      </c>
      <c r="H6" s="4">
        <v>185</v>
      </c>
      <c r="I6" s="5">
        <f t="shared" si="1"/>
        <v>798</v>
      </c>
    </row>
    <row r="7" spans="1:9" ht="28.5" customHeight="1">
      <c r="A7" s="2" t="s">
        <v>28</v>
      </c>
      <c r="B7" s="3"/>
      <c r="C7" s="3"/>
      <c r="D7" s="4">
        <v>6799</v>
      </c>
      <c r="E7" s="4">
        <v>2053</v>
      </c>
      <c r="F7" s="5">
        <f t="shared" si="0"/>
        <v>8852</v>
      </c>
      <c r="G7" s="4">
        <v>6799</v>
      </c>
      <c r="H7" s="4">
        <v>2053</v>
      </c>
      <c r="I7" s="5">
        <f t="shared" si="1"/>
        <v>8852</v>
      </c>
    </row>
    <row r="8" spans="1:9" ht="13.5" customHeight="1">
      <c r="A8" s="2" t="s">
        <v>29</v>
      </c>
      <c r="B8" s="3"/>
      <c r="C8" s="3"/>
      <c r="D8" s="4">
        <v>912</v>
      </c>
      <c r="E8" s="4">
        <v>276</v>
      </c>
      <c r="F8" s="5">
        <f t="shared" si="0"/>
        <v>1188</v>
      </c>
      <c r="G8" s="4">
        <v>912</v>
      </c>
      <c r="H8" s="4">
        <v>276</v>
      </c>
      <c r="I8" s="5">
        <f t="shared" si="1"/>
        <v>1188</v>
      </c>
    </row>
    <row r="9" spans="1:9" ht="13.5" customHeight="1">
      <c r="A9" s="2" t="s">
        <v>30</v>
      </c>
      <c r="B9" s="3"/>
      <c r="C9" s="3"/>
      <c r="D9" s="4">
        <v>2617</v>
      </c>
      <c r="E9" s="4">
        <v>790</v>
      </c>
      <c r="F9" s="5">
        <f t="shared" si="0"/>
        <v>3407</v>
      </c>
      <c r="G9" s="4">
        <v>2617</v>
      </c>
      <c r="H9" s="4">
        <v>790</v>
      </c>
      <c r="I9" s="5">
        <f t="shared" si="1"/>
        <v>3407</v>
      </c>
    </row>
    <row r="10" spans="1:9" ht="13.5" customHeight="1">
      <c r="A10" s="2" t="s">
        <v>31</v>
      </c>
      <c r="B10" s="3"/>
      <c r="C10" s="3"/>
      <c r="D10" s="4">
        <v>277</v>
      </c>
      <c r="E10" s="4">
        <v>84</v>
      </c>
      <c r="F10" s="5">
        <f t="shared" si="0"/>
        <v>361</v>
      </c>
      <c r="G10" s="4">
        <v>277</v>
      </c>
      <c r="H10" s="4">
        <v>84</v>
      </c>
      <c r="I10" s="5">
        <f t="shared" si="1"/>
        <v>361</v>
      </c>
    </row>
    <row r="11" spans="1:9" s="9" customFormat="1" ht="13.5" customHeight="1">
      <c r="A11" s="6" t="s">
        <v>40</v>
      </c>
      <c r="B11" s="7"/>
      <c r="C11" s="7"/>
      <c r="D11" s="8">
        <f>SUM(D4:D10)</f>
        <v>13167</v>
      </c>
      <c r="E11" s="8">
        <f t="shared" ref="E11:I11" si="2">SUM(E4:E10)</f>
        <v>3976</v>
      </c>
      <c r="F11" s="8">
        <f t="shared" si="2"/>
        <v>17143</v>
      </c>
      <c r="G11" s="8">
        <f>SUM(G4:G10)</f>
        <v>13167</v>
      </c>
      <c r="H11" s="8">
        <f t="shared" ref="H11" si="3">SUM(H4:H10)</f>
        <v>3976</v>
      </c>
      <c r="I11" s="8">
        <f t="shared" si="2"/>
        <v>17143</v>
      </c>
    </row>
    <row r="12" spans="1:9" ht="13.5" customHeight="1">
      <c r="A12" s="2" t="s">
        <v>20</v>
      </c>
      <c r="B12" s="3"/>
      <c r="C12" s="3"/>
      <c r="D12" s="4">
        <v>431</v>
      </c>
      <c r="E12" s="4">
        <v>130.1</v>
      </c>
      <c r="F12" s="5">
        <f t="shared" si="0"/>
        <v>561.1</v>
      </c>
      <c r="G12" s="4">
        <v>431</v>
      </c>
      <c r="H12" s="4">
        <v>130.1</v>
      </c>
      <c r="I12" s="5">
        <f t="shared" si="1"/>
        <v>561.1</v>
      </c>
    </row>
    <row r="13" spans="1:9" ht="13.5" customHeight="1">
      <c r="A13" s="2" t="s">
        <v>32</v>
      </c>
      <c r="B13" s="3"/>
      <c r="C13" s="3"/>
      <c r="D13" s="4">
        <v>760</v>
      </c>
      <c r="E13" s="4">
        <v>230</v>
      </c>
      <c r="F13" s="5">
        <f t="shared" si="0"/>
        <v>990</v>
      </c>
      <c r="G13" s="4">
        <v>760</v>
      </c>
      <c r="H13" s="4">
        <v>230</v>
      </c>
      <c r="I13" s="5">
        <f t="shared" si="1"/>
        <v>990</v>
      </c>
    </row>
    <row r="14" spans="1:9" ht="13.5" customHeight="1">
      <c r="A14" s="2" t="s">
        <v>46</v>
      </c>
      <c r="B14" s="3"/>
      <c r="C14" s="3"/>
      <c r="D14" s="4">
        <v>1153</v>
      </c>
      <c r="E14" s="4">
        <v>348</v>
      </c>
      <c r="F14" s="5">
        <f t="shared" si="0"/>
        <v>1501</v>
      </c>
      <c r="G14" s="4">
        <v>1153</v>
      </c>
      <c r="H14" s="4">
        <v>348</v>
      </c>
      <c r="I14" s="5">
        <f t="shared" si="1"/>
        <v>1501</v>
      </c>
    </row>
    <row r="15" spans="1:9">
      <c r="A15" s="10" t="s">
        <v>42</v>
      </c>
      <c r="B15" s="11"/>
      <c r="C15" s="12"/>
      <c r="D15" s="13"/>
      <c r="E15" s="11"/>
      <c r="F15" s="5"/>
      <c r="G15" s="5">
        <v>860</v>
      </c>
      <c r="H15" s="5">
        <f>G15*30.2%</f>
        <v>259.71999999999997</v>
      </c>
      <c r="I15" s="5">
        <f>G15+H15</f>
        <v>1119.72</v>
      </c>
    </row>
    <row r="16" spans="1:9" ht="13.5" customHeight="1">
      <c r="A16" s="2" t="s">
        <v>44</v>
      </c>
      <c r="B16" s="3"/>
      <c r="C16" s="3"/>
      <c r="D16" s="4"/>
      <c r="E16" s="4"/>
      <c r="F16" s="5"/>
      <c r="G16" s="4">
        <v>508</v>
      </c>
      <c r="H16" s="5">
        <f>G16*30.2%</f>
        <v>153.416</v>
      </c>
      <c r="I16" s="5">
        <f>G16+H16</f>
        <v>661.41599999999994</v>
      </c>
    </row>
    <row r="17" spans="1:9">
      <c r="A17" s="10" t="s">
        <v>39</v>
      </c>
      <c r="B17" s="12"/>
      <c r="C17" s="12"/>
      <c r="D17" s="11">
        <v>1686</v>
      </c>
      <c r="E17" s="11">
        <v>509</v>
      </c>
      <c r="F17" s="5">
        <f t="shared" ref="F17" si="4">D17+E17</f>
        <v>2195</v>
      </c>
      <c r="G17" s="5">
        <v>1686</v>
      </c>
      <c r="H17" s="5">
        <v>509</v>
      </c>
      <c r="I17" s="5">
        <f>G17+H17</f>
        <v>2195</v>
      </c>
    </row>
    <row r="18" spans="1:9" s="9" customFormat="1">
      <c r="A18" s="14" t="s">
        <v>45</v>
      </c>
      <c r="B18" s="15"/>
      <c r="C18" s="15"/>
      <c r="D18" s="16"/>
      <c r="E18" s="16"/>
      <c r="F18" s="14"/>
      <c r="G18" s="14">
        <f>G4+G5+G6+G7+G8+G9+G15+G16+G17+G14</f>
        <v>17097</v>
      </c>
      <c r="H18" s="14">
        <f t="shared" ref="H18:I18" si="5">H4+H5+H6+H7+H8+H9+H15+H16+H17+H14</f>
        <v>5162.1360000000004</v>
      </c>
      <c r="I18" s="14">
        <f t="shared" si="5"/>
        <v>22259.136000000002</v>
      </c>
    </row>
    <row r="19" spans="1:9">
      <c r="A19" s="10" t="s">
        <v>2</v>
      </c>
      <c r="B19" s="11">
        <f>[1]штат!$O$38</f>
        <v>630701.19429999997</v>
      </c>
      <c r="C19" s="11">
        <f>[1]тариф!$AD$50+[1]тариф!$AD$51</f>
        <v>759049.5</v>
      </c>
      <c r="D19" s="13">
        <f>SUM(B19:C19)</f>
        <v>1389750.6943000001</v>
      </c>
      <c r="E19" s="11">
        <f>D19*30.2%</f>
        <v>419704.70967860002</v>
      </c>
      <c r="F19" s="5">
        <f>D19+E19</f>
        <v>1809455.4039786002</v>
      </c>
      <c r="G19" s="5">
        <v>17675</v>
      </c>
      <c r="H19" s="5">
        <f>G19*30.2%</f>
        <v>5337.8499999999995</v>
      </c>
      <c r="I19" s="5">
        <f>G19+H19</f>
        <v>23012.85</v>
      </c>
    </row>
    <row r="20" spans="1:9">
      <c r="A20" s="10" t="s">
        <v>3</v>
      </c>
      <c r="B20" s="11">
        <v>168241</v>
      </c>
      <c r="C20" s="11">
        <v>146135</v>
      </c>
      <c r="D20" s="13">
        <f t="shared" ref="D20:D25" si="6">SUM(B20:C20)</f>
        <v>314376</v>
      </c>
      <c r="E20" s="11">
        <f t="shared" ref="E20:E40" si="7">D20*30.2%</f>
        <v>94941.551999999996</v>
      </c>
      <c r="F20" s="5">
        <f t="shared" ref="F20:F43" si="8">D20+E20</f>
        <v>409317.55200000003</v>
      </c>
      <c r="G20" s="5">
        <v>4061</v>
      </c>
      <c r="H20" s="5">
        <f t="shared" ref="H20:H39" si="9">G20*30.2%</f>
        <v>1226.422</v>
      </c>
      <c r="I20" s="5">
        <f t="shared" ref="I20:I40" si="10">G20+H20</f>
        <v>5287.4220000000005</v>
      </c>
    </row>
    <row r="21" spans="1:9">
      <c r="A21" s="10" t="s">
        <v>4</v>
      </c>
      <c r="B21" s="11">
        <f>'[2]штат '!$N$35</f>
        <v>385266.10649999999</v>
      </c>
      <c r="C21" s="11">
        <f>[2]тарификация!$Y$37+[2]тарификация!$Y$38</f>
        <v>577708.78350000014</v>
      </c>
      <c r="D21" s="13">
        <f t="shared" si="6"/>
        <v>962974.89000000013</v>
      </c>
      <c r="E21" s="11">
        <f t="shared" si="7"/>
        <v>290818.41678000003</v>
      </c>
      <c r="F21" s="5">
        <f t="shared" si="8"/>
        <v>1253793.3067800002</v>
      </c>
      <c r="G21" s="5">
        <v>12187</v>
      </c>
      <c r="H21" s="5">
        <f t="shared" si="9"/>
        <v>3680.4739999999997</v>
      </c>
      <c r="I21" s="5">
        <f t="shared" si="10"/>
        <v>15867.474</v>
      </c>
    </row>
    <row r="22" spans="1:9">
      <c r="A22" s="10" t="s">
        <v>5</v>
      </c>
      <c r="B22" s="11">
        <f>[3]штат!$P$30</f>
        <v>156585.83049999998</v>
      </c>
      <c r="C22" s="11">
        <f>[3]тариф!$Y$17+[3]тариф!$Y$18</f>
        <v>94624.763000000006</v>
      </c>
      <c r="D22" s="13">
        <f t="shared" si="6"/>
        <v>251210.59349999999</v>
      </c>
      <c r="E22" s="11">
        <f t="shared" si="7"/>
        <v>75865.599236999988</v>
      </c>
      <c r="F22" s="5">
        <f t="shared" si="8"/>
        <v>327076.19273699995</v>
      </c>
      <c r="G22" s="5">
        <v>3272</v>
      </c>
      <c r="H22" s="5">
        <f t="shared" si="9"/>
        <v>988.14400000000001</v>
      </c>
      <c r="I22" s="5">
        <f t="shared" si="10"/>
        <v>4260.1440000000002</v>
      </c>
    </row>
    <row r="23" spans="1:9">
      <c r="A23" s="10" t="s">
        <v>6</v>
      </c>
      <c r="B23" s="11">
        <f>[4]штат!$N$37</f>
        <v>455632.59700000007</v>
      </c>
      <c r="C23" s="11">
        <f>[5]тарификация!$Y$44+[5]тарификация!$Y$45</f>
        <v>658723.24399999995</v>
      </c>
      <c r="D23" s="13">
        <f t="shared" si="6"/>
        <v>1114355.841</v>
      </c>
      <c r="E23" s="11">
        <f t="shared" si="7"/>
        <v>336535.46398200002</v>
      </c>
      <c r="F23" s="5">
        <f t="shared" si="8"/>
        <v>1450891.304982</v>
      </c>
      <c r="G23" s="5">
        <v>14220</v>
      </c>
      <c r="H23" s="5">
        <f t="shared" si="9"/>
        <v>4294.4399999999996</v>
      </c>
      <c r="I23" s="5">
        <f t="shared" si="10"/>
        <v>18514.439999999999</v>
      </c>
    </row>
    <row r="24" spans="1:9">
      <c r="A24" s="10" t="s">
        <v>7</v>
      </c>
      <c r="B24" s="11">
        <f>[6]штат!$O$31</f>
        <v>250715.8775</v>
      </c>
      <c r="C24" s="11">
        <f>[6]тариф!$Y$30+[6]тариф!$Y$31</f>
        <v>345726.59400000004</v>
      </c>
      <c r="D24" s="13">
        <f t="shared" si="6"/>
        <v>596442.47149999999</v>
      </c>
      <c r="E24" s="11">
        <f t="shared" si="7"/>
        <v>180125.62639299998</v>
      </c>
      <c r="F24" s="5">
        <f t="shared" si="8"/>
        <v>776568.097893</v>
      </c>
      <c r="G24" s="5">
        <v>7589</v>
      </c>
      <c r="H24" s="5">
        <f t="shared" si="9"/>
        <v>2291.8780000000002</v>
      </c>
      <c r="I24" s="5">
        <f t="shared" si="10"/>
        <v>9880.8780000000006</v>
      </c>
    </row>
    <row r="25" spans="1:9">
      <c r="A25" s="10" t="s">
        <v>8</v>
      </c>
      <c r="B25" s="11">
        <f>'[7]штат (2)'!$N$31</f>
        <v>230497.64499999996</v>
      </c>
      <c r="C25" s="11">
        <f>[7]тарификация!$Y$30+[7]тарификация!$Y$31</f>
        <v>345726.5</v>
      </c>
      <c r="D25" s="13">
        <f t="shared" si="6"/>
        <v>576224.14500000002</v>
      </c>
      <c r="E25" s="11">
        <f t="shared" si="7"/>
        <v>174019.69179000001</v>
      </c>
      <c r="F25" s="5">
        <f t="shared" si="8"/>
        <v>750243.83679000009</v>
      </c>
      <c r="G25" s="5">
        <v>7352</v>
      </c>
      <c r="H25" s="5">
        <f t="shared" si="9"/>
        <v>2220.3040000000001</v>
      </c>
      <c r="I25" s="5">
        <f t="shared" si="10"/>
        <v>9572.3040000000001</v>
      </c>
    </row>
    <row r="26" spans="1:9" s="9" customFormat="1">
      <c r="A26" s="17" t="s">
        <v>9</v>
      </c>
      <c r="B26" s="16">
        <f>SUM(B19:B25)</f>
        <v>2277640.2507999996</v>
      </c>
      <c r="C26" s="16">
        <f>SUM(C19:C25)</f>
        <v>2927694.3845000002</v>
      </c>
      <c r="D26" s="16">
        <f>SUM(B26:C26)</f>
        <v>5205334.6352999993</v>
      </c>
      <c r="E26" s="16">
        <f t="shared" si="7"/>
        <v>1572011.0598605997</v>
      </c>
      <c r="F26" s="14">
        <f t="shared" si="8"/>
        <v>6777345.6951605994</v>
      </c>
      <c r="G26" s="14">
        <f>SUM(G19:G25)</f>
        <v>66356</v>
      </c>
      <c r="H26" s="14">
        <f>SUM(H19:H25)</f>
        <v>20039.511999999999</v>
      </c>
      <c r="I26" s="14">
        <f t="shared" si="10"/>
        <v>86395.512000000002</v>
      </c>
    </row>
    <row r="27" spans="1:9">
      <c r="A27" s="10" t="s">
        <v>10</v>
      </c>
      <c r="B27" s="11">
        <f>'[8]АДМ И ПЕД штат '!$Q$35+'[8]ОП штат '!$N$30</f>
        <v>602890.62640000007</v>
      </c>
      <c r="C27" s="11">
        <f>'[8]тариф (2)'!$BN$79</f>
        <v>1404537.6333333328</v>
      </c>
      <c r="D27" s="13">
        <f>SUM(B27:C27)</f>
        <v>2007428.2597333328</v>
      </c>
      <c r="E27" s="11">
        <f t="shared" si="7"/>
        <v>606243.33443946647</v>
      </c>
      <c r="F27" s="5">
        <f t="shared" si="8"/>
        <v>2613671.594172799</v>
      </c>
      <c r="G27" s="5">
        <v>23961</v>
      </c>
      <c r="H27" s="5">
        <f t="shared" si="9"/>
        <v>7236.2219999999998</v>
      </c>
      <c r="I27" s="5">
        <f t="shared" si="10"/>
        <v>31197.222000000002</v>
      </c>
    </row>
    <row r="28" spans="1:9">
      <c r="A28" s="10" t="s">
        <v>11</v>
      </c>
      <c r="B28" s="11">
        <f>'[9]штат пед'!$R$29+'[9]штат увп и оп'!$O$28</f>
        <v>487430.59799999994</v>
      </c>
      <c r="C28" s="11">
        <f>[9]тариф!$BL$43</f>
        <v>632625.6044444443</v>
      </c>
      <c r="D28" s="13">
        <f t="shared" ref="D28:D31" si="11">SUM(B28:C28)</f>
        <v>1120056.2024444442</v>
      </c>
      <c r="E28" s="11">
        <f t="shared" si="7"/>
        <v>338256.97313822212</v>
      </c>
      <c r="F28" s="5">
        <f t="shared" si="8"/>
        <v>1458313.1755826664</v>
      </c>
      <c r="G28" s="5">
        <v>13370</v>
      </c>
      <c r="H28" s="5">
        <f t="shared" si="9"/>
        <v>4037.74</v>
      </c>
      <c r="I28" s="5">
        <f t="shared" si="10"/>
        <v>17407.739999999998</v>
      </c>
    </row>
    <row r="29" spans="1:9">
      <c r="A29" s="10" t="s">
        <v>12</v>
      </c>
      <c r="B29" s="11">
        <f>'[10]шт адм и педперс'!$Q$34+'[10]штат увп и оп'!$O$27</f>
        <v>595511.20500000007</v>
      </c>
      <c r="C29" s="11">
        <f>[10]тариф!$BN$71</f>
        <v>1406677.3288888894</v>
      </c>
      <c r="D29" s="13">
        <f t="shared" si="11"/>
        <v>2002188.5338888895</v>
      </c>
      <c r="E29" s="11">
        <f t="shared" si="7"/>
        <v>604660.93723444466</v>
      </c>
      <c r="F29" s="5">
        <f t="shared" si="8"/>
        <v>2606849.471123334</v>
      </c>
      <c r="G29" s="5">
        <v>23899</v>
      </c>
      <c r="H29" s="5">
        <f t="shared" si="9"/>
        <v>7217.4979999999996</v>
      </c>
      <c r="I29" s="5">
        <f t="shared" si="10"/>
        <v>31116.498</v>
      </c>
    </row>
    <row r="30" spans="1:9">
      <c r="A30" s="10" t="s">
        <v>13</v>
      </c>
      <c r="B30" s="11">
        <f>'[11]штат пед'!$Q$40+'[11]штат оп и увп'!$O$29</f>
        <v>728567.52099999995</v>
      </c>
      <c r="C30" s="11">
        <f>[11]тариф!$BP$85</f>
        <v>1689814.6533333333</v>
      </c>
      <c r="D30" s="13">
        <f t="shared" si="11"/>
        <v>2418382.174333333</v>
      </c>
      <c r="E30" s="11">
        <f t="shared" si="7"/>
        <v>730351.41664866661</v>
      </c>
      <c r="F30" s="5">
        <f t="shared" si="8"/>
        <v>3148733.5909819994</v>
      </c>
      <c r="G30" s="5">
        <v>28870</v>
      </c>
      <c r="H30" s="5">
        <f t="shared" si="9"/>
        <v>8718.74</v>
      </c>
      <c r="I30" s="5">
        <f t="shared" si="10"/>
        <v>37588.74</v>
      </c>
    </row>
    <row r="31" spans="1:9">
      <c r="A31" s="10" t="s">
        <v>14</v>
      </c>
      <c r="B31" s="11">
        <f>'[12]штат ап и педперс'!$N$25+[12]оп!$N$22</f>
        <v>251848.41200000001</v>
      </c>
      <c r="C31" s="11">
        <f>'[12]тарификация доп обр'!$AG$25+'[12]тарификация доп обр'!$AG$26+'[12]тариф общеобр осош'!$BB$27</f>
        <v>560347.80444444437</v>
      </c>
      <c r="D31" s="13">
        <f t="shared" si="11"/>
        <v>812196.21644444438</v>
      </c>
      <c r="E31" s="11">
        <f t="shared" si="7"/>
        <v>245283.25736622218</v>
      </c>
      <c r="F31" s="5">
        <f t="shared" si="8"/>
        <v>1057479.4738106665</v>
      </c>
      <c r="G31" s="5">
        <v>9694</v>
      </c>
      <c r="H31" s="5">
        <f t="shared" si="9"/>
        <v>2927.5879999999997</v>
      </c>
      <c r="I31" s="5">
        <f t="shared" si="10"/>
        <v>12621.588</v>
      </c>
    </row>
    <row r="32" spans="1:9" s="9" customFormat="1">
      <c r="A32" s="17" t="s">
        <v>15</v>
      </c>
      <c r="B32" s="16">
        <f>SUM(B27:B31)</f>
        <v>2666248.3624</v>
      </c>
      <c r="C32" s="16">
        <f>SUM(C27:C31)</f>
        <v>5694003.0244444441</v>
      </c>
      <c r="D32" s="18">
        <f>SUM(B32:C32)</f>
        <v>8360251.3868444441</v>
      </c>
      <c r="E32" s="16">
        <f t="shared" si="7"/>
        <v>2524795.918827022</v>
      </c>
      <c r="F32" s="14">
        <f t="shared" si="8"/>
        <v>10885047.305671467</v>
      </c>
      <c r="G32" s="14">
        <f>SUM(G27:G31)</f>
        <v>99794</v>
      </c>
      <c r="H32" s="14">
        <f t="shared" si="9"/>
        <v>30137.788</v>
      </c>
      <c r="I32" s="14">
        <f t="shared" si="10"/>
        <v>129931.788</v>
      </c>
    </row>
    <row r="33" spans="1:10">
      <c r="A33" s="10" t="s">
        <v>16</v>
      </c>
      <c r="B33" s="11">
        <f>[13]штат!$N$25</f>
        <v>152322.56299999999</v>
      </c>
      <c r="C33" s="11">
        <f>[14]тариф!$Y$25+[14]тариф!$Y$26</f>
        <v>289452</v>
      </c>
      <c r="D33" s="13">
        <f>SUM(B33:C33)</f>
        <v>441774.56299999997</v>
      </c>
      <c r="E33" s="11">
        <f t="shared" si="7"/>
        <v>133415.918026</v>
      </c>
      <c r="F33" s="5">
        <f t="shared" si="8"/>
        <v>575190.48102599999</v>
      </c>
      <c r="G33" s="5">
        <v>5302</v>
      </c>
      <c r="H33" s="5">
        <f t="shared" si="9"/>
        <v>1601.204</v>
      </c>
      <c r="I33" s="5">
        <f t="shared" si="10"/>
        <v>6903.2039999999997</v>
      </c>
    </row>
    <row r="34" spans="1:10">
      <c r="A34" s="10" t="s">
        <v>17</v>
      </c>
      <c r="B34" s="11">
        <f>'[15]штат (2)'!$O$29</f>
        <v>257969.821</v>
      </c>
      <c r="C34" s="11">
        <f>[15]тариф!$AG$28+[15]тариф!$AG$29</f>
        <v>393756.40800000005</v>
      </c>
      <c r="D34" s="13">
        <f t="shared" ref="D34:D38" si="12">SUM(B34:C34)</f>
        <v>651726.22900000005</v>
      </c>
      <c r="E34" s="11">
        <f t="shared" si="7"/>
        <v>196821.32115800001</v>
      </c>
      <c r="F34" s="5">
        <f t="shared" si="8"/>
        <v>848547.55015800009</v>
      </c>
      <c r="G34" s="5">
        <v>7820</v>
      </c>
      <c r="H34" s="5">
        <f t="shared" si="9"/>
        <v>2361.64</v>
      </c>
      <c r="I34" s="5">
        <f t="shared" si="10"/>
        <v>10181.64</v>
      </c>
    </row>
    <row r="35" spans="1:10">
      <c r="A35" s="10" t="s">
        <v>18</v>
      </c>
      <c r="B35" s="11">
        <f>'[16]штат (3)'!$N$26</f>
        <v>157405.196</v>
      </c>
      <c r="C35" s="11">
        <f>'[16]тариф-я'!$AC$27+'[16]тариф-я'!$AC$28</f>
        <v>373032</v>
      </c>
      <c r="D35" s="13">
        <f t="shared" si="12"/>
        <v>530437.196</v>
      </c>
      <c r="E35" s="11">
        <f t="shared" si="7"/>
        <v>160192.033192</v>
      </c>
      <c r="F35" s="5">
        <f t="shared" si="8"/>
        <v>690629.229192</v>
      </c>
      <c r="G35" s="5">
        <v>6365</v>
      </c>
      <c r="H35" s="5">
        <f t="shared" si="9"/>
        <v>1922.23</v>
      </c>
      <c r="I35" s="5">
        <f t="shared" si="10"/>
        <v>8287.23</v>
      </c>
    </row>
    <row r="36" spans="1:10">
      <c r="A36" s="10" t="s">
        <v>37</v>
      </c>
      <c r="B36" s="11"/>
      <c r="C36" s="11"/>
      <c r="D36" s="13"/>
      <c r="E36" s="11"/>
      <c r="F36" s="5"/>
      <c r="G36" s="5">
        <v>4423</v>
      </c>
      <c r="H36" s="5">
        <f t="shared" si="9"/>
        <v>1335.7459999999999</v>
      </c>
      <c r="I36" s="5">
        <f t="shared" si="10"/>
        <v>5758.7460000000001</v>
      </c>
    </row>
    <row r="37" spans="1:10" s="9" customFormat="1">
      <c r="A37" s="17" t="s">
        <v>20</v>
      </c>
      <c r="B37" s="15">
        <f>SUM(B33:B35)</f>
        <v>567697.57999999996</v>
      </c>
      <c r="C37" s="15">
        <f t="shared" ref="C37" si="13">SUM(C33:C35)</f>
        <v>1056240.4080000001</v>
      </c>
      <c r="D37" s="16">
        <f>SUM(D33:D36)</f>
        <v>1623937.9879999999</v>
      </c>
      <c r="E37" s="16">
        <f t="shared" ref="E37:I37" si="14">SUM(E33:E36)</f>
        <v>490429.27237600001</v>
      </c>
      <c r="F37" s="14">
        <f t="shared" si="14"/>
        <v>2114367.2603759998</v>
      </c>
      <c r="G37" s="14">
        <f>SUM(G33:G36)</f>
        <v>23910</v>
      </c>
      <c r="H37" s="14">
        <f t="shared" si="14"/>
        <v>7220.8200000000006</v>
      </c>
      <c r="I37" s="14">
        <f t="shared" si="14"/>
        <v>31130.819999999996</v>
      </c>
    </row>
    <row r="38" spans="1:10">
      <c r="A38" s="10" t="s">
        <v>19</v>
      </c>
      <c r="B38" s="11">
        <f>'[17]мет про'!$U$22+'[17]бухг пр'!$L$19+'[17]хоз пр'!$L$22</f>
        <v>501442.20499999996</v>
      </c>
      <c r="C38" s="12"/>
      <c r="D38" s="13">
        <f t="shared" si="12"/>
        <v>501442.20499999996</v>
      </c>
      <c r="E38" s="11">
        <f t="shared" si="7"/>
        <v>151435.54590999999</v>
      </c>
      <c r="F38" s="5">
        <f>D38+E38</f>
        <v>652877.75090999994</v>
      </c>
      <c r="G38" s="5">
        <v>6017</v>
      </c>
      <c r="H38" s="5">
        <f t="shared" si="9"/>
        <v>1817.134</v>
      </c>
      <c r="I38" s="5">
        <f t="shared" si="10"/>
        <v>7834.134</v>
      </c>
    </row>
    <row r="39" spans="1:10">
      <c r="A39" s="10" t="s">
        <v>43</v>
      </c>
      <c r="B39" s="11"/>
      <c r="C39" s="12"/>
      <c r="D39" s="13"/>
      <c r="E39" s="11"/>
      <c r="F39" s="5"/>
      <c r="G39" s="5">
        <v>263</v>
      </c>
      <c r="H39" s="5">
        <f t="shared" si="9"/>
        <v>79.426000000000002</v>
      </c>
      <c r="I39" s="5">
        <f t="shared" si="10"/>
        <v>342.42599999999999</v>
      </c>
    </row>
    <row r="40" spans="1:10" s="9" customFormat="1">
      <c r="A40" s="17" t="s">
        <v>33</v>
      </c>
      <c r="B40" s="16">
        <f>B26+B32+B37+B38</f>
        <v>6013028.3981999997</v>
      </c>
      <c r="C40" s="16">
        <f t="shared" ref="C40" si="15">C26+C32+C37+C38</f>
        <v>9677937.8169444446</v>
      </c>
      <c r="D40" s="16">
        <f>D26+D32+D37+D38</f>
        <v>15690966.215144444</v>
      </c>
      <c r="E40" s="16">
        <f t="shared" si="7"/>
        <v>4738671.7969736224</v>
      </c>
      <c r="F40" s="14">
        <f t="shared" si="8"/>
        <v>20429638.012118068</v>
      </c>
      <c r="G40" s="14">
        <f>G26+G32+G37+G38+G39</f>
        <v>196340</v>
      </c>
      <c r="H40" s="14">
        <f>H26+H32+H37+H38+H39</f>
        <v>59294.68</v>
      </c>
      <c r="I40" s="14">
        <f t="shared" si="10"/>
        <v>255634.68</v>
      </c>
      <c r="J40" s="19"/>
    </row>
    <row r="41" spans="1:10">
      <c r="A41" s="10" t="s">
        <v>34</v>
      </c>
      <c r="B41" s="12"/>
      <c r="C41" s="12"/>
      <c r="D41" s="11">
        <v>6760</v>
      </c>
      <c r="E41" s="11">
        <v>2042</v>
      </c>
      <c r="F41" s="5">
        <f t="shared" si="8"/>
        <v>8802</v>
      </c>
      <c r="G41" s="5">
        <v>6760</v>
      </c>
      <c r="H41" s="5">
        <v>2042</v>
      </c>
      <c r="I41" s="5">
        <f t="shared" ref="I41:I43" si="16">G41+H41</f>
        <v>8802</v>
      </c>
    </row>
    <row r="42" spans="1:10">
      <c r="A42" s="10" t="s">
        <v>35</v>
      </c>
      <c r="B42" s="12"/>
      <c r="C42" s="12"/>
      <c r="D42" s="11">
        <v>2003</v>
      </c>
      <c r="E42" s="11">
        <v>605</v>
      </c>
      <c r="F42" s="5">
        <f t="shared" si="8"/>
        <v>2608</v>
      </c>
      <c r="G42" s="5">
        <v>2003</v>
      </c>
      <c r="H42" s="5">
        <v>605</v>
      </c>
      <c r="I42" s="5">
        <f t="shared" si="16"/>
        <v>2608</v>
      </c>
    </row>
    <row r="43" spans="1:10">
      <c r="A43" s="10" t="s">
        <v>36</v>
      </c>
      <c r="B43" s="12"/>
      <c r="C43" s="12"/>
      <c r="D43" s="11">
        <v>3400</v>
      </c>
      <c r="E43" s="11">
        <v>1027</v>
      </c>
      <c r="F43" s="5">
        <f t="shared" si="8"/>
        <v>4427</v>
      </c>
      <c r="G43" s="5">
        <v>3400</v>
      </c>
      <c r="H43" s="5">
        <v>1027</v>
      </c>
      <c r="I43" s="5">
        <f t="shared" si="16"/>
        <v>4427</v>
      </c>
    </row>
    <row r="44" spans="1:10" s="9" customFormat="1">
      <c r="A44" s="17" t="s">
        <v>38</v>
      </c>
      <c r="B44" s="15"/>
      <c r="C44" s="15"/>
      <c r="D44" s="16">
        <f>SUM(D41:D43)</f>
        <v>12163</v>
      </c>
      <c r="E44" s="16">
        <f>SUM(E41:E43)</f>
        <v>3674</v>
      </c>
      <c r="F44" s="14">
        <f>SUM(F41:F43)</f>
        <v>15837</v>
      </c>
      <c r="G44" s="14">
        <f>SUM(G41:G43)</f>
        <v>12163</v>
      </c>
      <c r="H44" s="14">
        <f t="shared" ref="H44" si="17">SUM(H41:H43)</f>
        <v>3674</v>
      </c>
      <c r="I44" s="14">
        <f>SUM(I41:I43)</f>
        <v>15837</v>
      </c>
    </row>
    <row r="45" spans="1:10">
      <c r="A45" s="10" t="s">
        <v>41</v>
      </c>
      <c r="B45" s="12"/>
      <c r="C45" s="12"/>
      <c r="D45" s="11"/>
      <c r="E45" s="11"/>
      <c r="F45" s="5"/>
      <c r="G45" s="5">
        <v>3600</v>
      </c>
      <c r="H45" s="5">
        <v>1087.0999999999999</v>
      </c>
      <c r="I45" s="5">
        <f t="shared" ref="I45" si="18">G45+H45</f>
        <v>4687.1000000000004</v>
      </c>
    </row>
    <row r="46" spans="1:10" s="9" customFormat="1">
      <c r="A46" s="17" t="s">
        <v>21</v>
      </c>
      <c r="B46" s="15"/>
      <c r="C46" s="15"/>
      <c r="D46" s="16">
        <f>D11+D12+D13+D14+D40+D44+D17</f>
        <v>15720326.215144444</v>
      </c>
      <c r="E46" s="16">
        <f>E11+E12+E13+E14+E40+E44+E17</f>
        <v>4747538.896973622</v>
      </c>
      <c r="F46" s="14">
        <f>F11+F12+F13+F14+F40+F44+F17</f>
        <v>20467865.112118069</v>
      </c>
      <c r="G46" s="14">
        <f>G11+G12+G13+G14+G40+G44+G17+G45+G15+G16</f>
        <v>230668</v>
      </c>
      <c r="H46" s="14">
        <f>H11+H12+H13+H14+H40+H44+H17+H45+H15+H16</f>
        <v>69662.016000000003</v>
      </c>
      <c r="I46" s="14">
        <f>I11+I12+I13+I14+I40+I44+I17+I45+I15+I16</f>
        <v>300330.01599999995</v>
      </c>
    </row>
    <row r="48" spans="1:10">
      <c r="I48" s="22"/>
    </row>
  </sheetData>
  <mergeCells count="2">
    <mergeCell ref="A2:I2"/>
    <mergeCell ref="A1:I1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2016-11-30T09:48:55Z</dcterms:modified>
</cp:coreProperties>
</file>