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1" activeTab="1"/>
  </bookViews>
  <sheets>
    <sheet name="9пр (2)" sheetId="23" state="hidden" r:id="rId1"/>
    <sheet name="2." sheetId="22" r:id="rId2"/>
    <sheet name="5" sheetId="9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2.2" sheetId="14" state="hidden" r:id="rId8"/>
    <sheet name="2" sheetId="15" state="hidden" r:id="rId9"/>
    <sheet name="пр7" sheetId="16" r:id="rId10"/>
    <sheet name="6 (3)" sheetId="19" state="hidden" r:id="rId11"/>
    <sheet name="пр6" sheetId="18" r:id="rId12"/>
    <sheet name="9 корр" sheetId="28" r:id="rId13"/>
    <sheet name="прил9 ундурбес" sheetId="29" r:id="rId14"/>
    <sheet name="9 пр" sheetId="31" r:id="rId15"/>
  </sheets>
  <externalReferences>
    <externalReference r:id="rId16"/>
    <externalReference r:id="rId17"/>
    <externalReference r:id="rId18"/>
    <externalReference r:id="rId19"/>
  </externalReferences>
  <definedNames>
    <definedName name="_xlnm.Print_Area" localSheetId="8">'2'!$A$1:$H$95</definedName>
    <definedName name="_xlnm.Print_Area" localSheetId="1">'2.'!$A$1:$H$99</definedName>
    <definedName name="_xlnm.Print_Area" localSheetId="7">'2.2'!$A$1:$O$38</definedName>
    <definedName name="_xlnm.Print_Area" localSheetId="2">'5'!$A$1:$J$25</definedName>
    <definedName name="_xlnm.Print_Area" localSheetId="3">'6'!$A$1:$CF$66</definedName>
    <definedName name="_xlnm.Print_Area" localSheetId="10">'6 (3)'!$A$1:$CJ$66</definedName>
    <definedName name="_xlnm.Print_Area" localSheetId="6">'7'!$A$1:$S$245</definedName>
    <definedName name="_xlnm.Print_Area" localSheetId="5">'9'!$A$1:$CQ$140</definedName>
    <definedName name="_xlnm.Print_Area" localSheetId="12">'9 корр'!$A$1:$M$42</definedName>
    <definedName name="_xlnm.Print_Area" localSheetId="11">пр6!$A$1:$CN$76</definedName>
    <definedName name="_xlnm.Print_Area" localSheetId="9">пр7!$A$1:$T$144</definedName>
    <definedName name="_xlnm.Print_Area" localSheetId="13">'прил9 ундурбес'!$A$1:$DJ$145</definedName>
  </definedNames>
  <calcPr calcId="124519"/>
  <fileRecoveryPr autoRecover="0"/>
</workbook>
</file>

<file path=xl/calcChain.xml><?xml version="1.0" encoding="utf-8"?>
<calcChain xmlns="http://schemas.openxmlformats.org/spreadsheetml/2006/main">
  <c r="L8" i="31"/>
  <c r="L9"/>
  <c r="L10"/>
  <c r="L11"/>
  <c r="L12"/>
  <c r="L13"/>
  <c r="L14"/>
  <c r="K8"/>
  <c r="K9"/>
  <c r="K10"/>
  <c r="K11"/>
  <c r="K12"/>
  <c r="K13"/>
  <c r="K14"/>
  <c r="K106" l="1"/>
  <c r="K108"/>
  <c r="K109"/>
  <c r="K110"/>
  <c r="K111"/>
  <c r="K112"/>
  <c r="K113"/>
  <c r="K114"/>
  <c r="K115"/>
  <c r="K117"/>
  <c r="K118"/>
  <c r="K119"/>
  <c r="K120"/>
  <c r="K121"/>
  <c r="K123"/>
  <c r="K125"/>
  <c r="K127"/>
  <c r="K128"/>
  <c r="G40"/>
  <c r="G98"/>
  <c r="K130" l="1"/>
  <c r="K132"/>
  <c r="K133"/>
  <c r="K135"/>
  <c r="K136"/>
  <c r="K139"/>
  <c r="K140"/>
  <c r="L138"/>
  <c r="L153"/>
  <c r="L159"/>
  <c r="K159"/>
  <c r="J159"/>
  <c r="L158"/>
  <c r="K158"/>
  <c r="J158"/>
  <c r="L156"/>
  <c r="K156"/>
  <c r="J156"/>
  <c r="K155"/>
  <c r="J155"/>
  <c r="H155"/>
  <c r="L155" s="1"/>
  <c r="L154"/>
  <c r="L152"/>
  <c r="L151"/>
  <c r="L150"/>
  <c r="L149"/>
  <c r="K149"/>
  <c r="J149"/>
  <c r="L148"/>
  <c r="K148"/>
  <c r="J148"/>
  <c r="L147"/>
  <c r="K147"/>
  <c r="J147"/>
  <c r="L146"/>
  <c r="K146"/>
  <c r="J146"/>
  <c r="L145"/>
  <c r="J145"/>
  <c r="L144"/>
  <c r="K144"/>
  <c r="J144"/>
  <c r="L143"/>
  <c r="K143"/>
  <c r="J143"/>
  <c r="L142"/>
  <c r="K142"/>
  <c r="J142"/>
  <c r="L141"/>
  <c r="J141"/>
  <c r="L140"/>
  <c r="J140"/>
  <c r="L139"/>
  <c r="J139"/>
  <c r="L137"/>
  <c r="L136"/>
  <c r="J136"/>
  <c r="L135"/>
  <c r="J135"/>
  <c r="L134"/>
  <c r="J134"/>
  <c r="L133"/>
  <c r="J133"/>
  <c r="L132"/>
  <c r="L130"/>
  <c r="J130"/>
  <c r="L129"/>
  <c r="J129"/>
  <c r="L128"/>
  <c r="L127"/>
  <c r="J127"/>
  <c r="L126"/>
  <c r="J126"/>
  <c r="L125"/>
  <c r="J125"/>
  <c r="L124"/>
  <c r="J124"/>
  <c r="L123"/>
  <c r="J123"/>
  <c r="L122"/>
  <c r="J122"/>
  <c r="L121"/>
  <c r="J121"/>
  <c r="L120"/>
  <c r="J120"/>
  <c r="L119"/>
  <c r="J119"/>
  <c r="L118"/>
  <c r="J118"/>
  <c r="L117"/>
  <c r="J117"/>
  <c r="L116"/>
  <c r="J116"/>
  <c r="L115"/>
  <c r="J115"/>
  <c r="L114"/>
  <c r="J114"/>
  <c r="L113"/>
  <c r="J113"/>
  <c r="L112"/>
  <c r="J112"/>
  <c r="L111"/>
  <c r="J111"/>
  <c r="L110"/>
  <c r="J110"/>
  <c r="L109"/>
  <c r="J109"/>
  <c r="L108"/>
  <c r="J108"/>
  <c r="L107"/>
  <c r="J107"/>
  <c r="L106"/>
  <c r="J106"/>
  <c r="L105"/>
  <c r="J105"/>
  <c r="L104"/>
  <c r="K104"/>
  <c r="J104"/>
  <c r="L103"/>
  <c r="K103"/>
  <c r="J103"/>
  <c r="L102"/>
  <c r="K102"/>
  <c r="J102"/>
  <c r="L101"/>
  <c r="K101"/>
  <c r="J101"/>
  <c r="L100"/>
  <c r="K100"/>
  <c r="J100"/>
  <c r="L99"/>
  <c r="K99"/>
  <c r="J99"/>
  <c r="I98"/>
  <c r="H98"/>
  <c r="F98"/>
  <c r="E98"/>
  <c r="D98"/>
  <c r="L97"/>
  <c r="J97"/>
  <c r="L96"/>
  <c r="K96"/>
  <c r="J96"/>
  <c r="L95"/>
  <c r="L94"/>
  <c r="K94"/>
  <c r="J94"/>
  <c r="L93"/>
  <c r="K93"/>
  <c r="J93"/>
  <c r="L92"/>
  <c r="J92"/>
  <c r="L91"/>
  <c r="K91"/>
  <c r="J91"/>
  <c r="L90"/>
  <c r="K90"/>
  <c r="J90"/>
  <c r="L89"/>
  <c r="K89"/>
  <c r="J89"/>
  <c r="L88"/>
  <c r="K88"/>
  <c r="J88"/>
  <c r="I87"/>
  <c r="H87"/>
  <c r="J87" s="1"/>
  <c r="G87"/>
  <c r="F87"/>
  <c r="E87"/>
  <c r="D87"/>
  <c r="K86"/>
  <c r="H86"/>
  <c r="L86" s="1"/>
  <c r="F86" s="1"/>
  <c r="K85"/>
  <c r="H85"/>
  <c r="L85" s="1"/>
  <c r="F85" s="1"/>
  <c r="J85" s="1"/>
  <c r="L84"/>
  <c r="K84"/>
  <c r="H84"/>
  <c r="F84"/>
  <c r="J84" s="1"/>
  <c r="K83"/>
  <c r="H83"/>
  <c r="L83" s="1"/>
  <c r="F83" s="1"/>
  <c r="K82"/>
  <c r="H82"/>
  <c r="L82" s="1"/>
  <c r="F82" s="1"/>
  <c r="J82" s="1"/>
  <c r="K81"/>
  <c r="H81"/>
  <c r="L81" s="1"/>
  <c r="F81" s="1"/>
  <c r="J81" s="1"/>
  <c r="L80"/>
  <c r="K80"/>
  <c r="H80"/>
  <c r="F80"/>
  <c r="J80" s="1"/>
  <c r="K79"/>
  <c r="H79"/>
  <c r="L79" s="1"/>
  <c r="E79"/>
  <c r="D79"/>
  <c r="L78"/>
  <c r="K78"/>
  <c r="J78"/>
  <c r="L77"/>
  <c r="K77"/>
  <c r="J77"/>
  <c r="L76"/>
  <c r="K76"/>
  <c r="J76"/>
  <c r="L75"/>
  <c r="K75"/>
  <c r="J75"/>
  <c r="L74"/>
  <c r="K74"/>
  <c r="J74"/>
  <c r="L73"/>
  <c r="J73"/>
  <c r="L72"/>
  <c r="K72"/>
  <c r="J72"/>
  <c r="L71"/>
  <c r="K71"/>
  <c r="J71"/>
  <c r="L70"/>
  <c r="K70"/>
  <c r="J70"/>
  <c r="L69"/>
  <c r="L68"/>
  <c r="K68"/>
  <c r="J68"/>
  <c r="L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L55"/>
  <c r="J55"/>
  <c r="L54"/>
  <c r="K54"/>
  <c r="J54"/>
  <c r="L53"/>
  <c r="K53"/>
  <c r="J53"/>
  <c r="L52"/>
  <c r="K52"/>
  <c r="J52"/>
  <c r="L51"/>
  <c r="J51"/>
  <c r="L50"/>
  <c r="K50"/>
  <c r="J50"/>
  <c r="L49"/>
  <c r="J49"/>
  <c r="L48"/>
  <c r="J48"/>
  <c r="L47"/>
  <c r="K47"/>
  <c r="J47"/>
  <c r="L46"/>
  <c r="K46"/>
  <c r="J46"/>
  <c r="L45"/>
  <c r="K45"/>
  <c r="J45"/>
  <c r="L44"/>
  <c r="K44"/>
  <c r="J44"/>
  <c r="L43"/>
  <c r="K43"/>
  <c r="J43"/>
  <c r="L42"/>
  <c r="J42"/>
  <c r="I41"/>
  <c r="L41" s="1"/>
  <c r="H41"/>
  <c r="G41"/>
  <c r="F41"/>
  <c r="J41" s="1"/>
  <c r="E41"/>
  <c r="D41"/>
  <c r="I40"/>
  <c r="H40"/>
  <c r="J40" s="1"/>
  <c r="F40"/>
  <c r="E40"/>
  <c r="D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J30"/>
  <c r="L29"/>
  <c r="J29"/>
  <c r="L28"/>
  <c r="J28"/>
  <c r="L27"/>
  <c r="J27"/>
  <c r="L26"/>
  <c r="K26"/>
  <c r="J26"/>
  <c r="L25"/>
  <c r="J25"/>
  <c r="L24"/>
  <c r="J24"/>
  <c r="L23"/>
  <c r="J23"/>
  <c r="J22"/>
  <c r="I22"/>
  <c r="L22" s="1"/>
  <c r="H22"/>
  <c r="G22"/>
  <c r="F22"/>
  <c r="E22"/>
  <c r="D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J15"/>
  <c r="J12"/>
  <c r="J11"/>
  <c r="J10"/>
  <c r="J9"/>
  <c r="J8"/>
  <c r="L7"/>
  <c r="I6"/>
  <c r="H6"/>
  <c r="H157" s="1"/>
  <c r="G6"/>
  <c r="F6"/>
  <c r="E6"/>
  <c r="E157" s="1"/>
  <c r="E160" s="1"/>
  <c r="D6"/>
  <c r="D157" s="1"/>
  <c r="D160" s="1"/>
  <c r="J98" l="1"/>
  <c r="L98"/>
  <c r="K41"/>
  <c r="K40"/>
  <c r="I157"/>
  <c r="I160" s="1"/>
  <c r="K22"/>
  <c r="J6"/>
  <c r="L6"/>
  <c r="K87"/>
  <c r="G157"/>
  <c r="G160" s="1"/>
  <c r="H160"/>
  <c r="J79"/>
  <c r="J83"/>
  <c r="K98"/>
  <c r="L40"/>
  <c r="J86"/>
  <c r="F157"/>
  <c r="F160" s="1"/>
  <c r="F79"/>
  <c r="L87"/>
  <c r="L157" l="1"/>
  <c r="K157"/>
  <c r="K160"/>
  <c r="L160"/>
  <c r="J157"/>
  <c r="J160"/>
  <c r="L95" i="16" l="1"/>
  <c r="L14"/>
  <c r="L13"/>
  <c r="F77"/>
  <c r="S15"/>
  <c r="CL10" i="18"/>
  <c r="CL48"/>
  <c r="BX48"/>
  <c r="CK48"/>
  <c r="BB48"/>
  <c r="N49" l="1"/>
  <c r="H50"/>
  <c r="L50"/>
  <c r="P50"/>
  <c r="T50"/>
  <c r="AB50"/>
  <c r="AG50"/>
  <c r="CK50" s="1"/>
  <c r="AH50"/>
  <c r="AN50"/>
  <c r="AR50"/>
  <c r="AV50"/>
  <c r="AZ50"/>
  <c r="BA50"/>
  <c r="BB50"/>
  <c r="BH50"/>
  <c r="BL50"/>
  <c r="BP50"/>
  <c r="BT50"/>
  <c r="CB50"/>
  <c r="CL50"/>
  <c r="CP50"/>
  <c r="CS50"/>
  <c r="CT50"/>
  <c r="CU50"/>
  <c r="CV50"/>
  <c r="CW50"/>
  <c r="AJ50" l="1"/>
  <c r="BD50"/>
  <c r="CN50"/>
  <c r="CQ50"/>
  <c r="CH52"/>
  <c r="F35" i="29" l="1"/>
  <c r="CK122"/>
  <c r="G123"/>
  <c r="G124"/>
  <c r="G125"/>
  <c r="G126"/>
  <c r="G127"/>
  <c r="G128"/>
  <c r="G129"/>
  <c r="G130"/>
  <c r="K123"/>
  <c r="K124"/>
  <c r="K125"/>
  <c r="K126"/>
  <c r="K127"/>
  <c r="K128"/>
  <c r="K129"/>
  <c r="K130"/>
  <c r="O123"/>
  <c r="O124"/>
  <c r="O125"/>
  <c r="O126"/>
  <c r="O127"/>
  <c r="O128"/>
  <c r="O129"/>
  <c r="O130"/>
  <c r="S123"/>
  <c r="S124"/>
  <c r="S125"/>
  <c r="S126"/>
  <c r="S127"/>
  <c r="S128"/>
  <c r="S129"/>
  <c r="S130"/>
  <c r="W123"/>
  <c r="W124"/>
  <c r="W125"/>
  <c r="W126"/>
  <c r="W127"/>
  <c r="W128"/>
  <c r="W129"/>
  <c r="W130"/>
  <c r="AL123"/>
  <c r="AL124"/>
  <c r="AL125"/>
  <c r="AL126"/>
  <c r="AL127"/>
  <c r="AL128"/>
  <c r="AL129"/>
  <c r="AL130"/>
  <c r="CL123"/>
  <c r="CL124"/>
  <c r="CL125"/>
  <c r="CL126"/>
  <c r="CL127"/>
  <c r="CL128"/>
  <c r="CL129"/>
  <c r="CL130"/>
  <c r="CH123"/>
  <c r="CH124"/>
  <c r="CH125"/>
  <c r="CH126"/>
  <c r="CH127"/>
  <c r="CH128"/>
  <c r="CH129"/>
  <c r="CH130"/>
  <c r="BR123"/>
  <c r="BR124"/>
  <c r="BR125"/>
  <c r="BR126"/>
  <c r="BR127"/>
  <c r="BR128"/>
  <c r="BR129"/>
  <c r="BR130"/>
  <c r="BN123"/>
  <c r="BN124"/>
  <c r="BN125"/>
  <c r="BN126"/>
  <c r="BN127"/>
  <c r="BN128"/>
  <c r="BN129"/>
  <c r="BN130"/>
  <c r="AX123"/>
  <c r="AX124"/>
  <c r="AX125"/>
  <c r="AX126"/>
  <c r="AX127"/>
  <c r="AX128"/>
  <c r="AX129"/>
  <c r="AX130"/>
  <c r="AP123"/>
  <c r="AP124"/>
  <c r="AP125"/>
  <c r="AP126"/>
  <c r="AP127"/>
  <c r="AP128"/>
  <c r="AP129"/>
  <c r="AP130"/>
  <c r="E123"/>
  <c r="E124"/>
  <c r="E125"/>
  <c r="E126"/>
  <c r="E127"/>
  <c r="E128"/>
  <c r="E129"/>
  <c r="E130"/>
  <c r="F123"/>
  <c r="F124"/>
  <c r="F125"/>
  <c r="F126"/>
  <c r="F127"/>
  <c r="F128"/>
  <c r="F129"/>
  <c r="F130"/>
  <c r="DB144" l="1"/>
  <c r="CX144"/>
  <c r="CT144"/>
  <c r="CP144"/>
  <c r="CL144"/>
  <c r="CH144"/>
  <c r="CE144"/>
  <c r="CD144"/>
  <c r="BZ144"/>
  <c r="BW144"/>
  <c r="AR144" s="1"/>
  <c r="AF144" s="1"/>
  <c r="AB144" s="1"/>
  <c r="BV144"/>
  <c r="BR144"/>
  <c r="BN144"/>
  <c r="BJ144"/>
  <c r="BF144"/>
  <c r="BB144"/>
  <c r="AX144"/>
  <c r="AT144" s="1"/>
  <c r="AP144" s="1"/>
  <c r="AL144" s="1"/>
  <c r="AH144" s="1"/>
  <c r="AD144" s="1"/>
  <c r="Z144" s="1"/>
  <c r="AU144"/>
  <c r="AS144"/>
  <c r="AQ144"/>
  <c r="AM144" s="1"/>
  <c r="AI144" s="1"/>
  <c r="AE144" s="1"/>
  <c r="AA144" s="1"/>
  <c r="AO144"/>
  <c r="AK144" s="1"/>
  <c r="F144" s="1"/>
  <c r="H144" s="1"/>
  <c r="W144"/>
  <c r="P144"/>
  <c r="E144"/>
  <c r="DB143"/>
  <c r="CX143"/>
  <c r="CT143"/>
  <c r="CQ143"/>
  <c r="CP143"/>
  <c r="CL143"/>
  <c r="CI143"/>
  <c r="CE143"/>
  <c r="CD143"/>
  <c r="CA143"/>
  <c r="BZ143"/>
  <c r="BW143"/>
  <c r="BV143"/>
  <c r="BR143"/>
  <c r="BN143"/>
  <c r="BK143"/>
  <c r="BJ143"/>
  <c r="BF143"/>
  <c r="BB143"/>
  <c r="AY143"/>
  <c r="AX143"/>
  <c r="AU143"/>
  <c r="AT143"/>
  <c r="AP143"/>
  <c r="AL143"/>
  <c r="AI143"/>
  <c r="Z143"/>
  <c r="Y143"/>
  <c r="AA143" s="1"/>
  <c r="W143"/>
  <c r="S143"/>
  <c r="O143"/>
  <c r="L143"/>
  <c r="K143"/>
  <c r="F143"/>
  <c r="H143" s="1"/>
  <c r="E143"/>
  <c r="F141"/>
  <c r="G141" s="1"/>
  <c r="F140"/>
  <c r="G140" s="1"/>
  <c r="F139"/>
  <c r="G139" s="1"/>
  <c r="DC138"/>
  <c r="DB138"/>
  <c r="CY138"/>
  <c r="CX138"/>
  <c r="CU138"/>
  <c r="CT138"/>
  <c r="CP138"/>
  <c r="CL138"/>
  <c r="CH138"/>
  <c r="CD138"/>
  <c r="CA138"/>
  <c r="BZ138"/>
  <c r="BV138"/>
  <c r="BR138"/>
  <c r="BN138"/>
  <c r="BJ138"/>
  <c r="BF138"/>
  <c r="BB138"/>
  <c r="AX138"/>
  <c r="AT138"/>
  <c r="AP138"/>
  <c r="AL138"/>
  <c r="AI138"/>
  <c r="AF138"/>
  <c r="AE138"/>
  <c r="AA138"/>
  <c r="Z138"/>
  <c r="AB138" s="1"/>
  <c r="Y138"/>
  <c r="W138"/>
  <c r="S138"/>
  <c r="O138"/>
  <c r="K138"/>
  <c r="F138"/>
  <c r="G138" s="1"/>
  <c r="DC137"/>
  <c r="DB137"/>
  <c r="CY137"/>
  <c r="CX137"/>
  <c r="CU137"/>
  <c r="CT137"/>
  <c r="CP137"/>
  <c r="CL137"/>
  <c r="CH137"/>
  <c r="CD137"/>
  <c r="CA137"/>
  <c r="BZ137"/>
  <c r="BV137"/>
  <c r="BR137"/>
  <c r="BN137"/>
  <c r="BJ137"/>
  <c r="BF137"/>
  <c r="BB137"/>
  <c r="AX137"/>
  <c r="AT137"/>
  <c r="AP137"/>
  <c r="AL137"/>
  <c r="AI137"/>
  <c r="AF137"/>
  <c r="AE137"/>
  <c r="Z137"/>
  <c r="AA137" s="1"/>
  <c r="Y137"/>
  <c r="X137"/>
  <c r="W137"/>
  <c r="T137"/>
  <c r="S137"/>
  <c r="O137"/>
  <c r="K137"/>
  <c r="E137"/>
  <c r="DC136"/>
  <c r="DB136"/>
  <c r="CY136"/>
  <c r="CX136"/>
  <c r="CU136"/>
  <c r="CT136"/>
  <c r="CP136"/>
  <c r="CL136"/>
  <c r="CH136"/>
  <c r="CD136"/>
  <c r="CA136"/>
  <c r="BZ136"/>
  <c r="BV136"/>
  <c r="BR136"/>
  <c r="BN136"/>
  <c r="BJ136"/>
  <c r="BF136"/>
  <c r="BB136"/>
  <c r="AX136"/>
  <c r="AT136"/>
  <c r="AP136"/>
  <c r="AL136"/>
  <c r="AI136"/>
  <c r="AF136"/>
  <c r="AE136"/>
  <c r="Z136"/>
  <c r="AA136" s="1"/>
  <c r="Y136"/>
  <c r="E136" s="1"/>
  <c r="X136"/>
  <c r="W136"/>
  <c r="T136"/>
  <c r="S136"/>
  <c r="O136"/>
  <c r="K136"/>
  <c r="DC135"/>
  <c r="DB135"/>
  <c r="CY135"/>
  <c r="CX135"/>
  <c r="CU135"/>
  <c r="CT135"/>
  <c r="CP135"/>
  <c r="CL135"/>
  <c r="CH135"/>
  <c r="CD135"/>
  <c r="CA135"/>
  <c r="BZ135"/>
  <c r="BV135"/>
  <c r="BR135"/>
  <c r="BN135"/>
  <c r="BJ135"/>
  <c r="BF135"/>
  <c r="BB135"/>
  <c r="AX135"/>
  <c r="AP135"/>
  <c r="AE135"/>
  <c r="K135"/>
  <c r="F135"/>
  <c r="G135" s="1"/>
  <c r="E135"/>
  <c r="DC134"/>
  <c r="DB134"/>
  <c r="CY134"/>
  <c r="CX134"/>
  <c r="CU134"/>
  <c r="CT134"/>
  <c r="CP134"/>
  <c r="CL134"/>
  <c r="CH134"/>
  <c r="CD134"/>
  <c r="CA134"/>
  <c r="BZ134"/>
  <c r="BV134"/>
  <c r="BR134"/>
  <c r="BN134"/>
  <c r="BJ134"/>
  <c r="BF134"/>
  <c r="BB134"/>
  <c r="AX134"/>
  <c r="AP134"/>
  <c r="AE134"/>
  <c r="K134"/>
  <c r="G134"/>
  <c r="F134"/>
  <c r="H134" s="1"/>
  <c r="E134"/>
  <c r="DC133"/>
  <c r="DB133"/>
  <c r="CY133"/>
  <c r="CX133"/>
  <c r="CU133"/>
  <c r="CT133"/>
  <c r="CP133"/>
  <c r="CL133"/>
  <c r="CH133"/>
  <c r="CD133"/>
  <c r="CA133"/>
  <c r="BZ133"/>
  <c r="BV133"/>
  <c r="BR133"/>
  <c r="BN133"/>
  <c r="BJ133"/>
  <c r="BF133"/>
  <c r="BB133"/>
  <c r="AX133"/>
  <c r="AP133"/>
  <c r="AE133"/>
  <c r="K133"/>
  <c r="F133"/>
  <c r="G133" s="1"/>
  <c r="E133"/>
  <c r="DC132"/>
  <c r="DB132"/>
  <c r="CY132"/>
  <c r="CX132"/>
  <c r="CU132"/>
  <c r="CT132"/>
  <c r="CL132"/>
  <c r="CH132"/>
  <c r="CD132"/>
  <c r="BZ132"/>
  <c r="BV132"/>
  <c r="BR132"/>
  <c r="BN132"/>
  <c r="BJ132"/>
  <c r="BF132"/>
  <c r="AX132"/>
  <c r="AP132"/>
  <c r="AL132"/>
  <c r="AI132"/>
  <c r="AE132"/>
  <c r="AA132"/>
  <c r="Z132"/>
  <c r="Y132"/>
  <c r="E132" s="1"/>
  <c r="W132"/>
  <c r="S132"/>
  <c r="O132"/>
  <c r="K132"/>
  <c r="F132"/>
  <c r="G132" s="1"/>
  <c r="DC131"/>
  <c r="DB131"/>
  <c r="CY131"/>
  <c r="CX131"/>
  <c r="CU131"/>
  <c r="CT131"/>
  <c r="CL131"/>
  <c r="CH131"/>
  <c r="CD131"/>
  <c r="CA131"/>
  <c r="BZ131"/>
  <c r="BV131"/>
  <c r="BR131"/>
  <c r="BN131"/>
  <c r="BJ131"/>
  <c r="BF131"/>
  <c r="AX131"/>
  <c r="AP131"/>
  <c r="AL131"/>
  <c r="AI131"/>
  <c r="AF131"/>
  <c r="AE131"/>
  <c r="Z131"/>
  <c r="AA131" s="1"/>
  <c r="Y131"/>
  <c r="AB131" s="1"/>
  <c r="AB90" s="1"/>
  <c r="W131"/>
  <c r="S131"/>
  <c r="O131"/>
  <c r="K131"/>
  <c r="DB129"/>
  <c r="CT129"/>
  <c r="CD129"/>
  <c r="BZ129"/>
  <c r="BW129"/>
  <c r="BV129"/>
  <c r="BJ129"/>
  <c r="BF129"/>
  <c r="AE129"/>
  <c r="Z129"/>
  <c r="AA129" s="1"/>
  <c r="Y129"/>
  <c r="T129"/>
  <c r="DB128"/>
  <c r="CD128"/>
  <c r="BZ128"/>
  <c r="BW128"/>
  <c r="BV128"/>
  <c r="BJ128"/>
  <c r="BF128"/>
  <c r="AA128"/>
  <c r="Z128"/>
  <c r="Y128"/>
  <c r="DB127"/>
  <c r="CT127"/>
  <c r="CD127"/>
  <c r="BZ127"/>
  <c r="BW127"/>
  <c r="BV127"/>
  <c r="BJ127"/>
  <c r="BF127"/>
  <c r="AT127"/>
  <c r="AE127"/>
  <c r="Z127"/>
  <c r="AA127" s="1"/>
  <c r="Y127"/>
  <c r="L127"/>
  <c r="DB126"/>
  <c r="CT126"/>
  <c r="CD126"/>
  <c r="BZ126"/>
  <c r="BW126"/>
  <c r="BV126"/>
  <c r="BJ126"/>
  <c r="BF126"/>
  <c r="AE126"/>
  <c r="Z126"/>
  <c r="AA126" s="1"/>
  <c r="Y126"/>
  <c r="L126"/>
  <c r="DB125"/>
  <c r="CT125"/>
  <c r="CD125"/>
  <c r="BZ125"/>
  <c r="BW125"/>
  <c r="BV125"/>
  <c r="BJ125"/>
  <c r="BF125"/>
  <c r="AT125"/>
  <c r="AE125"/>
  <c r="Z125"/>
  <c r="AA125" s="1"/>
  <c r="Y125"/>
  <c r="L125"/>
  <c r="DB123"/>
  <c r="CT123"/>
  <c r="CD123"/>
  <c r="BZ123"/>
  <c r="BW123"/>
  <c r="BV123"/>
  <c r="BJ123"/>
  <c r="BF123"/>
  <c r="AT123"/>
  <c r="AE123"/>
  <c r="AA123"/>
  <c r="Z123"/>
  <c r="Y123"/>
  <c r="L123"/>
  <c r="DB122"/>
  <c r="CL122"/>
  <c r="CH122"/>
  <c r="CD122"/>
  <c r="BZ122"/>
  <c r="BW122"/>
  <c r="BV122"/>
  <c r="BR122"/>
  <c r="BN122"/>
  <c r="BJ122"/>
  <c r="BF122"/>
  <c r="AX122"/>
  <c r="AP122"/>
  <c r="AL122"/>
  <c r="AF122"/>
  <c r="AE122"/>
  <c r="AA122"/>
  <c r="Z122"/>
  <c r="Y122"/>
  <c r="E122" s="1"/>
  <c r="W122"/>
  <c r="S122"/>
  <c r="O122"/>
  <c r="K122"/>
  <c r="F122"/>
  <c r="DB121"/>
  <c r="CL121"/>
  <c r="CH121"/>
  <c r="CD121"/>
  <c r="BZ121"/>
  <c r="BW121"/>
  <c r="BV121"/>
  <c r="BR121"/>
  <c r="BN121"/>
  <c r="BJ121"/>
  <c r="BF121"/>
  <c r="AX121"/>
  <c r="AP121"/>
  <c r="AL121"/>
  <c r="AF121"/>
  <c r="AE121"/>
  <c r="Z121"/>
  <c r="AA121" s="1"/>
  <c r="Y121"/>
  <c r="E121" s="1"/>
  <c r="W121"/>
  <c r="S121"/>
  <c r="O121"/>
  <c r="K121"/>
  <c r="DB120"/>
  <c r="CL120"/>
  <c r="CH120"/>
  <c r="CD120"/>
  <c r="BZ120"/>
  <c r="BW120"/>
  <c r="BV120"/>
  <c r="BR120"/>
  <c r="BN120"/>
  <c r="BJ120"/>
  <c r="BF120"/>
  <c r="AX120"/>
  <c r="AP120"/>
  <c r="AL120"/>
  <c r="AF120"/>
  <c r="AE120"/>
  <c r="AA120"/>
  <c r="Z120"/>
  <c r="Y120"/>
  <c r="W120"/>
  <c r="S120"/>
  <c r="O120"/>
  <c r="K120"/>
  <c r="H120"/>
  <c r="F120"/>
  <c r="G120" s="1"/>
  <c r="DB119"/>
  <c r="CT119"/>
  <c r="CL119"/>
  <c r="CH119"/>
  <c r="CD119"/>
  <c r="BZ119"/>
  <c r="BW119"/>
  <c r="BV119"/>
  <c r="BR119"/>
  <c r="BN119"/>
  <c r="BJ119"/>
  <c r="BF119"/>
  <c r="AX119"/>
  <c r="AT119"/>
  <c r="AP119"/>
  <c r="AL119"/>
  <c r="AF119"/>
  <c r="AE119"/>
  <c r="AA119"/>
  <c r="Z119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AA118"/>
  <c r="Z118"/>
  <c r="Y118"/>
  <c r="W118"/>
  <c r="S118"/>
  <c r="O118"/>
  <c r="K118"/>
  <c r="F118"/>
  <c r="G118" s="1"/>
  <c r="DB117"/>
  <c r="CL117"/>
  <c r="CH117"/>
  <c r="CD117"/>
  <c r="BZ117"/>
  <c r="BW117"/>
  <c r="BV117"/>
  <c r="BR117"/>
  <c r="BN117"/>
  <c r="BJ117"/>
  <c r="BF117"/>
  <c r="AX117"/>
  <c r="AT117"/>
  <c r="AP117"/>
  <c r="AL117"/>
  <c r="AE117"/>
  <c r="Z117"/>
  <c r="AA117" s="1"/>
  <c r="Y117"/>
  <c r="W117"/>
  <c r="S117"/>
  <c r="O117"/>
  <c r="K117"/>
  <c r="F117"/>
  <c r="G117" s="1"/>
  <c r="E117"/>
  <c r="DB116"/>
  <c r="CL116"/>
  <c r="CH116"/>
  <c r="CD116"/>
  <c r="BZ116"/>
  <c r="BW116"/>
  <c r="BV116"/>
  <c r="BR116"/>
  <c r="BN116"/>
  <c r="BJ116"/>
  <c r="BF116"/>
  <c r="AX116"/>
  <c r="AT116"/>
  <c r="AP116"/>
  <c r="AL116"/>
  <c r="AE116"/>
  <c r="Z116"/>
  <c r="AA116" s="1"/>
  <c r="Y116"/>
  <c r="E116" s="1"/>
  <c r="W116"/>
  <c r="S116"/>
  <c r="O116"/>
  <c r="K116"/>
  <c r="DB115"/>
  <c r="CL115"/>
  <c r="CH115"/>
  <c r="CD115"/>
  <c r="BZ115"/>
  <c r="BW115"/>
  <c r="BV115"/>
  <c r="BR115"/>
  <c r="BN115"/>
  <c r="BJ115"/>
  <c r="BF115"/>
  <c r="AX115"/>
  <c r="AT115"/>
  <c r="AP115"/>
  <c r="AL115"/>
  <c r="AE115"/>
  <c r="Z115"/>
  <c r="AA115" s="1"/>
  <c r="Y115"/>
  <c r="W115"/>
  <c r="S115"/>
  <c r="O115"/>
  <c r="L115"/>
  <c r="K115"/>
  <c r="E115"/>
  <c r="DB114"/>
  <c r="CL114"/>
  <c r="CH114"/>
  <c r="CD114"/>
  <c r="BZ114"/>
  <c r="BV114"/>
  <c r="BR114"/>
  <c r="BN114"/>
  <c r="BJ114"/>
  <c r="BF114"/>
  <c r="AX114"/>
  <c r="AP114"/>
  <c r="AL114"/>
  <c r="AE114"/>
  <c r="Z114"/>
  <c r="AA114" s="1"/>
  <c r="Y114"/>
  <c r="W114"/>
  <c r="S114"/>
  <c r="O114"/>
  <c r="L114"/>
  <c r="K114"/>
  <c r="F114"/>
  <c r="G114" s="1"/>
  <c r="E114"/>
  <c r="DB113"/>
  <c r="CL113"/>
  <c r="CH113"/>
  <c r="CD113"/>
  <c r="BZ113"/>
  <c r="BV113"/>
  <c r="BR113"/>
  <c r="BN113"/>
  <c r="BJ113"/>
  <c r="BF113"/>
  <c r="AX113"/>
  <c r="AP113"/>
  <c r="AL113"/>
  <c r="AE113"/>
  <c r="Z113"/>
  <c r="AA113" s="1"/>
  <c r="Y113"/>
  <c r="W113"/>
  <c r="S113"/>
  <c r="O113"/>
  <c r="L113"/>
  <c r="K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L112"/>
  <c r="K112"/>
  <c r="F112"/>
  <c r="G112" s="1"/>
  <c r="E112"/>
  <c r="DB111"/>
  <c r="CL111"/>
  <c r="CH111"/>
  <c r="CD111"/>
  <c r="BZ111"/>
  <c r="BV111"/>
  <c r="BR111"/>
  <c r="BN111"/>
  <c r="BJ111"/>
  <c r="BF111"/>
  <c r="AX111"/>
  <c r="AP111"/>
  <c r="AL111"/>
  <c r="AE111"/>
  <c r="Z111"/>
  <c r="AA111" s="1"/>
  <c r="Y111"/>
  <c r="W111"/>
  <c r="S111"/>
  <c r="O111"/>
  <c r="L111"/>
  <c r="K111"/>
  <c r="F111"/>
  <c r="G111" s="1"/>
  <c r="DB110"/>
  <c r="CL110"/>
  <c r="CH110"/>
  <c r="CD110"/>
  <c r="BZ110"/>
  <c r="BV110"/>
  <c r="BR110"/>
  <c r="BN110"/>
  <c r="BJ110"/>
  <c r="BF110"/>
  <c r="AX110"/>
  <c r="AT110"/>
  <c r="AP110"/>
  <c r="AL110"/>
  <c r="AE110"/>
  <c r="AA110"/>
  <c r="Z110"/>
  <c r="Y110"/>
  <c r="W110"/>
  <c r="S110"/>
  <c r="O110"/>
  <c r="K110"/>
  <c r="F110"/>
  <c r="G110" s="1"/>
  <c r="DB109"/>
  <c r="CL109"/>
  <c r="CH109"/>
  <c r="CD109"/>
  <c r="BZ109"/>
  <c r="BV109"/>
  <c r="BR109"/>
  <c r="BN109"/>
  <c r="BJ109"/>
  <c r="BF109"/>
  <c r="AX109"/>
  <c r="AT109"/>
  <c r="AP109"/>
  <c r="AL109"/>
  <c r="AE109"/>
  <c r="AA109"/>
  <c r="Z109"/>
  <c r="Y109"/>
  <c r="E109" s="1"/>
  <c r="W109"/>
  <c r="S109"/>
  <c r="O109"/>
  <c r="K109"/>
  <c r="F109"/>
  <c r="G109" s="1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E108"/>
  <c r="DB107"/>
  <c r="CL107"/>
  <c r="CH107"/>
  <c r="CD107"/>
  <c r="BZ107"/>
  <c r="BV107"/>
  <c r="BR107"/>
  <c r="BN107"/>
  <c r="BJ107"/>
  <c r="BF107"/>
  <c r="AX107"/>
  <c r="AT107"/>
  <c r="AP107"/>
  <c r="AL107"/>
  <c r="AE107"/>
  <c r="Z107"/>
  <c r="AA107" s="1"/>
  <c r="Y107"/>
  <c r="W107"/>
  <c r="S107"/>
  <c r="O107"/>
  <c r="K107"/>
  <c r="F107"/>
  <c r="G107" s="1"/>
  <c r="DB106"/>
  <c r="CL106"/>
  <c r="CH106"/>
  <c r="CD106"/>
  <c r="BZ106"/>
  <c r="BV106"/>
  <c r="BR106"/>
  <c r="BN106"/>
  <c r="BJ106"/>
  <c r="BF106"/>
  <c r="AX106"/>
  <c r="AP106"/>
  <c r="AL106"/>
  <c r="AE106"/>
  <c r="Z106"/>
  <c r="AA106" s="1"/>
  <c r="Y106"/>
  <c r="W106"/>
  <c r="S106"/>
  <c r="O106"/>
  <c r="K106"/>
  <c r="F106"/>
  <c r="G106" s="1"/>
  <c r="DB105"/>
  <c r="CL105"/>
  <c r="CH105"/>
  <c r="CD105"/>
  <c r="BZ105"/>
  <c r="BV105"/>
  <c r="BR105"/>
  <c r="BN105"/>
  <c r="BJ105"/>
  <c r="BF105"/>
  <c r="AX105"/>
  <c r="AP105"/>
  <c r="AL105"/>
  <c r="AE105"/>
  <c r="Z105"/>
  <c r="AA105" s="1"/>
  <c r="Y105"/>
  <c r="W105"/>
  <c r="S105"/>
  <c r="O105"/>
  <c r="K105"/>
  <c r="F105"/>
  <c r="G105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F104"/>
  <c r="G104" s="1"/>
  <c r="DB103"/>
  <c r="CL103"/>
  <c r="CH103"/>
  <c r="CD103"/>
  <c r="BZ103"/>
  <c r="BV103"/>
  <c r="BR103"/>
  <c r="BN103"/>
  <c r="BJ103"/>
  <c r="BF103"/>
  <c r="AX103"/>
  <c r="AT103"/>
  <c r="AQ103"/>
  <c r="AP103"/>
  <c r="AL103"/>
  <c r="AE103"/>
  <c r="Z103"/>
  <c r="AA103" s="1"/>
  <c r="Y103"/>
  <c r="W103"/>
  <c r="S103"/>
  <c r="P103"/>
  <c r="O103"/>
  <c r="K103"/>
  <c r="F103"/>
  <c r="G103" s="1"/>
  <c r="E103"/>
  <c r="DB102"/>
  <c r="CL102"/>
  <c r="CH102"/>
  <c r="CD102"/>
  <c r="BZ102"/>
  <c r="BV102"/>
  <c r="BR102"/>
  <c r="BN102"/>
  <c r="BJ102"/>
  <c r="BF102"/>
  <c r="AX102"/>
  <c r="AT102"/>
  <c r="AP102"/>
  <c r="AL102"/>
  <c r="AE102"/>
  <c r="AA102"/>
  <c r="Z102"/>
  <c r="Y102"/>
  <c r="W102"/>
  <c r="S102"/>
  <c r="O102"/>
  <c r="K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P101"/>
  <c r="O101"/>
  <c r="K101"/>
  <c r="E101"/>
  <c r="DB100"/>
  <c r="CL100"/>
  <c r="CH100"/>
  <c r="CD100"/>
  <c r="BZ100"/>
  <c r="BV100"/>
  <c r="BR100"/>
  <c r="BN100"/>
  <c r="BJ100"/>
  <c r="BF100"/>
  <c r="AX100"/>
  <c r="AP100"/>
  <c r="AL100"/>
  <c r="AE100"/>
  <c r="Z100"/>
  <c r="AA100" s="1"/>
  <c r="Y100"/>
  <c r="W100"/>
  <c r="S100"/>
  <c r="P100"/>
  <c r="O100"/>
  <c r="K100"/>
  <c r="F100"/>
  <c r="G100" s="1"/>
  <c r="E100"/>
  <c r="DB99"/>
  <c r="CL99"/>
  <c r="CH99"/>
  <c r="CD99"/>
  <c r="BZ99"/>
  <c r="BV99"/>
  <c r="BR99"/>
  <c r="BN99"/>
  <c r="BJ99"/>
  <c r="BF99"/>
  <c r="AX99"/>
  <c r="AX90" s="1"/>
  <c r="AT99"/>
  <c r="AP99"/>
  <c r="AL99"/>
  <c r="AE99"/>
  <c r="AA99"/>
  <c r="Z99"/>
  <c r="Y99"/>
  <c r="W99"/>
  <c r="S99"/>
  <c r="O99"/>
  <c r="L99"/>
  <c r="K99"/>
  <c r="F99"/>
  <c r="G99" s="1"/>
  <c r="E99"/>
  <c r="DB98"/>
  <c r="CL98"/>
  <c r="CH98"/>
  <c r="CD98"/>
  <c r="BZ98"/>
  <c r="BV98"/>
  <c r="BR98"/>
  <c r="BN98"/>
  <c r="BJ98"/>
  <c r="BF98"/>
  <c r="AX98"/>
  <c r="AP98"/>
  <c r="AL98"/>
  <c r="AE98"/>
  <c r="Z98"/>
  <c r="AA98" s="1"/>
  <c r="Y98"/>
  <c r="W98"/>
  <c r="S98"/>
  <c r="O98"/>
  <c r="K98"/>
  <c r="F98"/>
  <c r="G98" s="1"/>
  <c r="DB97"/>
  <c r="CL97"/>
  <c r="CH97"/>
  <c r="CD97"/>
  <c r="BZ97"/>
  <c r="BV97"/>
  <c r="BR97"/>
  <c r="BN97"/>
  <c r="BJ97"/>
  <c r="BF97"/>
  <c r="AX97"/>
  <c r="AP97"/>
  <c r="AL97"/>
  <c r="AE97"/>
  <c r="Z97"/>
  <c r="AA97" s="1"/>
  <c r="Y97"/>
  <c r="E97" s="1"/>
  <c r="W97"/>
  <c r="S97"/>
  <c r="O97"/>
  <c r="K97"/>
  <c r="DB96"/>
  <c r="CM96"/>
  <c r="CL96"/>
  <c r="CH96"/>
  <c r="CD96"/>
  <c r="BZ96"/>
  <c r="BV96"/>
  <c r="BR96"/>
  <c r="BN96"/>
  <c r="BJ96"/>
  <c r="BF96"/>
  <c r="AX96"/>
  <c r="AP96"/>
  <c r="AL96"/>
  <c r="AE96"/>
  <c r="Z96"/>
  <c r="AA96" s="1"/>
  <c r="Y96"/>
  <c r="W96"/>
  <c r="S96"/>
  <c r="O96"/>
  <c r="K96"/>
  <c r="F96"/>
  <c r="G96" s="1"/>
  <c r="DB95"/>
  <c r="CM95"/>
  <c r="CL95"/>
  <c r="CH95"/>
  <c r="CD95"/>
  <c r="BZ95"/>
  <c r="BV95"/>
  <c r="BR95"/>
  <c r="BN95"/>
  <c r="BJ95"/>
  <c r="BF95"/>
  <c r="AX95"/>
  <c r="AP95"/>
  <c r="AL95"/>
  <c r="AE95"/>
  <c r="AA95"/>
  <c r="Z95"/>
  <c r="Y95"/>
  <c r="W95"/>
  <c r="S95"/>
  <c r="O95"/>
  <c r="L95"/>
  <c r="K95"/>
  <c r="F95"/>
  <c r="G95" s="1"/>
  <c r="DB94"/>
  <c r="CL94"/>
  <c r="CH94"/>
  <c r="CD94"/>
  <c r="BZ94"/>
  <c r="BV94"/>
  <c r="BR94"/>
  <c r="BN94"/>
  <c r="BJ94"/>
  <c r="BF94"/>
  <c r="AX94"/>
  <c r="AP94"/>
  <c r="AL94"/>
  <c r="AE94"/>
  <c r="Z94"/>
  <c r="AA94" s="1"/>
  <c r="Y94"/>
  <c r="W94"/>
  <c r="S94"/>
  <c r="O94"/>
  <c r="K94"/>
  <c r="F94"/>
  <c r="G94" s="1"/>
  <c r="DB93"/>
  <c r="CP93"/>
  <c r="CP90" s="1"/>
  <c r="CL93"/>
  <c r="CI93"/>
  <c r="CH93"/>
  <c r="CH90" s="1"/>
  <c r="CD93"/>
  <c r="BZ93"/>
  <c r="BV93"/>
  <c r="BR93"/>
  <c r="BN93"/>
  <c r="BJ93"/>
  <c r="BF93"/>
  <c r="AX93"/>
  <c r="AT93"/>
  <c r="AP93"/>
  <c r="AL93"/>
  <c r="AF93"/>
  <c r="AF90" s="1"/>
  <c r="AE93"/>
  <c r="AE90" s="1"/>
  <c r="Z93"/>
  <c r="AA93" s="1"/>
  <c r="Y93"/>
  <c r="W93"/>
  <c r="S93"/>
  <c r="O93"/>
  <c r="L93"/>
  <c r="K93"/>
  <c r="F93"/>
  <c r="G93" s="1"/>
  <c r="E93"/>
  <c r="AP92"/>
  <c r="Z92"/>
  <c r="Y92"/>
  <c r="W92"/>
  <c r="W90" s="1"/>
  <c r="S92"/>
  <c r="O92"/>
  <c r="L92"/>
  <c r="F92"/>
  <c r="G92" s="1"/>
  <c r="DB91"/>
  <c r="CP91"/>
  <c r="CM91"/>
  <c r="CI91"/>
  <c r="CD91"/>
  <c r="BV91"/>
  <c r="BR91"/>
  <c r="BN91"/>
  <c r="AT91"/>
  <c r="AL91"/>
  <c r="AF91"/>
  <c r="AE91"/>
  <c r="Z91"/>
  <c r="F91" s="1"/>
  <c r="Y91"/>
  <c r="E91" s="1"/>
  <c r="L91"/>
  <c r="K91"/>
  <c r="DH90"/>
  <c r="DB90"/>
  <c r="DA90"/>
  <c r="CZ90"/>
  <c r="CW90"/>
  <c r="CV90"/>
  <c r="CU90"/>
  <c r="CT90"/>
  <c r="CS90"/>
  <c r="CR90"/>
  <c r="CO90"/>
  <c r="CN90"/>
  <c r="CK90"/>
  <c r="CM90" s="1"/>
  <c r="CJ90"/>
  <c r="CG90"/>
  <c r="CI90" s="1"/>
  <c r="CF90"/>
  <c r="CD90"/>
  <c r="CC90"/>
  <c r="CB90"/>
  <c r="CA90"/>
  <c r="BZ90"/>
  <c r="BY90"/>
  <c r="BX90"/>
  <c r="BW90"/>
  <c r="BV90"/>
  <c r="BU90"/>
  <c r="BT90"/>
  <c r="BQ90"/>
  <c r="BR90" s="1"/>
  <c r="BP90"/>
  <c r="BM90"/>
  <c r="BN90" s="1"/>
  <c r="BL90"/>
  <c r="BK90"/>
  <c r="BJ90"/>
  <c r="BI90"/>
  <c r="BH90"/>
  <c r="BG90"/>
  <c r="BF90"/>
  <c r="BE90"/>
  <c r="BD90"/>
  <c r="BC90"/>
  <c r="BB90"/>
  <c r="BA90"/>
  <c r="AZ90"/>
  <c r="AY90"/>
  <c r="AW90"/>
  <c r="AV90"/>
  <c r="AU90"/>
  <c r="AT90"/>
  <c r="AS90"/>
  <c r="AR90"/>
  <c r="AP90"/>
  <c r="AO90"/>
  <c r="AN90"/>
  <c r="AL90"/>
  <c r="AK90"/>
  <c r="AM90" s="1"/>
  <c r="AJ90"/>
  <c r="AI90"/>
  <c r="AH90"/>
  <c r="AG90"/>
  <c r="AD90"/>
  <c r="AC90"/>
  <c r="Z90"/>
  <c r="Y90"/>
  <c r="V90"/>
  <c r="U90"/>
  <c r="R90"/>
  <c r="Q90"/>
  <c r="O90"/>
  <c r="N90"/>
  <c r="P90" s="1"/>
  <c r="M90"/>
  <c r="L90"/>
  <c r="K90"/>
  <c r="J90"/>
  <c r="I90"/>
  <c r="D90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AA89"/>
  <c r="Z89"/>
  <c r="Y89"/>
  <c r="W89"/>
  <c r="S89"/>
  <c r="O89"/>
  <c r="K89"/>
  <c r="H89"/>
  <c r="G89"/>
  <c r="F89"/>
  <c r="DB88"/>
  <c r="CX88"/>
  <c r="CT88"/>
  <c r="CP88"/>
  <c r="CL88"/>
  <c r="CH88"/>
  <c r="CD88"/>
  <c r="BZ88"/>
  <c r="BV88"/>
  <c r="BR88"/>
  <c r="BN88"/>
  <c r="BJ88"/>
  <c r="BF88"/>
  <c r="BB88"/>
  <c r="AX88"/>
  <c r="AT88"/>
  <c r="AP88"/>
  <c r="AL88"/>
  <c r="AI88"/>
  <c r="AE88"/>
  <c r="Z88"/>
  <c r="AA88" s="1"/>
  <c r="Y88"/>
  <c r="W88"/>
  <c r="S88"/>
  <c r="O88"/>
  <c r="K88"/>
  <c r="DB87"/>
  <c r="CP87"/>
  <c r="CD87"/>
  <c r="BV87"/>
  <c r="BR87"/>
  <c r="BN87"/>
  <c r="AY87"/>
  <c r="AL87"/>
  <c r="AF87"/>
  <c r="Z87"/>
  <c r="F87" s="1"/>
  <c r="Y87"/>
  <c r="K87"/>
  <c r="F86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E85"/>
  <c r="Z85"/>
  <c r="AA85" s="1"/>
  <c r="Y85"/>
  <c r="W85"/>
  <c r="S85"/>
  <c r="O85"/>
  <c r="K85"/>
  <c r="F85"/>
  <c r="G85" s="1"/>
  <c r="BR84"/>
  <c r="BN84"/>
  <c r="AL84"/>
  <c r="Z84"/>
  <c r="F84" s="1"/>
  <c r="Y84"/>
  <c r="T84"/>
  <c r="K84"/>
  <c r="DB83"/>
  <c r="CX83"/>
  <c r="CT83"/>
  <c r="CP83"/>
  <c r="CL83"/>
  <c r="CI83"/>
  <c r="CH83"/>
  <c r="CD83"/>
  <c r="BZ83"/>
  <c r="BV83"/>
  <c r="BR83"/>
  <c r="BN83"/>
  <c r="BJ83"/>
  <c r="BF83"/>
  <c r="BB83"/>
  <c r="AX83"/>
  <c r="AT83"/>
  <c r="AP83"/>
  <c r="AL83"/>
  <c r="AI83"/>
  <c r="AE83"/>
  <c r="AA83"/>
  <c r="Z83"/>
  <c r="Y83"/>
  <c r="W83"/>
  <c r="T83"/>
  <c r="S83"/>
  <c r="O83"/>
  <c r="L83"/>
  <c r="K83"/>
  <c r="F83"/>
  <c r="G83" s="1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F82"/>
  <c r="G82" s="1"/>
  <c r="CH81"/>
  <c r="BR81"/>
  <c r="BN81"/>
  <c r="BJ81"/>
  <c r="AY81"/>
  <c r="AP81"/>
  <c r="AE81"/>
  <c r="Z81"/>
  <c r="Y81"/>
  <c r="S81"/>
  <c r="P81"/>
  <c r="O81"/>
  <c r="K81"/>
  <c r="F81"/>
  <c r="G81" s="1"/>
  <c r="DB80"/>
  <c r="CX80"/>
  <c r="CT80"/>
  <c r="CP80"/>
  <c r="CL80"/>
  <c r="CI80"/>
  <c r="CH80"/>
  <c r="CD80"/>
  <c r="BZ80"/>
  <c r="BV80"/>
  <c r="BR80"/>
  <c r="BN80"/>
  <c r="BJ80"/>
  <c r="BF80"/>
  <c r="BB80"/>
  <c r="AY80"/>
  <c r="AX80"/>
  <c r="AT80"/>
  <c r="AP80"/>
  <c r="AL80"/>
  <c r="AI80"/>
  <c r="AF80"/>
  <c r="AE80"/>
  <c r="AA80"/>
  <c r="Z80"/>
  <c r="Y80"/>
  <c r="W80"/>
  <c r="S80"/>
  <c r="P80"/>
  <c r="O80"/>
  <c r="L80"/>
  <c r="K80"/>
  <c r="F80"/>
  <c r="G80" s="1"/>
  <c r="DH79"/>
  <c r="DA79"/>
  <c r="DB79" s="1"/>
  <c r="CZ79"/>
  <c r="CX79"/>
  <c r="CW79"/>
  <c r="CV79"/>
  <c r="CS79"/>
  <c r="CT79" s="1"/>
  <c r="CR79"/>
  <c r="CO79"/>
  <c r="CP79" s="1"/>
  <c r="CN79"/>
  <c r="CK79"/>
  <c r="CL79" s="1"/>
  <c r="CJ79"/>
  <c r="CG79"/>
  <c r="CH79" s="1"/>
  <c r="CF79"/>
  <c r="CC79"/>
  <c r="CD79" s="1"/>
  <c r="CB79"/>
  <c r="BY79"/>
  <c r="BZ79" s="1"/>
  <c r="BX79"/>
  <c r="BU79"/>
  <c r="BV79" s="1"/>
  <c r="BT79"/>
  <c r="BQ79"/>
  <c r="BR79" s="1"/>
  <c r="BP79"/>
  <c r="BO79"/>
  <c r="BM79"/>
  <c r="BN79" s="1"/>
  <c r="BL79"/>
  <c r="BJ79"/>
  <c r="BI79"/>
  <c r="BH79"/>
  <c r="BE79"/>
  <c r="BF79" s="1"/>
  <c r="BD79"/>
  <c r="BA79"/>
  <c r="BB79" s="1"/>
  <c r="AZ79"/>
  <c r="AW79"/>
  <c r="AX79" s="1"/>
  <c r="AV79"/>
  <c r="AS79"/>
  <c r="AT79" s="1"/>
  <c r="AR79"/>
  <c r="AO79"/>
  <c r="AP79" s="1"/>
  <c r="AN79"/>
  <c r="AL79"/>
  <c r="AK79"/>
  <c r="AJ79"/>
  <c r="AH79"/>
  <c r="AI79" s="1"/>
  <c r="AG79"/>
  <c r="AD79"/>
  <c r="AE79" s="1"/>
  <c r="AC79"/>
  <c r="Y79"/>
  <c r="V79"/>
  <c r="W79" s="1"/>
  <c r="U79"/>
  <c r="T79"/>
  <c r="R79"/>
  <c r="S79" s="1"/>
  <c r="Q79"/>
  <c r="P79"/>
  <c r="N79"/>
  <c r="O79" s="1"/>
  <c r="M79"/>
  <c r="L79"/>
  <c r="J79"/>
  <c r="K79" s="1"/>
  <c r="I79"/>
  <c r="E79"/>
  <c r="D79"/>
  <c r="DB78"/>
  <c r="CX78"/>
  <c r="CT78"/>
  <c r="CP78"/>
  <c r="CL78"/>
  <c r="CI78"/>
  <c r="CH78"/>
  <c r="CD78"/>
  <c r="BZ78"/>
  <c r="BV78"/>
  <c r="BR78"/>
  <c r="BN78"/>
  <c r="BJ78"/>
  <c r="BF78"/>
  <c r="BB78"/>
  <c r="AX78"/>
  <c r="AT78"/>
  <c r="AP78"/>
  <c r="AL78"/>
  <c r="AI78"/>
  <c r="AF78"/>
  <c r="AE78"/>
  <c r="Z78"/>
  <c r="AA78" s="1"/>
  <c r="Y78"/>
  <c r="W78"/>
  <c r="S78"/>
  <c r="O78"/>
  <c r="K78"/>
  <c r="F78"/>
  <c r="G78" s="1"/>
  <c r="E78"/>
  <c r="DB77"/>
  <c r="CX77"/>
  <c r="CT77"/>
  <c r="CP77"/>
  <c r="CL77"/>
  <c r="CI77"/>
  <c r="CH77"/>
  <c r="CD77"/>
  <c r="BZ77"/>
  <c r="BV77"/>
  <c r="BR77"/>
  <c r="BN77"/>
  <c r="BJ77"/>
  <c r="BF77"/>
  <c r="BB77"/>
  <c r="AX77"/>
  <c r="AT77"/>
  <c r="AP77"/>
  <c r="AL77"/>
  <c r="AI77"/>
  <c r="AF77"/>
  <c r="AE77"/>
  <c r="AA77"/>
  <c r="Z77"/>
  <c r="Y77"/>
  <c r="W77"/>
  <c r="S77"/>
  <c r="O77"/>
  <c r="K77"/>
  <c r="H77"/>
  <c r="G77"/>
  <c r="F77"/>
  <c r="E77"/>
  <c r="DB76"/>
  <c r="CX76"/>
  <c r="CT76"/>
  <c r="CP76"/>
  <c r="CL76"/>
  <c r="CI76"/>
  <c r="CH76"/>
  <c r="CD76"/>
  <c r="BZ76"/>
  <c r="BV76"/>
  <c r="BR76"/>
  <c r="BN76"/>
  <c r="BJ76"/>
  <c r="BF76"/>
  <c r="BB76"/>
  <c r="AX76"/>
  <c r="AT76"/>
  <c r="AP76"/>
  <c r="AL76"/>
  <c r="AI76"/>
  <c r="AE76"/>
  <c r="AA76"/>
  <c r="Z76"/>
  <c r="Y76"/>
  <c r="W76"/>
  <c r="S76"/>
  <c r="O76"/>
  <c r="K76"/>
  <c r="H76"/>
  <c r="G76"/>
  <c r="F76"/>
  <c r="E76"/>
  <c r="DB75"/>
  <c r="CX75"/>
  <c r="CT75"/>
  <c r="CP75"/>
  <c r="CL75"/>
  <c r="CI75"/>
  <c r="CH75"/>
  <c r="CD75"/>
  <c r="BZ75"/>
  <c r="BV75"/>
  <c r="BR75"/>
  <c r="BN75"/>
  <c r="BJ75"/>
  <c r="BF75"/>
  <c r="BB75"/>
  <c r="AX75"/>
  <c r="AT75"/>
  <c r="AP75"/>
  <c r="AL75"/>
  <c r="AI75"/>
  <c r="AE75"/>
  <c r="AA75"/>
  <c r="Z75"/>
  <c r="Y75"/>
  <c r="W75"/>
  <c r="S75"/>
  <c r="O75"/>
  <c r="K75"/>
  <c r="H75"/>
  <c r="G75"/>
  <c r="F75"/>
  <c r="E75"/>
  <c r="DB74"/>
  <c r="CX74"/>
  <c r="CT74"/>
  <c r="CP74"/>
  <c r="CL74"/>
  <c r="CI74"/>
  <c r="CH74"/>
  <c r="CD74"/>
  <c r="BZ74"/>
  <c r="BV74"/>
  <c r="BR74"/>
  <c r="BN74"/>
  <c r="BJ74"/>
  <c r="BF74"/>
  <c r="BB74"/>
  <c r="AX74"/>
  <c r="AT74"/>
  <c r="AP74"/>
  <c r="AL74"/>
  <c r="AI74"/>
  <c r="AF74"/>
  <c r="AE74"/>
  <c r="Z74"/>
  <c r="AA74" s="1"/>
  <c r="Y74"/>
  <c r="W74"/>
  <c r="S74"/>
  <c r="O74"/>
  <c r="K74"/>
  <c r="H74"/>
  <c r="F74"/>
  <c r="G74" s="1"/>
  <c r="E74"/>
  <c r="DB73"/>
  <c r="CX73"/>
  <c r="CT73"/>
  <c r="CP73"/>
  <c r="CL73"/>
  <c r="CI73"/>
  <c r="CH73"/>
  <c r="CD73"/>
  <c r="BZ73"/>
  <c r="BV73"/>
  <c r="BR73"/>
  <c r="BN73"/>
  <c r="BJ73"/>
  <c r="BF73"/>
  <c r="BB73"/>
  <c r="AX73"/>
  <c r="AT73"/>
  <c r="AP73"/>
  <c r="AL73"/>
  <c r="AI73"/>
  <c r="AF73"/>
  <c r="AE73"/>
  <c r="Z73"/>
  <c r="AA73" s="1"/>
  <c r="Y73"/>
  <c r="W73"/>
  <c r="S73"/>
  <c r="O73"/>
  <c r="K73"/>
  <c r="F73"/>
  <c r="G73" s="1"/>
  <c r="E73"/>
  <c r="DB72"/>
  <c r="CX72"/>
  <c r="CT72"/>
  <c r="CP72"/>
  <c r="CL72"/>
  <c r="CI72"/>
  <c r="CH72"/>
  <c r="CD72"/>
  <c r="BZ72"/>
  <c r="BV72"/>
  <c r="BR72"/>
  <c r="BN72"/>
  <c r="BJ72"/>
  <c r="BF72"/>
  <c r="BB72"/>
  <c r="AX72"/>
  <c r="AT72"/>
  <c r="AP72"/>
  <c r="AL72"/>
  <c r="AI72"/>
  <c r="AE72"/>
  <c r="Z72"/>
  <c r="AA72" s="1"/>
  <c r="Y72"/>
  <c r="W72"/>
  <c r="T72"/>
  <c r="S72"/>
  <c r="O72"/>
  <c r="K72"/>
  <c r="F72"/>
  <c r="G72" s="1"/>
  <c r="E72"/>
  <c r="E71" s="1"/>
  <c r="DH71"/>
  <c r="DA71"/>
  <c r="DB71" s="1"/>
  <c r="CZ71"/>
  <c r="CW71"/>
  <c r="CX71" s="1"/>
  <c r="CV71"/>
  <c r="CT71"/>
  <c r="CS71"/>
  <c r="CR71"/>
  <c r="CO71"/>
  <c r="CP71" s="1"/>
  <c r="CN71"/>
  <c r="CK71"/>
  <c r="CL71" s="1"/>
  <c r="CJ71"/>
  <c r="CG71"/>
  <c r="CH71" s="1"/>
  <c r="CF71"/>
  <c r="CD71"/>
  <c r="CC71"/>
  <c r="CB71"/>
  <c r="BY71"/>
  <c r="BZ71" s="1"/>
  <c r="BX71"/>
  <c r="BU71"/>
  <c r="BV71" s="1"/>
  <c r="BT71"/>
  <c r="BQ71"/>
  <c r="BR71" s="1"/>
  <c r="BP71"/>
  <c r="BN71"/>
  <c r="BM71"/>
  <c r="BL71"/>
  <c r="BI71"/>
  <c r="BJ71" s="1"/>
  <c r="BH71"/>
  <c r="BE71"/>
  <c r="BF71" s="1"/>
  <c r="BD71"/>
  <c r="BA71"/>
  <c r="BB71" s="1"/>
  <c r="AZ71"/>
  <c r="AX71"/>
  <c r="AW71"/>
  <c r="AV71"/>
  <c r="AS71"/>
  <c r="AT71" s="1"/>
  <c r="AR71"/>
  <c r="AO71"/>
  <c r="AP71" s="1"/>
  <c r="AN71"/>
  <c r="AK71"/>
  <c r="AL71" s="1"/>
  <c r="AJ71"/>
  <c r="AI71"/>
  <c r="AH71"/>
  <c r="AG71"/>
  <c r="AD71"/>
  <c r="AE71" s="1"/>
  <c r="AC71"/>
  <c r="Y71"/>
  <c r="V71"/>
  <c r="W71" s="1"/>
  <c r="U71"/>
  <c r="S71"/>
  <c r="R71"/>
  <c r="Q71"/>
  <c r="N71"/>
  <c r="O71" s="1"/>
  <c r="M71"/>
  <c r="J71"/>
  <c r="K71" s="1"/>
  <c r="I71"/>
  <c r="D71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AA70" s="1"/>
  <c r="Y70"/>
  <c r="W70"/>
  <c r="S70"/>
  <c r="O70"/>
  <c r="K70"/>
  <c r="BR69"/>
  <c r="BN69"/>
  <c r="AE69"/>
  <c r="AA69"/>
  <c r="F69"/>
  <c r="BR68"/>
  <c r="BN68"/>
  <c r="AA68"/>
  <c r="F68"/>
  <c r="G68" s="1"/>
  <c r="BN67"/>
  <c r="F67"/>
  <c r="G67" s="1"/>
  <c r="BR66"/>
  <c r="BN66"/>
  <c r="AX66"/>
  <c r="AE66"/>
  <c r="AA66"/>
  <c r="Z66"/>
  <c r="Y66"/>
  <c r="K66"/>
  <c r="F66"/>
  <c r="G66" s="1"/>
  <c r="BR65"/>
  <c r="BN65"/>
  <c r="AX65"/>
  <c r="AP65"/>
  <c r="AL65"/>
  <c r="AE65"/>
  <c r="Z65"/>
  <c r="AA65" s="1"/>
  <c r="Y65"/>
  <c r="K65"/>
  <c r="F65"/>
  <c r="G65" s="1"/>
  <c r="BR64"/>
  <c r="BN64"/>
  <c r="AX64"/>
  <c r="AP64"/>
  <c r="AL64"/>
  <c r="AE64"/>
  <c r="Z64"/>
  <c r="AA64" s="1"/>
  <c r="Y64"/>
  <c r="K64"/>
  <c r="F64"/>
  <c r="G64" s="1"/>
  <c r="DB63"/>
  <c r="CX63"/>
  <c r="CT63"/>
  <c r="CP63"/>
  <c r="CM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W63"/>
  <c r="S63"/>
  <c r="O63"/>
  <c r="K63"/>
  <c r="F63"/>
  <c r="G63" s="1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AA62"/>
  <c r="Z62"/>
  <c r="Y62"/>
  <c r="W62"/>
  <c r="S62"/>
  <c r="O62"/>
  <c r="K62"/>
  <c r="F62"/>
  <c r="G62" s="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Z61"/>
  <c r="AA61" s="1"/>
  <c r="Y61"/>
  <c r="W61"/>
  <c r="S61"/>
  <c r="O61"/>
  <c r="K61"/>
  <c r="F61"/>
  <c r="G61" s="1"/>
  <c r="BR60"/>
  <c r="BN60"/>
  <c r="AE60"/>
  <c r="AA60"/>
  <c r="F60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E59"/>
  <c r="AA59"/>
  <c r="Z59"/>
  <c r="Y59"/>
  <c r="W59"/>
  <c r="S59"/>
  <c r="O59"/>
  <c r="K59"/>
  <c r="F59"/>
  <c r="G59" s="1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E58"/>
  <c r="Z58"/>
  <c r="AA58" s="1"/>
  <c r="Y58"/>
  <c r="W58"/>
  <c r="S58"/>
  <c r="O58"/>
  <c r="K58"/>
  <c r="F58"/>
  <c r="G58" s="1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AA57"/>
  <c r="Z57"/>
  <c r="Y57"/>
  <c r="W57"/>
  <c r="S57"/>
  <c r="O57"/>
  <c r="K57"/>
  <c r="H57"/>
  <c r="G57"/>
  <c r="F57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E56"/>
  <c r="Z56"/>
  <c r="AA56" s="1"/>
  <c r="Y56"/>
  <c r="W56"/>
  <c r="S56"/>
  <c r="O56"/>
  <c r="K56"/>
  <c r="F56"/>
  <c r="G56" s="1"/>
  <c r="E56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E55"/>
  <c r="Z55"/>
  <c r="AA55" s="1"/>
  <c r="Y55"/>
  <c r="E55" s="1"/>
  <c r="W55"/>
  <c r="S55"/>
  <c r="O55"/>
  <c r="K55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E54"/>
  <c r="Z54"/>
  <c r="AA54" s="1"/>
  <c r="Y54"/>
  <c r="W54"/>
  <c r="S54"/>
  <c r="O54"/>
  <c r="K54"/>
  <c r="E54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AA53" s="1"/>
  <c r="Y53"/>
  <c r="W53"/>
  <c r="S53"/>
  <c r="O53"/>
  <c r="K53"/>
  <c r="H53"/>
  <c r="F53"/>
  <c r="G53" s="1"/>
  <c r="E53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F52"/>
  <c r="AE52"/>
  <c r="Z52"/>
  <c r="AA52" s="1"/>
  <c r="Y52"/>
  <c r="W52"/>
  <c r="S52"/>
  <c r="O52"/>
  <c r="K52"/>
  <c r="H52"/>
  <c r="F52"/>
  <c r="G52" s="1"/>
  <c r="E52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F51"/>
  <c r="AE51"/>
  <c r="Z51"/>
  <c r="AA51" s="1"/>
  <c r="Y51"/>
  <c r="E51" s="1"/>
  <c r="W51"/>
  <c r="S51"/>
  <c r="O51"/>
  <c r="K51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AA50"/>
  <c r="Z50"/>
  <c r="Y50"/>
  <c r="W50"/>
  <c r="S50"/>
  <c r="O50"/>
  <c r="K50"/>
  <c r="H50"/>
  <c r="G50"/>
  <c r="F50"/>
  <c r="E50"/>
  <c r="DB49"/>
  <c r="CX49"/>
  <c r="CT49"/>
  <c r="CP49"/>
  <c r="CL49"/>
  <c r="CH49"/>
  <c r="CD49"/>
  <c r="BZ49"/>
  <c r="BV49"/>
  <c r="BR49"/>
  <c r="BN49"/>
  <c r="BJ49"/>
  <c r="BF49"/>
  <c r="BB49"/>
  <c r="AX49"/>
  <c r="AT49"/>
  <c r="AP49"/>
  <c r="AL49"/>
  <c r="AI49"/>
  <c r="AE49"/>
  <c r="Z49"/>
  <c r="AA49" s="1"/>
  <c r="Y49"/>
  <c r="W49"/>
  <c r="S49"/>
  <c r="O49"/>
  <c r="K49"/>
  <c r="DB48"/>
  <c r="CX48"/>
  <c r="CT48"/>
  <c r="CP48"/>
  <c r="CL48"/>
  <c r="CH48"/>
  <c r="CD48"/>
  <c r="BZ48"/>
  <c r="BV48"/>
  <c r="BR48"/>
  <c r="BN48"/>
  <c r="BJ48"/>
  <c r="BF48"/>
  <c r="BB48"/>
  <c r="AX48"/>
  <c r="AT48"/>
  <c r="AP48"/>
  <c r="AL48"/>
  <c r="AI48"/>
  <c r="AF48"/>
  <c r="AE48"/>
  <c r="Z48"/>
  <c r="AA48" s="1"/>
  <c r="Y48"/>
  <c r="E48" s="1"/>
  <c r="W48"/>
  <c r="S48"/>
  <c r="O48"/>
  <c r="K48"/>
  <c r="DB47"/>
  <c r="CX47"/>
  <c r="CT47"/>
  <c r="CP47"/>
  <c r="CL47"/>
  <c r="CH47"/>
  <c r="CD47"/>
  <c r="BZ47"/>
  <c r="BV47"/>
  <c r="BR47"/>
  <c r="BN47"/>
  <c r="BJ47"/>
  <c r="BF47"/>
  <c r="BB47"/>
  <c r="AX47"/>
  <c r="AT47"/>
  <c r="AP47"/>
  <c r="AL47"/>
  <c r="AI47"/>
  <c r="AF47"/>
  <c r="AE47"/>
  <c r="AA47"/>
  <c r="Z47"/>
  <c r="Y47"/>
  <c r="W47"/>
  <c r="S47"/>
  <c r="O47"/>
  <c r="K47"/>
  <c r="H47"/>
  <c r="G47"/>
  <c r="F47"/>
  <c r="E47"/>
  <c r="DB46"/>
  <c r="CX46"/>
  <c r="CT46"/>
  <c r="CP46"/>
  <c r="CL46"/>
  <c r="CH46"/>
  <c r="CD46"/>
  <c r="BZ46"/>
  <c r="BV46"/>
  <c r="BR46"/>
  <c r="BN46"/>
  <c r="BJ46"/>
  <c r="BF46"/>
  <c r="BB46"/>
  <c r="AX46"/>
  <c r="AT46"/>
  <c r="AP46"/>
  <c r="AL46"/>
  <c r="AI46"/>
  <c r="AF46"/>
  <c r="AE46"/>
  <c r="AA46"/>
  <c r="Z46"/>
  <c r="Y46"/>
  <c r="W46"/>
  <c r="S46"/>
  <c r="O46"/>
  <c r="K46"/>
  <c r="H46"/>
  <c r="G46"/>
  <c r="F46"/>
  <c r="E46"/>
  <c r="DB45"/>
  <c r="CX45"/>
  <c r="CT45"/>
  <c r="CP45"/>
  <c r="CL45"/>
  <c r="CH45"/>
  <c r="CD45"/>
  <c r="BZ45"/>
  <c r="BV45"/>
  <c r="BR45"/>
  <c r="BN45"/>
  <c r="BJ45"/>
  <c r="BF45"/>
  <c r="BB45"/>
  <c r="AX45"/>
  <c r="AT45"/>
  <c r="AP45"/>
  <c r="AL45"/>
  <c r="AI45"/>
  <c r="AE45"/>
  <c r="Z45"/>
  <c r="AA45" s="1"/>
  <c r="Y45"/>
  <c r="W45"/>
  <c r="S45"/>
  <c r="O45"/>
  <c r="K45"/>
  <c r="DB44"/>
  <c r="CX44"/>
  <c r="CT44"/>
  <c r="CP44"/>
  <c r="CL44"/>
  <c r="CH44"/>
  <c r="CD44"/>
  <c r="BZ44"/>
  <c r="BV44"/>
  <c r="BR44"/>
  <c r="BN44"/>
  <c r="BJ44"/>
  <c r="BF44"/>
  <c r="BB44"/>
  <c r="AX44"/>
  <c r="AT44"/>
  <c r="AP44"/>
  <c r="AL44"/>
  <c r="AI44"/>
  <c r="AE44"/>
  <c r="AA44"/>
  <c r="Z44"/>
  <c r="Y44"/>
  <c r="W44"/>
  <c r="S44"/>
  <c r="O44"/>
  <c r="K44"/>
  <c r="H44"/>
  <c r="G44"/>
  <c r="F44"/>
  <c r="E44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E43"/>
  <c r="Z43"/>
  <c r="AA43" s="1"/>
  <c r="Y43"/>
  <c r="W43"/>
  <c r="S43"/>
  <c r="O43"/>
  <c r="K43"/>
  <c r="E43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F42"/>
  <c r="AE42"/>
  <c r="Z42"/>
  <c r="AA42" s="1"/>
  <c r="Y42"/>
  <c r="W42"/>
  <c r="S42"/>
  <c r="O42"/>
  <c r="K42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AA41"/>
  <c r="Z41"/>
  <c r="Y41"/>
  <c r="W41"/>
  <c r="S41"/>
  <c r="O41"/>
  <c r="K41"/>
  <c r="H41"/>
  <c r="G41"/>
  <c r="F41"/>
  <c r="E41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W40"/>
  <c r="S40"/>
  <c r="O40"/>
  <c r="K40"/>
  <c r="F40"/>
  <c r="G40" s="1"/>
  <c r="E40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F39"/>
  <c r="AE39"/>
  <c r="Z39"/>
  <c r="AA39" s="1"/>
  <c r="Y39"/>
  <c r="W39"/>
  <c r="S39"/>
  <c r="O39"/>
  <c r="K39"/>
  <c r="F39"/>
  <c r="G39" s="1"/>
  <c r="E39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E38"/>
  <c r="Z38"/>
  <c r="AA38" s="1"/>
  <c r="Y38"/>
  <c r="W38"/>
  <c r="S38"/>
  <c r="O38"/>
  <c r="K38"/>
  <c r="F38"/>
  <c r="G38" s="1"/>
  <c r="E38"/>
  <c r="DB37"/>
  <c r="CX37"/>
  <c r="CT37"/>
  <c r="CP37"/>
  <c r="CL37"/>
  <c r="CH37"/>
  <c r="CD37"/>
  <c r="BZ37"/>
  <c r="BV37"/>
  <c r="BR37"/>
  <c r="BN37"/>
  <c r="BJ37"/>
  <c r="BF37"/>
  <c r="BB37"/>
  <c r="AX37"/>
  <c r="AT37"/>
  <c r="AP37"/>
  <c r="AL37"/>
  <c r="AI37"/>
  <c r="AE37"/>
  <c r="Z37"/>
  <c r="AA37" s="1"/>
  <c r="Y37"/>
  <c r="W37"/>
  <c r="S37"/>
  <c r="O37"/>
  <c r="K37"/>
  <c r="H37"/>
  <c r="F37"/>
  <c r="G37" s="1"/>
  <c r="E37"/>
  <c r="DB36"/>
  <c r="CX36"/>
  <c r="CT36"/>
  <c r="CP36"/>
  <c r="CL36"/>
  <c r="CH36"/>
  <c r="CD36"/>
  <c r="BZ36"/>
  <c r="BV36"/>
  <c r="BR36"/>
  <c r="BN36"/>
  <c r="BJ36"/>
  <c r="BF36"/>
  <c r="BB36"/>
  <c r="AX36"/>
  <c r="AT36"/>
  <c r="AP36"/>
  <c r="AL36"/>
  <c r="AI36"/>
  <c r="AF36"/>
  <c r="AE36"/>
  <c r="Z36"/>
  <c r="AA36" s="1"/>
  <c r="Y36"/>
  <c r="W36"/>
  <c r="S36"/>
  <c r="O36"/>
  <c r="K36"/>
  <c r="H36"/>
  <c r="F36"/>
  <c r="G36" s="1"/>
  <c r="E36"/>
  <c r="E34" s="1"/>
  <c r="DA35"/>
  <c r="CZ35"/>
  <c r="CW35"/>
  <c r="CV35"/>
  <c r="CK35"/>
  <c r="CJ35"/>
  <c r="CG35"/>
  <c r="CF35"/>
  <c r="CC35"/>
  <c r="CB35"/>
  <c r="BY35"/>
  <c r="BX35"/>
  <c r="BU35"/>
  <c r="BT35"/>
  <c r="BQ35"/>
  <c r="BP35"/>
  <c r="BM35"/>
  <c r="BL35"/>
  <c r="BI35"/>
  <c r="BH35"/>
  <c r="BE35"/>
  <c r="BD35"/>
  <c r="BA35"/>
  <c r="AZ35"/>
  <c r="AW35"/>
  <c r="AV35"/>
  <c r="AO35"/>
  <c r="AN35"/>
  <c r="AK35"/>
  <c r="AJ35"/>
  <c r="AH35"/>
  <c r="AG35"/>
  <c r="AD35"/>
  <c r="Z35" s="1"/>
  <c r="AC35"/>
  <c r="Y35"/>
  <c r="V35"/>
  <c r="U35"/>
  <c r="R35"/>
  <c r="Q35"/>
  <c r="N35"/>
  <c r="M35"/>
  <c r="J35"/>
  <c r="K35" s="1"/>
  <c r="I35"/>
  <c r="D35"/>
  <c r="DH34"/>
  <c r="DA34"/>
  <c r="DB34" s="1"/>
  <c r="CZ34"/>
  <c r="CW34"/>
  <c r="CX34" s="1"/>
  <c r="CV34"/>
  <c r="CT34"/>
  <c r="CS34"/>
  <c r="CR34"/>
  <c r="CO34"/>
  <c r="CP34" s="1"/>
  <c r="CN34"/>
  <c r="CK34"/>
  <c r="CL34" s="1"/>
  <c r="CJ34"/>
  <c r="CG34"/>
  <c r="CH34" s="1"/>
  <c r="CF34"/>
  <c r="CD34"/>
  <c r="CC34"/>
  <c r="CB34"/>
  <c r="BY34"/>
  <c r="BZ34" s="1"/>
  <c r="BX34"/>
  <c r="BU34"/>
  <c r="BV34" s="1"/>
  <c r="BT34"/>
  <c r="BQ34"/>
  <c r="BR34" s="1"/>
  <c r="BP34"/>
  <c r="BM34"/>
  <c r="BN34" s="1"/>
  <c r="BL34"/>
  <c r="BI34"/>
  <c r="BJ34" s="1"/>
  <c r="BH34"/>
  <c r="BE34"/>
  <c r="BF34" s="1"/>
  <c r="BD34"/>
  <c r="BA34"/>
  <c r="BB34" s="1"/>
  <c r="AZ34"/>
  <c r="AX34"/>
  <c r="AW34"/>
  <c r="AV34"/>
  <c r="AS34"/>
  <c r="AT34" s="1"/>
  <c r="AR34"/>
  <c r="AO34"/>
  <c r="AP34" s="1"/>
  <c r="AN34"/>
  <c r="AK34"/>
  <c r="AL34" s="1"/>
  <c r="AJ34"/>
  <c r="AI34"/>
  <c r="AH34"/>
  <c r="AG34"/>
  <c r="AF34"/>
  <c r="AE34"/>
  <c r="AD34"/>
  <c r="AC34"/>
  <c r="Y34" s="1"/>
  <c r="Z34"/>
  <c r="V34"/>
  <c r="W34" s="1"/>
  <c r="U34"/>
  <c r="R34"/>
  <c r="S34" s="1"/>
  <c r="Q34"/>
  <c r="O34"/>
  <c r="N34"/>
  <c r="M34"/>
  <c r="J34"/>
  <c r="K34" s="1"/>
  <c r="I34"/>
  <c r="D34"/>
  <c r="DB33"/>
  <c r="CX33"/>
  <c r="CU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AA33"/>
  <c r="Z33"/>
  <c r="Y33"/>
  <c r="W33"/>
  <c r="S33"/>
  <c r="O33"/>
  <c r="K33"/>
  <c r="H33"/>
  <c r="G33"/>
  <c r="F33"/>
  <c r="E33"/>
  <c r="DB32"/>
  <c r="CX32"/>
  <c r="CU32"/>
  <c r="CT32"/>
  <c r="CP32"/>
  <c r="CL32"/>
  <c r="CH32"/>
  <c r="CD32"/>
  <c r="BZ32"/>
  <c r="BV32"/>
  <c r="BR32"/>
  <c r="BN32"/>
  <c r="BJ32"/>
  <c r="BF32"/>
  <c r="BB32"/>
  <c r="AX32"/>
  <c r="AT32"/>
  <c r="AP32"/>
  <c r="AL32"/>
  <c r="AI32"/>
  <c r="AE32"/>
  <c r="AA32"/>
  <c r="Z32"/>
  <c r="Y32"/>
  <c r="W32"/>
  <c r="S32"/>
  <c r="O32"/>
  <c r="K32"/>
  <c r="H32"/>
  <c r="G32"/>
  <c r="F32"/>
  <c r="E32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Z30"/>
  <c r="AA30" s="1"/>
  <c r="Y30"/>
  <c r="W30"/>
  <c r="S30"/>
  <c r="O30"/>
  <c r="K30"/>
  <c r="H30"/>
  <c r="F30"/>
  <c r="G30" s="1"/>
  <c r="E30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AA29"/>
  <c r="Z29"/>
  <c r="Y29"/>
  <c r="W29"/>
  <c r="S29"/>
  <c r="O29"/>
  <c r="K29"/>
  <c r="H29"/>
  <c r="G29"/>
  <c r="F29"/>
  <c r="E29"/>
  <c r="DB28"/>
  <c r="CX28"/>
  <c r="CL28"/>
  <c r="CH28"/>
  <c r="CD28"/>
  <c r="BZ28"/>
  <c r="BV28"/>
  <c r="BR28"/>
  <c r="BN28"/>
  <c r="BJ28"/>
  <c r="BF28"/>
  <c r="BB28"/>
  <c r="AX28"/>
  <c r="AP28"/>
  <c r="AL28"/>
  <c r="AI28"/>
  <c r="Z28"/>
  <c r="AA28" s="1"/>
  <c r="Y28"/>
  <c r="W28"/>
  <c r="S28"/>
  <c r="O28"/>
  <c r="K28"/>
  <c r="F28"/>
  <c r="G28" s="1"/>
  <c r="E28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E27"/>
  <c r="DB26"/>
  <c r="CX26"/>
  <c r="CT26"/>
  <c r="CP26"/>
  <c r="CL26"/>
  <c r="CH26"/>
  <c r="CD26"/>
  <c r="BZ26"/>
  <c r="BV26"/>
  <c r="BR26"/>
  <c r="BN26"/>
  <c r="BJ26"/>
  <c r="BF26"/>
  <c r="BB26"/>
  <c r="AX26"/>
  <c r="AT26"/>
  <c r="AP26"/>
  <c r="AL26"/>
  <c r="AI26"/>
  <c r="AF26"/>
  <c r="AE26"/>
  <c r="Z26"/>
  <c r="AA26" s="1"/>
  <c r="Y26"/>
  <c r="W26"/>
  <c r="S26"/>
  <c r="O26"/>
  <c r="K26"/>
  <c r="F26"/>
  <c r="G26" s="1"/>
  <c r="E26"/>
  <c r="DB25"/>
  <c r="CX25"/>
  <c r="CT25"/>
  <c r="CP25"/>
  <c r="CL25"/>
  <c r="CH25"/>
  <c r="CD25"/>
  <c r="BZ25"/>
  <c r="BV25"/>
  <c r="BR25"/>
  <c r="BN25"/>
  <c r="BJ25"/>
  <c r="BF25"/>
  <c r="BB25"/>
  <c r="AX25"/>
  <c r="AT25"/>
  <c r="AP25"/>
  <c r="AL25"/>
  <c r="AI25"/>
  <c r="AE25"/>
  <c r="Z25"/>
  <c r="AA25" s="1"/>
  <c r="Y25"/>
  <c r="W25"/>
  <c r="S25"/>
  <c r="O25"/>
  <c r="K25"/>
  <c r="DB24"/>
  <c r="CX24"/>
  <c r="CL24"/>
  <c r="CH24"/>
  <c r="CD24"/>
  <c r="BZ24"/>
  <c r="BV24"/>
  <c r="BR24"/>
  <c r="BN24"/>
  <c r="BJ24"/>
  <c r="BF24"/>
  <c r="BB24"/>
  <c r="AX24"/>
  <c r="AP24"/>
  <c r="AL24"/>
  <c r="AI24"/>
  <c r="AE24"/>
  <c r="Z24"/>
  <c r="AA24" s="1"/>
  <c r="Y24"/>
  <c r="W24"/>
  <c r="S24"/>
  <c r="O24"/>
  <c r="K24"/>
  <c r="E24"/>
  <c r="DB23"/>
  <c r="CX23"/>
  <c r="CT23"/>
  <c r="CP23"/>
  <c r="CL23"/>
  <c r="CH23"/>
  <c r="CD23"/>
  <c r="BZ23"/>
  <c r="BV23"/>
  <c r="BR23"/>
  <c r="BN23"/>
  <c r="BJ23"/>
  <c r="BF23"/>
  <c r="BB23"/>
  <c r="AX23"/>
  <c r="AT23"/>
  <c r="AP23"/>
  <c r="AL23"/>
  <c r="AI23"/>
  <c r="AE23"/>
  <c r="Z23"/>
  <c r="AA23" s="1"/>
  <c r="Y23"/>
  <c r="W23"/>
  <c r="S23"/>
  <c r="O23"/>
  <c r="K23"/>
  <c r="H23"/>
  <c r="F23"/>
  <c r="G23" s="1"/>
  <c r="E23"/>
  <c r="DC22"/>
  <c r="DB22"/>
  <c r="CY22"/>
  <c r="CX22"/>
  <c r="CT22"/>
  <c r="CP22"/>
  <c r="CL22"/>
  <c r="CH22"/>
  <c r="CD22"/>
  <c r="CA22"/>
  <c r="BZ22"/>
  <c r="BV22"/>
  <c r="BR22"/>
  <c r="BN22"/>
  <c r="BK22"/>
  <c r="BJ22"/>
  <c r="BG22"/>
  <c r="BF22"/>
  <c r="BC22"/>
  <c r="BB22"/>
  <c r="AX22"/>
  <c r="AT22"/>
  <c r="AP22"/>
  <c r="AL22"/>
  <c r="AI22"/>
  <c r="AF22"/>
  <c r="AE22"/>
  <c r="AB22"/>
  <c r="AA22"/>
  <c r="Z22"/>
  <c r="Y22"/>
  <c r="E22" s="1"/>
  <c r="W22"/>
  <c r="S22"/>
  <c r="O22"/>
  <c r="K22"/>
  <c r="F22"/>
  <c r="G22" s="1"/>
  <c r="DB21"/>
  <c r="CX21"/>
  <c r="CL21"/>
  <c r="CH21"/>
  <c r="CD21"/>
  <c r="BZ21"/>
  <c r="BV21"/>
  <c r="BR21"/>
  <c r="BN21"/>
  <c r="BJ21"/>
  <c r="BF21"/>
  <c r="BB21"/>
  <c r="AX21"/>
  <c r="AQ21"/>
  <c r="AP21"/>
  <c r="AL21"/>
  <c r="AI21"/>
  <c r="Z21"/>
  <c r="AA21" s="1"/>
  <c r="Y21"/>
  <c r="W21"/>
  <c r="S21"/>
  <c r="O21"/>
  <c r="K21"/>
  <c r="E21"/>
  <c r="E18" s="1"/>
  <c r="DB20"/>
  <c r="CX20"/>
  <c r="CT20"/>
  <c r="CP20"/>
  <c r="CL20"/>
  <c r="CH20"/>
  <c r="CD20"/>
  <c r="BZ20"/>
  <c r="BV20"/>
  <c r="BR20"/>
  <c r="BN20"/>
  <c r="BJ20"/>
  <c r="BF20"/>
  <c r="BB20"/>
  <c r="AX20"/>
  <c r="AT20"/>
  <c r="AQ20"/>
  <c r="AP20"/>
  <c r="AL20"/>
  <c r="AI20"/>
  <c r="AF20"/>
  <c r="AE20"/>
  <c r="AB20"/>
  <c r="AA20"/>
  <c r="Z20"/>
  <c r="Y20"/>
  <c r="X20"/>
  <c r="W20"/>
  <c r="T20"/>
  <c r="S20"/>
  <c r="P20"/>
  <c r="O20"/>
  <c r="L20"/>
  <c r="K20"/>
  <c r="H20"/>
  <c r="G20"/>
  <c r="F20"/>
  <c r="E20"/>
  <c r="DB19"/>
  <c r="CX19"/>
  <c r="CT19"/>
  <c r="CP19"/>
  <c r="CL19"/>
  <c r="CH19"/>
  <c r="CD19"/>
  <c r="BZ19"/>
  <c r="BV19"/>
  <c r="BR19"/>
  <c r="BN19"/>
  <c r="BJ19"/>
  <c r="BF19"/>
  <c r="BB19"/>
  <c r="AX19"/>
  <c r="AT19"/>
  <c r="AP19"/>
  <c r="AL19"/>
  <c r="AI19"/>
  <c r="AE19"/>
  <c r="Z19"/>
  <c r="AA19" s="1"/>
  <c r="Y19"/>
  <c r="W19"/>
  <c r="T19"/>
  <c r="S19"/>
  <c r="O19"/>
  <c r="K19"/>
  <c r="F19"/>
  <c r="G19" s="1"/>
  <c r="E19"/>
  <c r="DH18"/>
  <c r="DA18"/>
  <c r="DB18" s="1"/>
  <c r="CZ18"/>
  <c r="CW18"/>
  <c r="CX18" s="1"/>
  <c r="CV18"/>
  <c r="CS18"/>
  <c r="CT18" s="1"/>
  <c r="CR18"/>
  <c r="CO18"/>
  <c r="CP18" s="1"/>
  <c r="CN18"/>
  <c r="CL18"/>
  <c r="CK18"/>
  <c r="CJ18"/>
  <c r="CG18"/>
  <c r="CH18" s="1"/>
  <c r="CF18"/>
  <c r="CC18"/>
  <c r="CD18" s="1"/>
  <c r="CB18"/>
  <c r="BY18"/>
  <c r="BZ18" s="1"/>
  <c r="BX18"/>
  <c r="BV18"/>
  <c r="BU18"/>
  <c r="BT18"/>
  <c r="BQ18"/>
  <c r="BR18" s="1"/>
  <c r="BP18"/>
  <c r="BM18"/>
  <c r="BN18" s="1"/>
  <c r="BL18"/>
  <c r="BI18"/>
  <c r="BJ18" s="1"/>
  <c r="BH18"/>
  <c r="BF18"/>
  <c r="BE18"/>
  <c r="BD18"/>
  <c r="BA18"/>
  <c r="BB18" s="1"/>
  <c r="AZ18"/>
  <c r="AW18"/>
  <c r="AX18" s="1"/>
  <c r="AV18"/>
  <c r="AS18"/>
  <c r="AT18" s="1"/>
  <c r="AR18"/>
  <c r="AP18"/>
  <c r="AO18"/>
  <c r="AN18"/>
  <c r="AK18"/>
  <c r="AL18" s="1"/>
  <c r="AJ18"/>
  <c r="AH18"/>
  <c r="AI18" s="1"/>
  <c r="AG18"/>
  <c r="AD18"/>
  <c r="AE18" s="1"/>
  <c r="AC18"/>
  <c r="Y18" s="1"/>
  <c r="V18"/>
  <c r="W18" s="1"/>
  <c r="U18"/>
  <c r="R18"/>
  <c r="S18" s="1"/>
  <c r="Q18"/>
  <c r="N18"/>
  <c r="O18" s="1"/>
  <c r="M18"/>
  <c r="K18"/>
  <c r="J18"/>
  <c r="I18"/>
  <c r="D18"/>
  <c r="DB17"/>
  <c r="CX17"/>
  <c r="CT17"/>
  <c r="CP17"/>
  <c r="CL17"/>
  <c r="CH17"/>
  <c r="CD17"/>
  <c r="BZ17"/>
  <c r="BV17"/>
  <c r="BR17"/>
  <c r="BN17"/>
  <c r="BJ17"/>
  <c r="BF17"/>
  <c r="BB17"/>
  <c r="AX17"/>
  <c r="AT17"/>
  <c r="AP17"/>
  <c r="AL17"/>
  <c r="AI17"/>
  <c r="AE17"/>
  <c r="AA17"/>
  <c r="Z17"/>
  <c r="Y17"/>
  <c r="W17"/>
  <c r="S17"/>
  <c r="O17"/>
  <c r="K17"/>
  <c r="H17"/>
  <c r="G17"/>
  <c r="F17"/>
  <c r="E17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AA16"/>
  <c r="Z16"/>
  <c r="Y16"/>
  <c r="W16"/>
  <c r="S16"/>
  <c r="O16"/>
  <c r="L16"/>
  <c r="K16"/>
  <c r="H16"/>
  <c r="F16"/>
  <c r="G16" s="1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E15" s="1"/>
  <c r="W15"/>
  <c r="S15"/>
  <c r="O15"/>
  <c r="K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AA14"/>
  <c r="Z14"/>
  <c r="Y14"/>
  <c r="W14"/>
  <c r="S14"/>
  <c r="O14"/>
  <c r="K14"/>
  <c r="H14"/>
  <c r="G14"/>
  <c r="F14"/>
  <c r="E14"/>
  <c r="DB13"/>
  <c r="CX13"/>
  <c r="CL13"/>
  <c r="CH13"/>
  <c r="CD13"/>
  <c r="BZ13"/>
  <c r="BV13"/>
  <c r="BR13"/>
  <c r="BN13"/>
  <c r="BJ13"/>
  <c r="BF13"/>
  <c r="BB13"/>
  <c r="AX13"/>
  <c r="AP13"/>
  <c r="AL13"/>
  <c r="AI13"/>
  <c r="AE13"/>
  <c r="AA13"/>
  <c r="Z13"/>
  <c r="Y13"/>
  <c r="E13" s="1"/>
  <c r="W13"/>
  <c r="S13"/>
  <c r="O13"/>
  <c r="K13"/>
  <c r="F13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Z12"/>
  <c r="AA12" s="1"/>
  <c r="Y12"/>
  <c r="W12"/>
  <c r="S12"/>
  <c r="O12"/>
  <c r="K12"/>
  <c r="F12"/>
  <c r="G12" s="1"/>
  <c r="E12"/>
  <c r="F11"/>
  <c r="G11" s="1"/>
  <c r="E11"/>
  <c r="DH10"/>
  <c r="DI10" s="1"/>
  <c r="DI5" s="1"/>
  <c r="Z10"/>
  <c r="F10" s="1"/>
  <c r="Y10"/>
  <c r="E10" s="1"/>
  <c r="DB9"/>
  <c r="CX9"/>
  <c r="CT9"/>
  <c r="CP9"/>
  <c r="CL9"/>
  <c r="CH9"/>
  <c r="CD9"/>
  <c r="BZ9"/>
  <c r="BV9"/>
  <c r="BR9"/>
  <c r="BN9"/>
  <c r="BJ9"/>
  <c r="BF9"/>
  <c r="BB9"/>
  <c r="AX9"/>
  <c r="AT9"/>
  <c r="AP9"/>
  <c r="AL9"/>
  <c r="AI9"/>
  <c r="AE9"/>
  <c r="AA9"/>
  <c r="Z9"/>
  <c r="Y9"/>
  <c r="W9"/>
  <c r="S9"/>
  <c r="O9"/>
  <c r="K9"/>
  <c r="H9"/>
  <c r="G9"/>
  <c r="F9"/>
  <c r="E9"/>
  <c r="DB8"/>
  <c r="CX8"/>
  <c r="CT8"/>
  <c r="CP8"/>
  <c r="CL8"/>
  <c r="CH8"/>
  <c r="CD8"/>
  <c r="BZ8"/>
  <c r="BV8"/>
  <c r="BR8"/>
  <c r="BN8"/>
  <c r="BJ8"/>
  <c r="BF8"/>
  <c r="BB8"/>
  <c r="AX8"/>
  <c r="AT8"/>
  <c r="AP8"/>
  <c r="AL8"/>
  <c r="AI8"/>
  <c r="AE8"/>
  <c r="Z8"/>
  <c r="AA8" s="1"/>
  <c r="Y8"/>
  <c r="W8"/>
  <c r="S8"/>
  <c r="O8"/>
  <c r="O5" s="1"/>
  <c r="K8"/>
  <c r="F8"/>
  <c r="G8" s="1"/>
  <c r="E8"/>
  <c r="DB7"/>
  <c r="CX7"/>
  <c r="CX5" s="1"/>
  <c r="CT7"/>
  <c r="CP7"/>
  <c r="CL7"/>
  <c r="CH7"/>
  <c r="CH5" s="1"/>
  <c r="CD7"/>
  <c r="CD5" s="1"/>
  <c r="BZ7"/>
  <c r="BV7"/>
  <c r="BR7"/>
  <c r="BR5" s="1"/>
  <c r="BN7"/>
  <c r="BJ7"/>
  <c r="BF7"/>
  <c r="BB7"/>
  <c r="BB5" s="1"/>
  <c r="AX7"/>
  <c r="AT7"/>
  <c r="AP7"/>
  <c r="AL7"/>
  <c r="AI7"/>
  <c r="AE7"/>
  <c r="Z7"/>
  <c r="AA7" s="1"/>
  <c r="Y7"/>
  <c r="E7" s="1"/>
  <c r="W7"/>
  <c r="S7"/>
  <c r="O7"/>
  <c r="K7"/>
  <c r="DB6"/>
  <c r="DB5" s="1"/>
  <c r="CX6"/>
  <c r="CT6"/>
  <c r="CP6"/>
  <c r="CL6"/>
  <c r="CL5" s="1"/>
  <c r="CH6"/>
  <c r="CD6"/>
  <c r="BZ6"/>
  <c r="BZ5" s="1"/>
  <c r="BV6"/>
  <c r="BV5" s="1"/>
  <c r="BR6"/>
  <c r="BN6"/>
  <c r="BN5" s="1"/>
  <c r="BJ6"/>
  <c r="BJ5" s="1"/>
  <c r="BF6"/>
  <c r="BF5" s="1"/>
  <c r="BB6"/>
  <c r="AX6"/>
  <c r="AX5" s="1"/>
  <c r="AT6"/>
  <c r="AP6"/>
  <c r="AL6"/>
  <c r="AI6"/>
  <c r="AE6"/>
  <c r="AA6"/>
  <c r="AA5" s="1"/>
  <c r="Z6"/>
  <c r="Y6"/>
  <c r="E6" s="1"/>
  <c r="E5" s="1"/>
  <c r="W6"/>
  <c r="S6"/>
  <c r="S5" s="1"/>
  <c r="O6"/>
  <c r="K6"/>
  <c r="K5" s="1"/>
  <c r="F6"/>
  <c r="DH5"/>
  <c r="DH142" s="1"/>
  <c r="DH145" s="1"/>
  <c r="DC5"/>
  <c r="DA5"/>
  <c r="DA142" s="1"/>
  <c r="CZ5"/>
  <c r="CZ142" s="1"/>
  <c r="CZ145" s="1"/>
  <c r="CY5"/>
  <c r="CW5"/>
  <c r="CW142" s="1"/>
  <c r="CV5"/>
  <c r="CV142" s="1"/>
  <c r="CV145" s="1"/>
  <c r="CT5"/>
  <c r="CS5"/>
  <c r="CS142" s="1"/>
  <c r="CR5"/>
  <c r="CR142" s="1"/>
  <c r="CR145" s="1"/>
  <c r="CO5"/>
  <c r="CP5" s="1"/>
  <c r="CN5"/>
  <c r="CN142" s="1"/>
  <c r="CN145" s="1"/>
  <c r="CK5"/>
  <c r="CK142" s="1"/>
  <c r="CJ5"/>
  <c r="CJ142" s="1"/>
  <c r="CJ145" s="1"/>
  <c r="CI5"/>
  <c r="CG5"/>
  <c r="CG142" s="1"/>
  <c r="CF5"/>
  <c r="CF142" s="1"/>
  <c r="CF145" s="1"/>
  <c r="CE5"/>
  <c r="CC5"/>
  <c r="CC142" s="1"/>
  <c r="CB5"/>
  <c r="CB142" s="1"/>
  <c r="CB145" s="1"/>
  <c r="CA5"/>
  <c r="BY5"/>
  <c r="BY142" s="1"/>
  <c r="BX5"/>
  <c r="BX142" s="1"/>
  <c r="BX145" s="1"/>
  <c r="BW5"/>
  <c r="BU5"/>
  <c r="BU142" s="1"/>
  <c r="BT5"/>
  <c r="BT142" s="1"/>
  <c r="BT145" s="1"/>
  <c r="BS5"/>
  <c r="BQ5"/>
  <c r="BQ142" s="1"/>
  <c r="BP5"/>
  <c r="BP142" s="1"/>
  <c r="BP145" s="1"/>
  <c r="BM5"/>
  <c r="BM142" s="1"/>
  <c r="BL5"/>
  <c r="BL142" s="1"/>
  <c r="BL145" s="1"/>
  <c r="BK5"/>
  <c r="BI5"/>
  <c r="BI142" s="1"/>
  <c r="BH5"/>
  <c r="BH142" s="1"/>
  <c r="BH145" s="1"/>
  <c r="BG5"/>
  <c r="BE5"/>
  <c r="BE142" s="1"/>
  <c r="BD5"/>
  <c r="BD142" s="1"/>
  <c r="BD145" s="1"/>
  <c r="BC5"/>
  <c r="BA5"/>
  <c r="BA142" s="1"/>
  <c r="AZ5"/>
  <c r="AZ142" s="1"/>
  <c r="AZ145" s="1"/>
  <c r="AY5"/>
  <c r="AW5"/>
  <c r="AW142" s="1"/>
  <c r="AV5"/>
  <c r="AV142" s="1"/>
  <c r="AV145" s="1"/>
  <c r="AT5"/>
  <c r="AS5"/>
  <c r="AR5"/>
  <c r="AR142" s="1"/>
  <c r="AQ5"/>
  <c r="AP5"/>
  <c r="AO5"/>
  <c r="AO142" s="1"/>
  <c r="AN5"/>
  <c r="AN142" s="1"/>
  <c r="AN145" s="1"/>
  <c r="AM5"/>
  <c r="AL5"/>
  <c r="AK5"/>
  <c r="AK142" s="1"/>
  <c r="AJ5"/>
  <c r="AJ142" s="1"/>
  <c r="AJ145" s="1"/>
  <c r="AI5"/>
  <c r="AH5"/>
  <c r="AH142" s="1"/>
  <c r="AG5"/>
  <c r="AG142" s="1"/>
  <c r="AD5"/>
  <c r="AD142" s="1"/>
  <c r="AC5"/>
  <c r="AC142" s="1"/>
  <c r="AB5"/>
  <c r="Z5"/>
  <c r="Y5"/>
  <c r="X5"/>
  <c r="W5"/>
  <c r="V5"/>
  <c r="V142" s="1"/>
  <c r="U5"/>
  <c r="U142" s="1"/>
  <c r="U145" s="1"/>
  <c r="T5"/>
  <c r="R5"/>
  <c r="R142" s="1"/>
  <c r="Q5"/>
  <c r="Q142" s="1"/>
  <c r="Q145" s="1"/>
  <c r="P5"/>
  <c r="N5"/>
  <c r="N142" s="1"/>
  <c r="M5"/>
  <c r="M142" s="1"/>
  <c r="M145" s="1"/>
  <c r="J5"/>
  <c r="J142" s="1"/>
  <c r="I5"/>
  <c r="I142" s="1"/>
  <c r="I145" s="1"/>
  <c r="D5"/>
  <c r="D142" s="1"/>
  <c r="D145" s="1"/>
  <c r="H95" l="1"/>
  <c r="S90"/>
  <c r="CL90"/>
  <c r="H59"/>
  <c r="BS90"/>
  <c r="H61"/>
  <c r="H66"/>
  <c r="BO90"/>
  <c r="H133"/>
  <c r="H92"/>
  <c r="H112"/>
  <c r="H94"/>
  <c r="H118"/>
  <c r="H119"/>
  <c r="H99"/>
  <c r="H108"/>
  <c r="S144"/>
  <c r="O144"/>
  <c r="K144" s="1"/>
  <c r="CC145"/>
  <c r="CE142"/>
  <c r="CD142"/>
  <c r="S142"/>
  <c r="R145"/>
  <c r="T142"/>
  <c r="AI142"/>
  <c r="AH145"/>
  <c r="BE145"/>
  <c r="BG142"/>
  <c r="BF142"/>
  <c r="BQ145"/>
  <c r="BS142"/>
  <c r="BR142"/>
  <c r="CG145"/>
  <c r="CI142"/>
  <c r="CH142"/>
  <c r="AI145"/>
  <c r="G6"/>
  <c r="AA34"/>
  <c r="E35"/>
  <c r="AA90"/>
  <c r="G122"/>
  <c r="G144"/>
  <c r="K142"/>
  <c r="J145"/>
  <c r="L142"/>
  <c r="BI145"/>
  <c r="BK142"/>
  <c r="BJ142"/>
  <c r="CS145"/>
  <c r="CU145" s="1"/>
  <c r="CT142"/>
  <c r="CT145" s="1"/>
  <c r="CU142"/>
  <c r="H84"/>
  <c r="G84"/>
  <c r="AG145"/>
  <c r="W142"/>
  <c r="V145"/>
  <c r="X142"/>
  <c r="AL142"/>
  <c r="AK145"/>
  <c r="AM142"/>
  <c r="AP142"/>
  <c r="AO145"/>
  <c r="AP145" s="1"/>
  <c r="BU145"/>
  <c r="BW142"/>
  <c r="BV142"/>
  <c r="CK145"/>
  <c r="CM142"/>
  <c r="CL142"/>
  <c r="Z142"/>
  <c r="AE142"/>
  <c r="AD145"/>
  <c r="AF142"/>
  <c r="AW145"/>
  <c r="AY142"/>
  <c r="AX142"/>
  <c r="BM145"/>
  <c r="BO142"/>
  <c r="BN142"/>
  <c r="BY145"/>
  <c r="CA142"/>
  <c r="BZ142"/>
  <c r="CW145"/>
  <c r="CY145" s="1"/>
  <c r="CX142"/>
  <c r="CX145" s="1"/>
  <c r="CY142"/>
  <c r="G91"/>
  <c r="H91"/>
  <c r="G10"/>
  <c r="G13"/>
  <c r="O142"/>
  <c r="N145"/>
  <c r="P142"/>
  <c r="Y142"/>
  <c r="BA145"/>
  <c r="BC142"/>
  <c r="BB142"/>
  <c r="DA145"/>
  <c r="DB142"/>
  <c r="DC142"/>
  <c r="G87"/>
  <c r="H87"/>
  <c r="F5"/>
  <c r="H11"/>
  <c r="H12"/>
  <c r="F15"/>
  <c r="G15" s="1"/>
  <c r="Z18"/>
  <c r="AA18" s="1"/>
  <c r="CU18"/>
  <c r="F25"/>
  <c r="G25" s="1"/>
  <c r="H26"/>
  <c r="H27"/>
  <c r="H38"/>
  <c r="F48"/>
  <c r="G48" s="1"/>
  <c r="F51"/>
  <c r="G51" s="1"/>
  <c r="F55"/>
  <c r="G55" s="1"/>
  <c r="H56"/>
  <c r="H58"/>
  <c r="H63"/>
  <c r="H65"/>
  <c r="H67"/>
  <c r="F70"/>
  <c r="G70" s="1"/>
  <c r="H73"/>
  <c r="AU79"/>
  <c r="AY79"/>
  <c r="BW79"/>
  <c r="H80"/>
  <c r="H83"/>
  <c r="H93"/>
  <c r="H98"/>
  <c r="H100"/>
  <c r="F101"/>
  <c r="H103"/>
  <c r="F113"/>
  <c r="H114"/>
  <c r="F115"/>
  <c r="F116"/>
  <c r="G116" s="1"/>
  <c r="H117"/>
  <c r="F131"/>
  <c r="G131" s="1"/>
  <c r="F136"/>
  <c r="AB136"/>
  <c r="G143"/>
  <c r="AR145"/>
  <c r="AE5"/>
  <c r="F7"/>
  <c r="G7" s="1"/>
  <c r="H8"/>
  <c r="H28"/>
  <c r="H39"/>
  <c r="H40"/>
  <c r="F42"/>
  <c r="H64"/>
  <c r="F71"/>
  <c r="G71" s="1"/>
  <c r="H78"/>
  <c r="AF79"/>
  <c r="H81"/>
  <c r="H85"/>
  <c r="F88"/>
  <c r="G88" s="1"/>
  <c r="H96"/>
  <c r="F97"/>
  <c r="G97" s="1"/>
  <c r="H104"/>
  <c r="H105"/>
  <c r="H106"/>
  <c r="H107"/>
  <c r="H111"/>
  <c r="F121"/>
  <c r="G121" s="1"/>
  <c r="E131"/>
  <c r="E90" s="1"/>
  <c r="E142" s="1"/>
  <c r="E145" s="1"/>
  <c r="F137"/>
  <c r="AB137"/>
  <c r="H138"/>
  <c r="AS142"/>
  <c r="AS145" s="1"/>
  <c r="CO142"/>
  <c r="AG144"/>
  <c r="AC144" s="1"/>
  <c r="Y144" s="1"/>
  <c r="F21"/>
  <c r="G21" s="1"/>
  <c r="F24"/>
  <c r="G24" s="1"/>
  <c r="F31"/>
  <c r="G31" s="1"/>
  <c r="F43"/>
  <c r="G43" s="1"/>
  <c r="F45"/>
  <c r="G45" s="1"/>
  <c r="F49"/>
  <c r="G49" s="1"/>
  <c r="F54"/>
  <c r="G54" s="1"/>
  <c r="Z71"/>
  <c r="AA71" s="1"/>
  <c r="Z79"/>
  <c r="AA79" s="1"/>
  <c r="F90" l="1"/>
  <c r="H90" s="1"/>
  <c r="AC145"/>
  <c r="Y145" s="1"/>
  <c r="AT145"/>
  <c r="AU145"/>
  <c r="CO145"/>
  <c r="CP142"/>
  <c r="G115"/>
  <c r="H115"/>
  <c r="AX145"/>
  <c r="AY145"/>
  <c r="AA142"/>
  <c r="AB142"/>
  <c r="BJ145"/>
  <c r="BK145"/>
  <c r="F34"/>
  <c r="G42"/>
  <c r="G35" s="1"/>
  <c r="DB145"/>
  <c r="DC145"/>
  <c r="CL145"/>
  <c r="CM145"/>
  <c r="BF145"/>
  <c r="BG145"/>
  <c r="T145"/>
  <c r="T144" s="1"/>
  <c r="S145"/>
  <c r="CD145"/>
  <c r="CE145"/>
  <c r="F79"/>
  <c r="G113"/>
  <c r="H113"/>
  <c r="H137"/>
  <c r="G137"/>
  <c r="G136"/>
  <c r="H136"/>
  <c r="G5"/>
  <c r="BB145"/>
  <c r="BC145"/>
  <c r="P145"/>
  <c r="O145"/>
  <c r="BZ145"/>
  <c r="CA145"/>
  <c r="AF145"/>
  <c r="Z145"/>
  <c r="BV145"/>
  <c r="BW145"/>
  <c r="AL145"/>
  <c r="AM145"/>
  <c r="L145"/>
  <c r="K145"/>
  <c r="AU142"/>
  <c r="AT142"/>
  <c r="BN145"/>
  <c r="BO145"/>
  <c r="X145"/>
  <c r="X144" s="1"/>
  <c r="W145"/>
  <c r="CH145"/>
  <c r="CI145"/>
  <c r="F18"/>
  <c r="G101"/>
  <c r="H101"/>
  <c r="BR145"/>
  <c r="BS145"/>
  <c r="G90" l="1"/>
  <c r="F142"/>
  <c r="G142" s="1"/>
  <c r="AE145"/>
  <c r="AB145"/>
  <c r="AA145"/>
  <c r="H79"/>
  <c r="G79"/>
  <c r="G34"/>
  <c r="H34"/>
  <c r="CP145"/>
  <c r="CQ145"/>
  <c r="G18"/>
  <c r="H18"/>
  <c r="H142" l="1"/>
  <c r="F145"/>
  <c r="G145" s="1"/>
  <c r="H145" l="1"/>
  <c r="I19" i="9" l="1"/>
  <c r="I20"/>
  <c r="I21"/>
  <c r="I22"/>
  <c r="I16"/>
  <c r="I17"/>
  <c r="E98" i="22" l="1"/>
  <c r="H94"/>
  <c r="H95"/>
  <c r="H96"/>
  <c r="G95"/>
  <c r="G96"/>
  <c r="G97"/>
  <c r="C98"/>
  <c r="D95"/>
  <c r="E95"/>
  <c r="F95"/>
  <c r="H97"/>
  <c r="D97"/>
  <c r="F20"/>
  <c r="N37" i="28" l="1"/>
  <c r="L37"/>
  <c r="F37"/>
  <c r="N36"/>
  <c r="L36"/>
  <c r="F36"/>
  <c r="N35"/>
  <c r="L35"/>
  <c r="F35"/>
  <c r="E35"/>
  <c r="D35"/>
  <c r="N34"/>
  <c r="M34"/>
  <c r="L34"/>
  <c r="K34"/>
  <c r="H34"/>
  <c r="E34"/>
  <c r="D34"/>
  <c r="F34" s="1"/>
  <c r="N33"/>
  <c r="M33"/>
  <c r="L33"/>
  <c r="H33"/>
  <c r="E33"/>
  <c r="D33"/>
  <c r="F33" s="1"/>
  <c r="N32"/>
  <c r="L32"/>
  <c r="H32"/>
  <c r="F32"/>
  <c r="O31"/>
  <c r="L31"/>
  <c r="K31"/>
  <c r="N31" s="1"/>
  <c r="J31"/>
  <c r="I31"/>
  <c r="H31"/>
  <c r="E31"/>
  <c r="D31"/>
  <c r="F31" s="1"/>
  <c r="C31"/>
  <c r="B31"/>
  <c r="M30"/>
  <c r="L30"/>
  <c r="K30"/>
  <c r="N30" s="1"/>
  <c r="G30"/>
  <c r="F30"/>
  <c r="E30"/>
  <c r="H30" s="1"/>
  <c r="D30"/>
  <c r="N29"/>
  <c r="M29"/>
  <c r="L29"/>
  <c r="H29"/>
  <c r="G29"/>
  <c r="F29"/>
  <c r="O28"/>
  <c r="M28"/>
  <c r="L28"/>
  <c r="K28"/>
  <c r="N28" s="1"/>
  <c r="J28"/>
  <c r="I28"/>
  <c r="E28"/>
  <c r="G28" s="1"/>
  <c r="D28"/>
  <c r="C28"/>
  <c r="B28"/>
  <c r="N27"/>
  <c r="M27"/>
  <c r="L27"/>
  <c r="K27"/>
  <c r="H27"/>
  <c r="E27"/>
  <c r="D27"/>
  <c r="F27" s="1"/>
  <c r="O26"/>
  <c r="L26"/>
  <c r="K26"/>
  <c r="N26" s="1"/>
  <c r="J26"/>
  <c r="I26"/>
  <c r="H26"/>
  <c r="E26"/>
  <c r="D26"/>
  <c r="F26" s="1"/>
  <c r="C26"/>
  <c r="B26"/>
  <c r="M25"/>
  <c r="L25"/>
  <c r="K25"/>
  <c r="N25" s="1"/>
  <c r="G25"/>
  <c r="F25"/>
  <c r="E25"/>
  <c r="H25" s="1"/>
  <c r="H23" s="1"/>
  <c r="D25"/>
  <c r="N24"/>
  <c r="M24"/>
  <c r="L24"/>
  <c r="K24"/>
  <c r="H24"/>
  <c r="E24"/>
  <c r="D24"/>
  <c r="F24" s="1"/>
  <c r="F23" s="1"/>
  <c r="O23"/>
  <c r="O22" s="1"/>
  <c r="L23"/>
  <c r="K23"/>
  <c r="N23" s="1"/>
  <c r="J23"/>
  <c r="I23"/>
  <c r="D23"/>
  <c r="D22" s="1"/>
  <c r="C23"/>
  <c r="C22" s="1"/>
  <c r="B23"/>
  <c r="J22"/>
  <c r="I22"/>
  <c r="B22"/>
  <c r="K21"/>
  <c r="M21" s="1"/>
  <c r="E21"/>
  <c r="G21" s="1"/>
  <c r="D21"/>
  <c r="L20"/>
  <c r="K20"/>
  <c r="N20" s="1"/>
  <c r="F20"/>
  <c r="E20"/>
  <c r="H20" s="1"/>
  <c r="D20"/>
  <c r="D18" s="1"/>
  <c r="M19"/>
  <c r="L19"/>
  <c r="L18" s="1"/>
  <c r="K19"/>
  <c r="N19" s="1"/>
  <c r="G19"/>
  <c r="F19"/>
  <c r="E19"/>
  <c r="H19" s="1"/>
  <c r="D19"/>
  <c r="C19"/>
  <c r="K18"/>
  <c r="M18" s="1"/>
  <c r="J18"/>
  <c r="I18"/>
  <c r="C18"/>
  <c r="B18"/>
  <c r="L17"/>
  <c r="K17"/>
  <c r="N17" s="1"/>
  <c r="F17"/>
  <c r="E17"/>
  <c r="H17" s="1"/>
  <c r="D17"/>
  <c r="C17"/>
  <c r="O16"/>
  <c r="K16"/>
  <c r="M16" s="1"/>
  <c r="J16"/>
  <c r="I16"/>
  <c r="C16"/>
  <c r="B16"/>
  <c r="N15"/>
  <c r="L15"/>
  <c r="H15"/>
  <c r="E15"/>
  <c r="D15"/>
  <c r="F15" s="1"/>
  <c r="K14"/>
  <c r="M14" s="1"/>
  <c r="E14"/>
  <c r="G14" s="1"/>
  <c r="D14"/>
  <c r="C14"/>
  <c r="N13"/>
  <c r="M13"/>
  <c r="L13"/>
  <c r="F13"/>
  <c r="E13"/>
  <c r="H13" s="1"/>
  <c r="D13"/>
  <c r="D12" s="1"/>
  <c r="C13"/>
  <c r="O12"/>
  <c r="K12"/>
  <c r="M12" s="1"/>
  <c r="J12"/>
  <c r="I12"/>
  <c r="C12"/>
  <c r="B12"/>
  <c r="L11"/>
  <c r="K11"/>
  <c r="N11" s="1"/>
  <c r="F11"/>
  <c r="E11"/>
  <c r="H11" s="1"/>
  <c r="D11"/>
  <c r="C11"/>
  <c r="N10"/>
  <c r="M10"/>
  <c r="L10"/>
  <c r="K10"/>
  <c r="H10"/>
  <c r="E10"/>
  <c r="D10"/>
  <c r="F10" s="1"/>
  <c r="C10"/>
  <c r="C9" s="1"/>
  <c r="C8" s="1"/>
  <c r="O9"/>
  <c r="M9"/>
  <c r="L9"/>
  <c r="K9"/>
  <c r="N9" s="1"/>
  <c r="J9"/>
  <c r="I9"/>
  <c r="I8" s="1"/>
  <c r="I38" s="1"/>
  <c r="E9"/>
  <c r="B9"/>
  <c r="O8"/>
  <c r="O38" s="1"/>
  <c r="K8"/>
  <c r="M8" s="1"/>
  <c r="J8"/>
  <c r="J38" s="1"/>
  <c r="B8"/>
  <c r="B38" s="1"/>
  <c r="E70" i="22"/>
  <c r="C70"/>
  <c r="T134" i="16"/>
  <c r="L18"/>
  <c r="K107"/>
  <c r="G107"/>
  <c r="F107"/>
  <c r="D107"/>
  <c r="C107"/>
  <c r="L107"/>
  <c r="D122"/>
  <c r="J78"/>
  <c r="C122"/>
  <c r="T92"/>
  <c r="D16" i="28" l="1"/>
  <c r="G9"/>
  <c r="C38"/>
  <c r="L8"/>
  <c r="G11"/>
  <c r="M11"/>
  <c r="L12"/>
  <c r="G13"/>
  <c r="F14"/>
  <c r="L14"/>
  <c r="L16"/>
  <c r="G17"/>
  <c r="M17"/>
  <c r="G20"/>
  <c r="M20"/>
  <c r="F21"/>
  <c r="L21"/>
  <c r="K22"/>
  <c r="E23"/>
  <c r="M23"/>
  <c r="M26"/>
  <c r="F28"/>
  <c r="M31"/>
  <c r="N8"/>
  <c r="D9"/>
  <c r="D8" s="1"/>
  <c r="D38" s="1"/>
  <c r="H9"/>
  <c r="G10"/>
  <c r="N12"/>
  <c r="H14"/>
  <c r="N14"/>
  <c r="G15"/>
  <c r="N16"/>
  <c r="N18"/>
  <c r="H21"/>
  <c r="N21"/>
  <c r="G24"/>
  <c r="G26"/>
  <c r="G27"/>
  <c r="H28"/>
  <c r="G31"/>
  <c r="G33"/>
  <c r="G34"/>
  <c r="E12"/>
  <c r="E16"/>
  <c r="E18"/>
  <c r="F12" l="1"/>
  <c r="G12"/>
  <c r="H12"/>
  <c r="F16"/>
  <c r="G16"/>
  <c r="H16"/>
  <c r="L22"/>
  <c r="M22"/>
  <c r="N22"/>
  <c r="F18"/>
  <c r="G18"/>
  <c r="H18"/>
  <c r="G23"/>
  <c r="E22"/>
  <c r="E8"/>
  <c r="K38"/>
  <c r="F9"/>
  <c r="I18" i="9"/>
  <c r="H22" i="28" l="1"/>
  <c r="F22"/>
  <c r="G22"/>
  <c r="E38"/>
  <c r="G8"/>
  <c r="H8"/>
  <c r="L38"/>
  <c r="M38"/>
  <c r="N38"/>
  <c r="F8"/>
  <c r="H17" i="9"/>
  <c r="H18"/>
  <c r="H19"/>
  <c r="H20"/>
  <c r="H21"/>
  <c r="H22"/>
  <c r="H38" i="28" l="1"/>
  <c r="F38"/>
  <c r="G38"/>
  <c r="CL54" i="18"/>
  <c r="BF57" l="1"/>
  <c r="CH49" l="1"/>
  <c r="CH57"/>
  <c r="BZ57"/>
  <c r="H61" i="22" l="1"/>
  <c r="H59"/>
  <c r="H60"/>
  <c r="G39"/>
  <c r="G40"/>
  <c r="G41"/>
  <c r="G42"/>
  <c r="G43"/>
  <c r="G44"/>
  <c r="G45"/>
  <c r="G46"/>
  <c r="G47"/>
  <c r="G48"/>
  <c r="G49"/>
  <c r="G50"/>
  <c r="G51"/>
  <c r="G59"/>
  <c r="H93"/>
  <c r="D94"/>
  <c r="D93"/>
  <c r="G93"/>
  <c r="G61"/>
  <c r="H92" l="1"/>
  <c r="G92"/>
  <c r="D92"/>
  <c r="C17" l="1"/>
  <c r="CK54" i="18" l="1"/>
  <c r="BQ57"/>
  <c r="AS57"/>
  <c r="AO57"/>
  <c r="AK57"/>
  <c r="AC57"/>
  <c r="Y57"/>
  <c r="U57"/>
  <c r="Q57"/>
  <c r="I57"/>
  <c r="M57"/>
  <c r="G7" i="22" l="1"/>
  <c r="G9"/>
  <c r="G10"/>
  <c r="G12"/>
  <c r="G13"/>
  <c r="G14"/>
  <c r="G16"/>
  <c r="G18"/>
  <c r="G19"/>
  <c r="G22"/>
  <c r="G23"/>
  <c r="G24"/>
  <c r="G28"/>
  <c r="G30"/>
  <c r="G32"/>
  <c r="G34"/>
  <c r="G36"/>
  <c r="G37"/>
  <c r="G38"/>
  <c r="G52"/>
  <c r="G55"/>
  <c r="G56"/>
  <c r="G58"/>
  <c r="G63"/>
  <c r="G64"/>
  <c r="G65"/>
  <c r="G66"/>
  <c r="G67"/>
  <c r="G68"/>
  <c r="G69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E57"/>
  <c r="CE67" i="18"/>
  <c r="CI69"/>
  <c r="CI70"/>
  <c r="CI72"/>
  <c r="CI74"/>
  <c r="CA33"/>
  <c r="CA35"/>
  <c r="CA38"/>
  <c r="CA42"/>
  <c r="CG49"/>
  <c r="CC49"/>
  <c r="BY49"/>
  <c r="BU49"/>
  <c r="BQ49"/>
  <c r="BM49"/>
  <c r="BI49"/>
  <c r="BE49"/>
  <c r="AW49"/>
  <c r="AS49"/>
  <c r="AO49"/>
  <c r="AK49"/>
  <c r="AC49"/>
  <c r="Y49"/>
  <c r="U49"/>
  <c r="Q49"/>
  <c r="M49"/>
  <c r="I49"/>
  <c r="CN54"/>
  <c r="CK31"/>
  <c r="BY57"/>
  <c r="CC16"/>
  <c r="CC57"/>
  <c r="BU57"/>
  <c r="CG57"/>
  <c r="BA59"/>
  <c r="BA60"/>
  <c r="BA61"/>
  <c r="BA62"/>
  <c r="BA63"/>
  <c r="BA64"/>
  <c r="BA58"/>
  <c r="AG59"/>
  <c r="CK59" s="1"/>
  <c r="AG60"/>
  <c r="CK60" s="1"/>
  <c r="AG61"/>
  <c r="CK61" s="1"/>
  <c r="AG62"/>
  <c r="CK62" s="1"/>
  <c r="AG64"/>
  <c r="CK64" s="1"/>
  <c r="AH64"/>
  <c r="Q115" i="16"/>
  <c r="Q111"/>
  <c r="Q94"/>
  <c r="Q88"/>
  <c r="Q79"/>
  <c r="Q18"/>
  <c r="R18"/>
  <c r="P18"/>
  <c r="M111"/>
  <c r="M94"/>
  <c r="M88"/>
  <c r="M79"/>
  <c r="M18"/>
  <c r="F15"/>
  <c r="O13"/>
  <c r="O32"/>
  <c r="O45"/>
  <c r="O47"/>
  <c r="O51"/>
  <c r="T51" s="1"/>
  <c r="O58"/>
  <c r="O61"/>
  <c r="O77"/>
  <c r="O80"/>
  <c r="O81"/>
  <c r="O83"/>
  <c r="O84"/>
  <c r="O87"/>
  <c r="O113"/>
  <c r="O121"/>
  <c r="O124"/>
  <c r="T124" s="1"/>
  <c r="O127"/>
  <c r="O131"/>
  <c r="T131" s="1"/>
  <c r="CL64" i="18" l="1"/>
  <c r="F57"/>
  <c r="J57"/>
  <c r="N57"/>
  <c r="R57"/>
  <c r="V57"/>
  <c r="Z57"/>
  <c r="AD57"/>
  <c r="AL57"/>
  <c r="AP57"/>
  <c r="AT57"/>
  <c r="AX57"/>
  <c r="BV57"/>
  <c r="BR57"/>
  <c r="BN57"/>
  <c r="BJ57"/>
  <c r="CM64" l="1"/>
  <c r="CN64"/>
  <c r="CL17"/>
  <c r="CL18"/>
  <c r="BB6"/>
  <c r="BB8"/>
  <c r="BB9"/>
  <c r="BB11"/>
  <c r="BB13"/>
  <c r="BB14"/>
  <c r="BB15"/>
  <c r="BB17"/>
  <c r="BB18"/>
  <c r="BB19"/>
  <c r="BB20"/>
  <c r="BB21"/>
  <c r="BB22"/>
  <c r="BB23"/>
  <c r="BB24"/>
  <c r="BB25"/>
  <c r="BB67"/>
  <c r="BB68"/>
  <c r="BB69"/>
  <c r="BB70"/>
  <c r="BB71"/>
  <c r="BB72"/>
  <c r="BB73"/>
  <c r="BB74"/>
  <c r="BB75"/>
  <c r="BB66"/>
  <c r="BB51"/>
  <c r="BB52"/>
  <c r="BB53"/>
  <c r="BB55"/>
  <c r="BB58"/>
  <c r="BB59"/>
  <c r="BB60"/>
  <c r="BB61"/>
  <c r="BB62"/>
  <c r="BB63"/>
  <c r="BB47"/>
  <c r="BB26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AH58"/>
  <c r="AH59"/>
  <c r="CL59" s="1"/>
  <c r="CN59" s="1"/>
  <c r="AH60"/>
  <c r="AH61"/>
  <c r="CL61" s="1"/>
  <c r="CN61" s="1"/>
  <c r="AH62"/>
  <c r="AH63"/>
  <c r="AH33"/>
  <c r="AH34"/>
  <c r="AH35"/>
  <c r="AH36"/>
  <c r="AH37"/>
  <c r="AH38"/>
  <c r="AH39"/>
  <c r="AH40"/>
  <c r="AH41"/>
  <c r="AH42"/>
  <c r="AH43"/>
  <c r="AH44"/>
  <c r="AH45"/>
  <c r="AH46"/>
  <c r="AH28"/>
  <c r="AH29"/>
  <c r="AH30"/>
  <c r="AH31"/>
  <c r="AH66"/>
  <c r="AH67"/>
  <c r="AH68"/>
  <c r="AH69"/>
  <c r="AH70"/>
  <c r="AH71"/>
  <c r="AH72"/>
  <c r="AH73"/>
  <c r="AH74"/>
  <c r="CL60" l="1"/>
  <c r="CN60" s="1"/>
  <c r="CL62"/>
  <c r="CN62" s="1"/>
  <c r="BB57"/>
  <c r="BB27"/>
  <c r="R27"/>
  <c r="BY16"/>
  <c r="BY27"/>
  <c r="D76" i="22"/>
  <c r="H76"/>
  <c r="H85" l="1"/>
  <c r="H91"/>
  <c r="E20" l="1"/>
  <c r="G20" s="1"/>
  <c r="E8"/>
  <c r="H81"/>
  <c r="D81"/>
  <c r="G11" i="18" l="1"/>
  <c r="G26"/>
  <c r="G43"/>
  <c r="G39" i="23" l="1"/>
  <c r="H39"/>
  <c r="I39"/>
  <c r="G38"/>
  <c r="H38"/>
  <c r="I38"/>
  <c r="I6"/>
  <c r="H6"/>
  <c r="L147"/>
  <c r="L148"/>
  <c r="L133"/>
  <c r="L134"/>
  <c r="K133"/>
  <c r="L128"/>
  <c r="L129"/>
  <c r="K128"/>
  <c r="L54"/>
  <c r="L7" l="1"/>
  <c r="J13"/>
  <c r="L13"/>
  <c r="L8" l="1"/>
  <c r="L9"/>
  <c r="L10"/>
  <c r="L11"/>
  <c r="L12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81"/>
  <c r="L86"/>
  <c r="L87"/>
  <c r="L88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30"/>
  <c r="L131"/>
  <c r="L132"/>
  <c r="L135"/>
  <c r="L136"/>
  <c r="L137"/>
  <c r="L138"/>
  <c r="L139"/>
  <c r="L140"/>
  <c r="L141"/>
  <c r="L142"/>
  <c r="L143"/>
  <c r="L144"/>
  <c r="L145"/>
  <c r="L146"/>
  <c r="L149"/>
  <c r="L151"/>
  <c r="L153"/>
  <c r="L154"/>
  <c r="K8"/>
  <c r="K9"/>
  <c r="K10"/>
  <c r="K11"/>
  <c r="K12"/>
  <c r="K14"/>
  <c r="K15"/>
  <c r="K16"/>
  <c r="K17"/>
  <c r="K18"/>
  <c r="K19"/>
  <c r="K22"/>
  <c r="K23"/>
  <c r="K24"/>
  <c r="K29"/>
  <c r="K30"/>
  <c r="K31"/>
  <c r="K32"/>
  <c r="K33"/>
  <c r="K34"/>
  <c r="K35"/>
  <c r="K36"/>
  <c r="K37"/>
  <c r="K40"/>
  <c r="K41"/>
  <c r="K42"/>
  <c r="K43"/>
  <c r="K44"/>
  <c r="K45"/>
  <c r="K48"/>
  <c r="K49"/>
  <c r="K50"/>
  <c r="K51"/>
  <c r="K52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1"/>
  <c r="K92"/>
  <c r="K9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7"/>
  <c r="K118"/>
  <c r="K119"/>
  <c r="K120"/>
  <c r="K121"/>
  <c r="K123"/>
  <c r="K125"/>
  <c r="K127"/>
  <c r="K130"/>
  <c r="K132"/>
  <c r="K135"/>
  <c r="K136"/>
  <c r="K138"/>
  <c r="K139"/>
  <c r="K140"/>
  <c r="K141"/>
  <c r="K142"/>
  <c r="K143"/>
  <c r="K144"/>
  <c r="K145"/>
  <c r="K150"/>
  <c r="K151"/>
  <c r="K153"/>
  <c r="K154"/>
  <c r="H150"/>
  <c r="J150" s="1"/>
  <c r="J103"/>
  <c r="G96"/>
  <c r="G85"/>
  <c r="G20"/>
  <c r="G6"/>
  <c r="F96"/>
  <c r="F85"/>
  <c r="F39"/>
  <c r="F38"/>
  <c r="J38" s="1"/>
  <c r="F20"/>
  <c r="F6"/>
  <c r="J154"/>
  <c r="J153"/>
  <c r="J151"/>
  <c r="J145"/>
  <c r="J144"/>
  <c r="J143"/>
  <c r="J142"/>
  <c r="J141"/>
  <c r="J140"/>
  <c r="J139"/>
  <c r="J138"/>
  <c r="J137"/>
  <c r="J136"/>
  <c r="J135"/>
  <c r="J133"/>
  <c r="J132"/>
  <c r="J131"/>
  <c r="J130"/>
  <c r="J128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2"/>
  <c r="J101"/>
  <c r="J100"/>
  <c r="J99"/>
  <c r="J98"/>
  <c r="J97"/>
  <c r="I96"/>
  <c r="E96"/>
  <c r="D96"/>
  <c r="J95"/>
  <c r="J94"/>
  <c r="J92"/>
  <c r="J91"/>
  <c r="J90"/>
  <c r="J89"/>
  <c r="J88"/>
  <c r="J87"/>
  <c r="J86"/>
  <c r="I85"/>
  <c r="H85"/>
  <c r="E85"/>
  <c r="D85"/>
  <c r="H84"/>
  <c r="L84" s="1"/>
  <c r="H83"/>
  <c r="L83" s="1"/>
  <c r="H82"/>
  <c r="L82" s="1"/>
  <c r="H81"/>
  <c r="H80"/>
  <c r="L80" s="1"/>
  <c r="H79"/>
  <c r="H78"/>
  <c r="L78" s="1"/>
  <c r="E77"/>
  <c r="D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E39"/>
  <c r="D39"/>
  <c r="E38"/>
  <c r="D38"/>
  <c r="J37"/>
  <c r="J36"/>
  <c r="J35"/>
  <c r="J34"/>
  <c r="J33"/>
  <c r="J32"/>
  <c r="J31"/>
  <c r="J30"/>
  <c r="J29"/>
  <c r="J28"/>
  <c r="J27"/>
  <c r="J26"/>
  <c r="J25"/>
  <c r="J24"/>
  <c r="J23"/>
  <c r="J22"/>
  <c r="J21"/>
  <c r="I20"/>
  <c r="L20" s="1"/>
  <c r="H20"/>
  <c r="J20" s="1"/>
  <c r="E20"/>
  <c r="D20"/>
  <c r="J19"/>
  <c r="J18"/>
  <c r="J17"/>
  <c r="J16"/>
  <c r="J15"/>
  <c r="J14"/>
  <c r="J12"/>
  <c r="J11"/>
  <c r="J10"/>
  <c r="J9"/>
  <c r="J8"/>
  <c r="E6"/>
  <c r="D6"/>
  <c r="L85" l="1"/>
  <c r="J85"/>
  <c r="K96"/>
  <c r="E152"/>
  <c r="E155" s="1"/>
  <c r="K39"/>
  <c r="L38"/>
  <c r="F81"/>
  <c r="K20"/>
  <c r="H96"/>
  <c r="J96" s="1"/>
  <c r="K85"/>
  <c r="L39"/>
  <c r="K38"/>
  <c r="L150"/>
  <c r="F78"/>
  <c r="J78" s="1"/>
  <c r="F82"/>
  <c r="J82" s="1"/>
  <c r="L79"/>
  <c r="F79" s="1"/>
  <c r="J79" s="1"/>
  <c r="F83"/>
  <c r="J83" s="1"/>
  <c r="G152"/>
  <c r="G155" s="1"/>
  <c r="J39"/>
  <c r="D152"/>
  <c r="D155" s="1"/>
  <c r="I152"/>
  <c r="J81"/>
  <c r="F80"/>
  <c r="J80" s="1"/>
  <c r="L6"/>
  <c r="J6"/>
  <c r="H77"/>
  <c r="L77" s="1"/>
  <c r="L96" l="1"/>
  <c r="H152"/>
  <c r="L152" s="1"/>
  <c r="I155"/>
  <c r="K155" s="1"/>
  <c r="K152"/>
  <c r="F84"/>
  <c r="F77" s="1"/>
  <c r="F152" s="1"/>
  <c r="F155" s="1"/>
  <c r="J84" l="1"/>
  <c r="H155"/>
  <c r="L155" s="1"/>
  <c r="J152"/>
  <c r="J77"/>
  <c r="J155" l="1"/>
  <c r="H68" i="22" l="1"/>
  <c r="D28"/>
  <c r="H28"/>
  <c r="D58"/>
  <c r="H58"/>
  <c r="CH65" i="18" l="1"/>
  <c r="Q72" l="1"/>
  <c r="Q73"/>
  <c r="Q75"/>
  <c r="Q30"/>
  <c r="Q45"/>
  <c r="Q47"/>
  <c r="Q28"/>
  <c r="Q21"/>
  <c r="Q23"/>
  <c r="Q24"/>
  <c r="Q25"/>
  <c r="Q19"/>
  <c r="M71"/>
  <c r="M72"/>
  <c r="M73"/>
  <c r="M75"/>
  <c r="M29"/>
  <c r="M30"/>
  <c r="M33"/>
  <c r="M34"/>
  <c r="M35"/>
  <c r="M36"/>
  <c r="M38"/>
  <c r="M39"/>
  <c r="M40"/>
  <c r="M41"/>
  <c r="M44"/>
  <c r="M28"/>
  <c r="M21"/>
  <c r="M22"/>
  <c r="M23"/>
  <c r="M25"/>
  <c r="I72"/>
  <c r="I73"/>
  <c r="I75"/>
  <c r="I30"/>
  <c r="I44"/>
  <c r="I45"/>
  <c r="I28"/>
  <c r="I20"/>
  <c r="I21"/>
  <c r="I25"/>
  <c r="E71"/>
  <c r="E72"/>
  <c r="E73"/>
  <c r="E75"/>
  <c r="E63"/>
  <c r="E51"/>
  <c r="E53"/>
  <c r="E55"/>
  <c r="E29"/>
  <c r="E30"/>
  <c r="E33"/>
  <c r="E35"/>
  <c r="E36"/>
  <c r="E38"/>
  <c r="E40"/>
  <c r="E41"/>
  <c r="G42"/>
  <c r="E44"/>
  <c r="E45"/>
  <c r="E28"/>
  <c r="E25"/>
  <c r="E20"/>
  <c r="E21"/>
  <c r="E22"/>
  <c r="E24"/>
  <c r="AH75"/>
  <c r="AH65" s="1"/>
  <c r="CL63"/>
  <c r="AH55"/>
  <c r="CL55" s="1"/>
  <c r="AH53"/>
  <c r="CL53" s="1"/>
  <c r="AH52"/>
  <c r="CL52" s="1"/>
  <c r="AH51"/>
  <c r="CL51" s="1"/>
  <c r="CL30"/>
  <c r="CL31"/>
  <c r="CN31" s="1"/>
  <c r="AH32"/>
  <c r="CL32" s="1"/>
  <c r="CL33"/>
  <c r="CL34"/>
  <c r="CL35"/>
  <c r="CL36"/>
  <c r="CL37"/>
  <c r="CL38"/>
  <c r="CL39"/>
  <c r="CL40"/>
  <c r="CL41"/>
  <c r="CL42"/>
  <c r="CL43"/>
  <c r="CL44"/>
  <c r="CL45"/>
  <c r="CL46"/>
  <c r="CL28"/>
  <c r="AH20"/>
  <c r="CL20" s="1"/>
  <c r="AH21"/>
  <c r="CL21" s="1"/>
  <c r="AH22"/>
  <c r="CL22" s="1"/>
  <c r="AH23"/>
  <c r="CL23" s="1"/>
  <c r="AH24"/>
  <c r="CL24" s="1"/>
  <c r="AH25"/>
  <c r="CL25" s="1"/>
  <c r="AH26"/>
  <c r="CL26" s="1"/>
  <c r="AH19"/>
  <c r="CL19" s="1"/>
  <c r="AD65"/>
  <c r="AD56" s="1"/>
  <c r="AD27"/>
  <c r="AD16"/>
  <c r="T137" i="16"/>
  <c r="D42"/>
  <c r="AG63" i="18" l="1"/>
  <c r="CK63" s="1"/>
  <c r="CN63" s="1"/>
  <c r="E57"/>
  <c r="CL49"/>
  <c r="E49"/>
  <c r="CL58"/>
  <c r="AH49"/>
  <c r="CL29"/>
  <c r="D7" i="22"/>
  <c r="H7"/>
  <c r="C8"/>
  <c r="C6" s="1"/>
  <c r="E6"/>
  <c r="F8"/>
  <c r="G8" s="1"/>
  <c r="D9"/>
  <c r="H9"/>
  <c r="D10"/>
  <c r="H10"/>
  <c r="C11"/>
  <c r="E11"/>
  <c r="F11"/>
  <c r="D12"/>
  <c r="H12"/>
  <c r="D13"/>
  <c r="H13"/>
  <c r="D14"/>
  <c r="H14"/>
  <c r="D16"/>
  <c r="H16"/>
  <c r="C15"/>
  <c r="E17"/>
  <c r="E15" s="1"/>
  <c r="F17"/>
  <c r="D18"/>
  <c r="H18"/>
  <c r="D19"/>
  <c r="H19"/>
  <c r="C21"/>
  <c r="E21"/>
  <c r="F21"/>
  <c r="D22"/>
  <c r="H22"/>
  <c r="D23"/>
  <c r="H23"/>
  <c r="D24"/>
  <c r="H24"/>
  <c r="C27"/>
  <c r="E27"/>
  <c r="F27"/>
  <c r="C29"/>
  <c r="E29"/>
  <c r="F29"/>
  <c r="D30"/>
  <c r="H30"/>
  <c r="C31"/>
  <c r="E31"/>
  <c r="F31"/>
  <c r="D32"/>
  <c r="H32"/>
  <c r="C33"/>
  <c r="E33"/>
  <c r="F33"/>
  <c r="D34"/>
  <c r="H34"/>
  <c r="C35"/>
  <c r="E35"/>
  <c r="F35"/>
  <c r="D36"/>
  <c r="H36"/>
  <c r="D37"/>
  <c r="H37"/>
  <c r="D38"/>
  <c r="H38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49"/>
  <c r="H49"/>
  <c r="D50"/>
  <c r="H50"/>
  <c r="D51"/>
  <c r="H51"/>
  <c r="D52"/>
  <c r="H52"/>
  <c r="C54"/>
  <c r="D54"/>
  <c r="E54"/>
  <c r="H56"/>
  <c r="C57"/>
  <c r="F57"/>
  <c r="G57" s="1"/>
  <c r="D59"/>
  <c r="D60"/>
  <c r="D63"/>
  <c r="H63"/>
  <c r="D64"/>
  <c r="H64"/>
  <c r="D65"/>
  <c r="H65"/>
  <c r="D66"/>
  <c r="H66"/>
  <c r="D67"/>
  <c r="H67"/>
  <c r="D68"/>
  <c r="D69"/>
  <c r="H69"/>
  <c r="D71"/>
  <c r="H71"/>
  <c r="D72"/>
  <c r="H72"/>
  <c r="D73"/>
  <c r="H73"/>
  <c r="D74"/>
  <c r="H74"/>
  <c r="D75"/>
  <c r="H75"/>
  <c r="D77"/>
  <c r="H77"/>
  <c r="D78"/>
  <c r="H78"/>
  <c r="D79"/>
  <c r="H79"/>
  <c r="D80"/>
  <c r="H80"/>
  <c r="D82"/>
  <c r="H82"/>
  <c r="D83"/>
  <c r="H83"/>
  <c r="D84"/>
  <c r="H84"/>
  <c r="D86"/>
  <c r="H86"/>
  <c r="D87"/>
  <c r="H87"/>
  <c r="D88"/>
  <c r="H88"/>
  <c r="D89"/>
  <c r="H89"/>
  <c r="D90"/>
  <c r="H90"/>
  <c r="G29" l="1"/>
  <c r="G21"/>
  <c r="D70"/>
  <c r="G35"/>
  <c r="F70"/>
  <c r="G31"/>
  <c r="G27"/>
  <c r="G17"/>
  <c r="G33"/>
  <c r="G11"/>
  <c r="C20"/>
  <c r="C5" s="1"/>
  <c r="H33"/>
  <c r="F26"/>
  <c r="D35"/>
  <c r="H35"/>
  <c r="D33"/>
  <c r="E26"/>
  <c r="E25" s="1"/>
  <c r="H27"/>
  <c r="D27"/>
  <c r="D31"/>
  <c r="D29"/>
  <c r="D21"/>
  <c r="D17"/>
  <c r="D15" s="1"/>
  <c r="D11"/>
  <c r="C26"/>
  <c r="C25" s="1"/>
  <c r="H57"/>
  <c r="D57"/>
  <c r="D6"/>
  <c r="E5"/>
  <c r="H29"/>
  <c r="H21"/>
  <c r="H17"/>
  <c r="H11"/>
  <c r="H8"/>
  <c r="D8"/>
  <c r="H31"/>
  <c r="F15"/>
  <c r="F6"/>
  <c r="G6" s="1"/>
  <c r="G70" l="1"/>
  <c r="G26"/>
  <c r="F5"/>
  <c r="G15"/>
  <c r="D20"/>
  <c r="H70"/>
  <c r="H26"/>
  <c r="F25"/>
  <c r="G25" s="1"/>
  <c r="D26"/>
  <c r="C53"/>
  <c r="C99" s="1"/>
  <c r="D25"/>
  <c r="D98"/>
  <c r="E53"/>
  <c r="D5"/>
  <c r="H15"/>
  <c r="H6"/>
  <c r="H20"/>
  <c r="H25" l="1"/>
  <c r="H5"/>
  <c r="G5"/>
  <c r="F53"/>
  <c r="G53" s="1"/>
  <c r="D53"/>
  <c r="E99"/>
  <c r="D99" s="1"/>
  <c r="H53" l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CW6" i="18"/>
  <c r="CW8"/>
  <c r="CW9"/>
  <c r="CW11"/>
  <c r="CW13"/>
  <c r="CW14"/>
  <c r="CW15"/>
  <c r="CW17"/>
  <c r="CW18"/>
  <c r="CW19"/>
  <c r="CW20"/>
  <c r="CW21"/>
  <c r="CW24"/>
  <c r="CW25"/>
  <c r="CW26"/>
  <c r="CW28"/>
  <c r="CW29"/>
  <c r="CW30"/>
  <c r="CW32"/>
  <c r="CW33"/>
  <c r="CW34"/>
  <c r="CW35"/>
  <c r="CW36"/>
  <c r="CW37"/>
  <c r="CW38"/>
  <c r="CW39"/>
  <c r="CW40"/>
  <c r="CW41"/>
  <c r="CW42"/>
  <c r="CW43"/>
  <c r="CW44"/>
  <c r="CW45"/>
  <c r="CW46"/>
  <c r="CW47"/>
  <c r="CW51"/>
  <c r="CW52"/>
  <c r="CW53"/>
  <c r="CW55"/>
  <c r="CW58"/>
  <c r="CW63"/>
  <c r="CW66"/>
  <c r="CW67"/>
  <c r="CW68"/>
  <c r="CW69"/>
  <c r="CW70"/>
  <c r="CW71"/>
  <c r="CW72"/>
  <c r="CW73"/>
  <c r="CW74"/>
  <c r="CW75"/>
  <c r="Z113" i="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CV6" i="18"/>
  <c r="CV8"/>
  <c r="CV9"/>
  <c r="CV11"/>
  <c r="CV13"/>
  <c r="CV14"/>
  <c r="CV15"/>
  <c r="CV17"/>
  <c r="CV18"/>
  <c r="CV19"/>
  <c r="CV20"/>
  <c r="CV21"/>
  <c r="CV24"/>
  <c r="CV25"/>
  <c r="CV26"/>
  <c r="CV28"/>
  <c r="CV29"/>
  <c r="CV30"/>
  <c r="CV32"/>
  <c r="CV33"/>
  <c r="CV34"/>
  <c r="CV35"/>
  <c r="CV36"/>
  <c r="CV37"/>
  <c r="CV38"/>
  <c r="CV39"/>
  <c r="CV40"/>
  <c r="CV41"/>
  <c r="CV42"/>
  <c r="CV43"/>
  <c r="CV44"/>
  <c r="CV45"/>
  <c r="CV46"/>
  <c r="CV47"/>
  <c r="CV51"/>
  <c r="CV52"/>
  <c r="CV53"/>
  <c r="CV55"/>
  <c r="CV58"/>
  <c r="CV63"/>
  <c r="CV66"/>
  <c r="CV67"/>
  <c r="CV68"/>
  <c r="CV69"/>
  <c r="CV70"/>
  <c r="CV71"/>
  <c r="CV72"/>
  <c r="CV73"/>
  <c r="CV74"/>
  <c r="CV75"/>
  <c r="CU6"/>
  <c r="CU8"/>
  <c r="CU9"/>
  <c r="CU11"/>
  <c r="CU13"/>
  <c r="CU14"/>
  <c r="CU15"/>
  <c r="CU17"/>
  <c r="CU18"/>
  <c r="CU19"/>
  <c r="CU20"/>
  <c r="CU21"/>
  <c r="CU24"/>
  <c r="CU25"/>
  <c r="CU26"/>
  <c r="CU28"/>
  <c r="CU29"/>
  <c r="CU30"/>
  <c r="CU32"/>
  <c r="CU33"/>
  <c r="CU34"/>
  <c r="CU35"/>
  <c r="CU36"/>
  <c r="CU37"/>
  <c r="CU38"/>
  <c r="CU39"/>
  <c r="CU40"/>
  <c r="CU41"/>
  <c r="CU42"/>
  <c r="CU43"/>
  <c r="CU44"/>
  <c r="CU45"/>
  <c r="CU46"/>
  <c r="CU47"/>
  <c r="CU51"/>
  <c r="CU52"/>
  <c r="CU53"/>
  <c r="CU55"/>
  <c r="CU58"/>
  <c r="CU63"/>
  <c r="CU66"/>
  <c r="CU67"/>
  <c r="CU68"/>
  <c r="CU69"/>
  <c r="CU70"/>
  <c r="CU71"/>
  <c r="CU72"/>
  <c r="CU73"/>
  <c r="CU74"/>
  <c r="CU75"/>
  <c r="CT6"/>
  <c r="CT8"/>
  <c r="CT9"/>
  <c r="CT11"/>
  <c r="CT13"/>
  <c r="CT14"/>
  <c r="CT15"/>
  <c r="CT17"/>
  <c r="CT18"/>
  <c r="CT19"/>
  <c r="CT20"/>
  <c r="CT21"/>
  <c r="CT24"/>
  <c r="CT25"/>
  <c r="CT26"/>
  <c r="CT28"/>
  <c r="CT29"/>
  <c r="CT30"/>
  <c r="CT32"/>
  <c r="CT33"/>
  <c r="CT34"/>
  <c r="CT35"/>
  <c r="CT36"/>
  <c r="CT37"/>
  <c r="CT38"/>
  <c r="CT39"/>
  <c r="CT40"/>
  <c r="CT41"/>
  <c r="CT42"/>
  <c r="CT43"/>
  <c r="CT44"/>
  <c r="CT45"/>
  <c r="CT46"/>
  <c r="CT47"/>
  <c r="CT51"/>
  <c r="CT52"/>
  <c r="CT53"/>
  <c r="CT55"/>
  <c r="CT58"/>
  <c r="CT63"/>
  <c r="CT66"/>
  <c r="CT67"/>
  <c r="CT68"/>
  <c r="CT69"/>
  <c r="CT70"/>
  <c r="CT71"/>
  <c r="CT72"/>
  <c r="CT73"/>
  <c r="CT74"/>
  <c r="CT75"/>
  <c r="R137" i="13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R142" i="16"/>
  <c r="P142"/>
  <c r="N142"/>
  <c r="M142"/>
  <c r="K142"/>
  <c r="J142"/>
  <c r="I142"/>
  <c r="H142"/>
  <c r="G142"/>
  <c r="F142"/>
  <c r="E142"/>
  <c r="S138"/>
  <c r="R138"/>
  <c r="P138"/>
  <c r="N138"/>
  <c r="M138"/>
  <c r="K138"/>
  <c r="J138"/>
  <c r="I138"/>
  <c r="G138"/>
  <c r="F138"/>
  <c r="E138"/>
  <c r="S135"/>
  <c r="P135"/>
  <c r="N135"/>
  <c r="K135"/>
  <c r="J135"/>
  <c r="I135"/>
  <c r="H135"/>
  <c r="G135"/>
  <c r="G115" s="1"/>
  <c r="F135"/>
  <c r="E135"/>
  <c r="C135" s="1"/>
  <c r="R133"/>
  <c r="P133"/>
  <c r="N133"/>
  <c r="J133"/>
  <c r="I133"/>
  <c r="H133"/>
  <c r="F133"/>
  <c r="E133"/>
  <c r="S132"/>
  <c r="R132"/>
  <c r="N132"/>
  <c r="O132" s="1"/>
  <c r="K132"/>
  <c r="J132"/>
  <c r="I132"/>
  <c r="H132"/>
  <c r="F132"/>
  <c r="E132"/>
  <c r="S130"/>
  <c r="R130"/>
  <c r="P130"/>
  <c r="N130"/>
  <c r="L130"/>
  <c r="K130"/>
  <c r="J130"/>
  <c r="I130"/>
  <c r="H130"/>
  <c r="F130"/>
  <c r="E130"/>
  <c r="S129"/>
  <c r="R129"/>
  <c r="P129"/>
  <c r="N129"/>
  <c r="L129"/>
  <c r="K129"/>
  <c r="J129"/>
  <c r="I129"/>
  <c r="H129"/>
  <c r="F129"/>
  <c r="E129"/>
  <c r="S128"/>
  <c r="R128"/>
  <c r="P128"/>
  <c r="L128"/>
  <c r="O128" s="1"/>
  <c r="K128"/>
  <c r="J128"/>
  <c r="I128"/>
  <c r="F128"/>
  <c r="E128"/>
  <c r="R127"/>
  <c r="P127"/>
  <c r="T127" s="1"/>
  <c r="I127"/>
  <c r="H127"/>
  <c r="E127"/>
  <c r="R126"/>
  <c r="P126"/>
  <c r="N126"/>
  <c r="L126"/>
  <c r="O126" s="1"/>
  <c r="K126"/>
  <c r="J126"/>
  <c r="I126"/>
  <c r="H126"/>
  <c r="F126"/>
  <c r="E126"/>
  <c r="R125"/>
  <c r="P125"/>
  <c r="N125"/>
  <c r="O125" s="1"/>
  <c r="K125"/>
  <c r="J125"/>
  <c r="I125"/>
  <c r="H125"/>
  <c r="F125"/>
  <c r="E125"/>
  <c r="R123"/>
  <c r="P123"/>
  <c r="N123"/>
  <c r="M123"/>
  <c r="K123"/>
  <c r="I123"/>
  <c r="F123"/>
  <c r="E123"/>
  <c r="S122"/>
  <c r="R122"/>
  <c r="P122"/>
  <c r="N122"/>
  <c r="M122"/>
  <c r="L122"/>
  <c r="L115" s="1"/>
  <c r="K122"/>
  <c r="J122"/>
  <c r="I122"/>
  <c r="F122"/>
  <c r="E122"/>
  <c r="S121"/>
  <c r="R121"/>
  <c r="P121"/>
  <c r="J121"/>
  <c r="I121"/>
  <c r="H121"/>
  <c r="F121"/>
  <c r="E121"/>
  <c r="S120"/>
  <c r="R120"/>
  <c r="P120"/>
  <c r="N120"/>
  <c r="J120"/>
  <c r="I120"/>
  <c r="H120"/>
  <c r="F120"/>
  <c r="E120"/>
  <c r="P119"/>
  <c r="N119"/>
  <c r="O119" s="1"/>
  <c r="I119"/>
  <c r="H119"/>
  <c r="F119"/>
  <c r="E119"/>
  <c r="S118"/>
  <c r="R118"/>
  <c r="P118"/>
  <c r="N118"/>
  <c r="O118" s="1"/>
  <c r="J118"/>
  <c r="I118"/>
  <c r="H118"/>
  <c r="F118"/>
  <c r="E118"/>
  <c r="S117"/>
  <c r="P117"/>
  <c r="N117"/>
  <c r="M117"/>
  <c r="M115" s="1"/>
  <c r="K117"/>
  <c r="J117"/>
  <c r="I117"/>
  <c r="H117"/>
  <c r="F117"/>
  <c r="E117"/>
  <c r="S116"/>
  <c r="R116"/>
  <c r="P116"/>
  <c r="N116"/>
  <c r="K116"/>
  <c r="K115" s="1"/>
  <c r="J116"/>
  <c r="I116"/>
  <c r="H116"/>
  <c r="F116"/>
  <c r="E116"/>
  <c r="N114"/>
  <c r="J114"/>
  <c r="J107" s="1"/>
  <c r="I114"/>
  <c r="I107" s="1"/>
  <c r="H114"/>
  <c r="H107" s="1"/>
  <c r="E114"/>
  <c r="E107" s="1"/>
  <c r="N112"/>
  <c r="Q110"/>
  <c r="Q107" s="1"/>
  <c r="N110"/>
  <c r="M110"/>
  <c r="N109"/>
  <c r="N108"/>
  <c r="M108"/>
  <c r="M107" s="1"/>
  <c r="S106"/>
  <c r="R106"/>
  <c r="P106"/>
  <c r="N106"/>
  <c r="L106"/>
  <c r="K106"/>
  <c r="J106"/>
  <c r="I106"/>
  <c r="H106"/>
  <c r="F106"/>
  <c r="E106"/>
  <c r="S105"/>
  <c r="R105"/>
  <c r="P105"/>
  <c r="N105"/>
  <c r="L105"/>
  <c r="K105"/>
  <c r="J105"/>
  <c r="I105"/>
  <c r="H105"/>
  <c r="F105"/>
  <c r="E105"/>
  <c r="S104"/>
  <c r="R104"/>
  <c r="P104"/>
  <c r="N104"/>
  <c r="L104"/>
  <c r="K104"/>
  <c r="J104"/>
  <c r="I104"/>
  <c r="H104"/>
  <c r="F104"/>
  <c r="E104"/>
  <c r="S103"/>
  <c r="R103"/>
  <c r="P103"/>
  <c r="N103"/>
  <c r="L103"/>
  <c r="O103" s="1"/>
  <c r="K103"/>
  <c r="J103"/>
  <c r="I103"/>
  <c r="H103"/>
  <c r="F103"/>
  <c r="E103"/>
  <c r="S102"/>
  <c r="R102"/>
  <c r="P102"/>
  <c r="N102"/>
  <c r="L102"/>
  <c r="K102"/>
  <c r="J102"/>
  <c r="I102"/>
  <c r="H102"/>
  <c r="F102"/>
  <c r="E102"/>
  <c r="R101"/>
  <c r="P101"/>
  <c r="N101"/>
  <c r="O101" s="1"/>
  <c r="J101"/>
  <c r="I101"/>
  <c r="H101"/>
  <c r="F101"/>
  <c r="E101"/>
  <c r="S100"/>
  <c r="R100"/>
  <c r="P100"/>
  <c r="N100"/>
  <c r="O100" s="1"/>
  <c r="K100"/>
  <c r="J100"/>
  <c r="I100"/>
  <c r="H100"/>
  <c r="F100"/>
  <c r="E100"/>
  <c r="S99"/>
  <c r="R99"/>
  <c r="N99"/>
  <c r="L99"/>
  <c r="L94" s="1"/>
  <c r="K99"/>
  <c r="J99"/>
  <c r="I99"/>
  <c r="H99"/>
  <c r="F99"/>
  <c r="E99"/>
  <c r="S98"/>
  <c r="R98"/>
  <c r="P98"/>
  <c r="N98"/>
  <c r="O98" s="1"/>
  <c r="K98"/>
  <c r="J98"/>
  <c r="I98"/>
  <c r="H98"/>
  <c r="F98"/>
  <c r="E98"/>
  <c r="S97"/>
  <c r="R97"/>
  <c r="P97"/>
  <c r="N97"/>
  <c r="O97" s="1"/>
  <c r="J97"/>
  <c r="I97"/>
  <c r="H97"/>
  <c r="G97"/>
  <c r="F97"/>
  <c r="E97"/>
  <c r="S96"/>
  <c r="R96"/>
  <c r="P96"/>
  <c r="P94" s="1"/>
  <c r="N96"/>
  <c r="K96"/>
  <c r="I96"/>
  <c r="H96"/>
  <c r="G96"/>
  <c r="G94" s="1"/>
  <c r="F96"/>
  <c r="E96"/>
  <c r="N95"/>
  <c r="K95"/>
  <c r="I95"/>
  <c r="H95"/>
  <c r="F95"/>
  <c r="E95"/>
  <c r="S93"/>
  <c r="R93"/>
  <c r="P93"/>
  <c r="N93"/>
  <c r="L93"/>
  <c r="K93"/>
  <c r="J93"/>
  <c r="I93"/>
  <c r="H93"/>
  <c r="G93"/>
  <c r="F93"/>
  <c r="E93"/>
  <c r="D93"/>
  <c r="R91"/>
  <c r="P91"/>
  <c r="N91"/>
  <c r="L91"/>
  <c r="K91"/>
  <c r="J91"/>
  <c r="I91"/>
  <c r="H91"/>
  <c r="G91"/>
  <c r="F91"/>
  <c r="E91"/>
  <c r="R90"/>
  <c r="N90"/>
  <c r="L90"/>
  <c r="K90"/>
  <c r="J90"/>
  <c r="I90"/>
  <c r="H90"/>
  <c r="G90"/>
  <c r="F90"/>
  <c r="E90"/>
  <c r="S89"/>
  <c r="S88" s="1"/>
  <c r="R89"/>
  <c r="P89"/>
  <c r="N89"/>
  <c r="L89"/>
  <c r="K89"/>
  <c r="J89"/>
  <c r="I89"/>
  <c r="H89"/>
  <c r="G89"/>
  <c r="F89"/>
  <c r="E89"/>
  <c r="C87"/>
  <c r="T87" s="1"/>
  <c r="S86"/>
  <c r="R86"/>
  <c r="P86"/>
  <c r="N86"/>
  <c r="L86"/>
  <c r="J86"/>
  <c r="I86"/>
  <c r="H86"/>
  <c r="G86"/>
  <c r="F86"/>
  <c r="E86"/>
  <c r="D86"/>
  <c r="S85"/>
  <c r="R85"/>
  <c r="P85"/>
  <c r="N85"/>
  <c r="L85"/>
  <c r="J85"/>
  <c r="I85"/>
  <c r="H85"/>
  <c r="G85"/>
  <c r="F85"/>
  <c r="E85"/>
  <c r="D85"/>
  <c r="P84"/>
  <c r="T84" s="1"/>
  <c r="K83"/>
  <c r="T83" s="1"/>
  <c r="S82"/>
  <c r="S79" s="1"/>
  <c r="R82"/>
  <c r="R79" s="1"/>
  <c r="P82"/>
  <c r="P79" s="1"/>
  <c r="N82"/>
  <c r="N79" s="1"/>
  <c r="L82"/>
  <c r="J82"/>
  <c r="J79" s="1"/>
  <c r="I82"/>
  <c r="I79" s="1"/>
  <c r="H82"/>
  <c r="H79" s="1"/>
  <c r="G82"/>
  <c r="G79" s="1"/>
  <c r="F82"/>
  <c r="F79" s="1"/>
  <c r="E82"/>
  <c r="E79" s="1"/>
  <c r="D82"/>
  <c r="D79" s="1"/>
  <c r="K81"/>
  <c r="K79" s="1"/>
  <c r="C81"/>
  <c r="C80"/>
  <c r="T80" s="1"/>
  <c r="S78"/>
  <c r="R78"/>
  <c r="P78"/>
  <c r="N78"/>
  <c r="L78"/>
  <c r="K78"/>
  <c r="I78"/>
  <c r="H78"/>
  <c r="G78"/>
  <c r="F78"/>
  <c r="E78"/>
  <c r="S77"/>
  <c r="Q77"/>
  <c r="I77"/>
  <c r="H77"/>
  <c r="G77"/>
  <c r="T77" s="1"/>
  <c r="E77"/>
  <c r="S76"/>
  <c r="R76"/>
  <c r="P76"/>
  <c r="N76"/>
  <c r="L76"/>
  <c r="K76"/>
  <c r="J76"/>
  <c r="I76"/>
  <c r="H76"/>
  <c r="G76"/>
  <c r="F76"/>
  <c r="E76"/>
  <c r="S75"/>
  <c r="R75"/>
  <c r="P75"/>
  <c r="N75"/>
  <c r="L75"/>
  <c r="K75"/>
  <c r="J75"/>
  <c r="I75"/>
  <c r="H75"/>
  <c r="G75"/>
  <c r="F75"/>
  <c r="E75"/>
  <c r="S74"/>
  <c r="R74"/>
  <c r="P74"/>
  <c r="N74"/>
  <c r="L74"/>
  <c r="J74"/>
  <c r="I74"/>
  <c r="H74"/>
  <c r="G74"/>
  <c r="F74"/>
  <c r="E74"/>
  <c r="S73"/>
  <c r="R73"/>
  <c r="P73"/>
  <c r="N73"/>
  <c r="L73"/>
  <c r="J73"/>
  <c r="I73"/>
  <c r="H73"/>
  <c r="G73"/>
  <c r="F73"/>
  <c r="E73"/>
  <c r="S72"/>
  <c r="R72"/>
  <c r="P72"/>
  <c r="N72"/>
  <c r="L72"/>
  <c r="J72"/>
  <c r="I72"/>
  <c r="H72"/>
  <c r="F72"/>
  <c r="E72"/>
  <c r="S71"/>
  <c r="R71"/>
  <c r="P71"/>
  <c r="N71"/>
  <c r="L71"/>
  <c r="K71"/>
  <c r="J71"/>
  <c r="I71"/>
  <c r="H71"/>
  <c r="G71"/>
  <c r="F71"/>
  <c r="E71"/>
  <c r="S70"/>
  <c r="R70"/>
  <c r="P70"/>
  <c r="N70"/>
  <c r="L70"/>
  <c r="K70"/>
  <c r="J70"/>
  <c r="I70"/>
  <c r="H70"/>
  <c r="G70"/>
  <c r="F70"/>
  <c r="E70"/>
  <c r="S69"/>
  <c r="R69"/>
  <c r="P69"/>
  <c r="N69"/>
  <c r="L69"/>
  <c r="K69"/>
  <c r="J69"/>
  <c r="I69"/>
  <c r="H69"/>
  <c r="G69"/>
  <c r="F69"/>
  <c r="E69"/>
  <c r="S68"/>
  <c r="R68"/>
  <c r="P68"/>
  <c r="N68"/>
  <c r="L68"/>
  <c r="K68"/>
  <c r="J68"/>
  <c r="I68"/>
  <c r="H68"/>
  <c r="G68"/>
  <c r="F68"/>
  <c r="E68"/>
  <c r="S67"/>
  <c r="R67"/>
  <c r="P67"/>
  <c r="N67"/>
  <c r="O67" s="1"/>
  <c r="K67"/>
  <c r="I67"/>
  <c r="F67"/>
  <c r="E67"/>
  <c r="L66"/>
  <c r="O66" s="1"/>
  <c r="I66"/>
  <c r="F66"/>
  <c r="E66"/>
  <c r="S65"/>
  <c r="R65"/>
  <c r="N65"/>
  <c r="L65"/>
  <c r="K65"/>
  <c r="J65"/>
  <c r="I65"/>
  <c r="H65"/>
  <c r="G65"/>
  <c r="F65"/>
  <c r="E65"/>
  <c r="S64"/>
  <c r="R64"/>
  <c r="P64"/>
  <c r="N64"/>
  <c r="L64"/>
  <c r="K64"/>
  <c r="J64"/>
  <c r="I64"/>
  <c r="H64"/>
  <c r="G64"/>
  <c r="F64"/>
  <c r="E64"/>
  <c r="S63"/>
  <c r="R63"/>
  <c r="P63"/>
  <c r="N63"/>
  <c r="L63"/>
  <c r="K63"/>
  <c r="J63"/>
  <c r="I63"/>
  <c r="H63"/>
  <c r="G63"/>
  <c r="F63"/>
  <c r="E63"/>
  <c r="S62"/>
  <c r="R62"/>
  <c r="P62"/>
  <c r="N62"/>
  <c r="L62"/>
  <c r="K62"/>
  <c r="J62"/>
  <c r="I62"/>
  <c r="H62"/>
  <c r="G62"/>
  <c r="F62"/>
  <c r="E62"/>
  <c r="S61"/>
  <c r="R61"/>
  <c r="P61"/>
  <c r="K61"/>
  <c r="J61"/>
  <c r="I61"/>
  <c r="H61"/>
  <c r="G61"/>
  <c r="F61"/>
  <c r="E61"/>
  <c r="S60"/>
  <c r="R60"/>
  <c r="P60"/>
  <c r="N60"/>
  <c r="L60"/>
  <c r="K60"/>
  <c r="J60"/>
  <c r="I60"/>
  <c r="H60"/>
  <c r="G60"/>
  <c r="F60"/>
  <c r="E60"/>
  <c r="S59"/>
  <c r="R59"/>
  <c r="N59"/>
  <c r="L59"/>
  <c r="K59"/>
  <c r="I59"/>
  <c r="H59"/>
  <c r="G59"/>
  <c r="F59"/>
  <c r="E59"/>
  <c r="R58"/>
  <c r="P58"/>
  <c r="K58"/>
  <c r="I58"/>
  <c r="F58"/>
  <c r="E58"/>
  <c r="S57"/>
  <c r="R57"/>
  <c r="P57"/>
  <c r="N57"/>
  <c r="O57" s="1"/>
  <c r="J57"/>
  <c r="I57"/>
  <c r="H57"/>
  <c r="F57"/>
  <c r="E57"/>
  <c r="S56"/>
  <c r="R56"/>
  <c r="P56"/>
  <c r="N56"/>
  <c r="L56"/>
  <c r="K56"/>
  <c r="J56"/>
  <c r="I56"/>
  <c r="H56"/>
  <c r="G56"/>
  <c r="F56"/>
  <c r="E56"/>
  <c r="S55"/>
  <c r="R55"/>
  <c r="P55"/>
  <c r="N55"/>
  <c r="L55"/>
  <c r="K55"/>
  <c r="J55"/>
  <c r="I55"/>
  <c r="H55"/>
  <c r="G55"/>
  <c r="F55"/>
  <c r="E55"/>
  <c r="A55"/>
  <c r="S54"/>
  <c r="R54"/>
  <c r="P54"/>
  <c r="N54"/>
  <c r="O54" s="1"/>
  <c r="K54"/>
  <c r="J54"/>
  <c r="I54"/>
  <c r="H54"/>
  <c r="G54"/>
  <c r="F54"/>
  <c r="E54"/>
  <c r="S53"/>
  <c r="R53"/>
  <c r="P53"/>
  <c r="N53"/>
  <c r="L53"/>
  <c r="K53"/>
  <c r="J53"/>
  <c r="I53"/>
  <c r="H53"/>
  <c r="G53"/>
  <c r="F53"/>
  <c r="E53"/>
  <c r="S52"/>
  <c r="R52"/>
  <c r="P52"/>
  <c r="N52"/>
  <c r="L52"/>
  <c r="K52"/>
  <c r="J52"/>
  <c r="I52"/>
  <c r="H52"/>
  <c r="G52"/>
  <c r="F52"/>
  <c r="E52"/>
  <c r="S50"/>
  <c r="R50"/>
  <c r="P50"/>
  <c r="N50"/>
  <c r="L50"/>
  <c r="K50"/>
  <c r="J50"/>
  <c r="I50"/>
  <c r="H50"/>
  <c r="G50"/>
  <c r="F50"/>
  <c r="E50"/>
  <c r="S49"/>
  <c r="R49"/>
  <c r="P49"/>
  <c r="N49"/>
  <c r="L49"/>
  <c r="K49"/>
  <c r="J49"/>
  <c r="I49"/>
  <c r="H49"/>
  <c r="G49"/>
  <c r="F49"/>
  <c r="E49"/>
  <c r="S48"/>
  <c r="R48"/>
  <c r="P48"/>
  <c r="N48"/>
  <c r="O48" s="1"/>
  <c r="K48"/>
  <c r="J48"/>
  <c r="I48"/>
  <c r="H48"/>
  <c r="G48"/>
  <c r="F48"/>
  <c r="E48"/>
  <c r="S47"/>
  <c r="R47"/>
  <c r="K47"/>
  <c r="J47"/>
  <c r="I47"/>
  <c r="H47"/>
  <c r="G47"/>
  <c r="F47"/>
  <c r="E47"/>
  <c r="S46"/>
  <c r="R46"/>
  <c r="P46"/>
  <c r="N46"/>
  <c r="L46"/>
  <c r="K46"/>
  <c r="J46"/>
  <c r="I46"/>
  <c r="H46"/>
  <c r="G46"/>
  <c r="F46"/>
  <c r="E46"/>
  <c r="S45"/>
  <c r="R45"/>
  <c r="P45"/>
  <c r="J45"/>
  <c r="I45"/>
  <c r="H45"/>
  <c r="G45"/>
  <c r="E45"/>
  <c r="S44"/>
  <c r="R44"/>
  <c r="P44"/>
  <c r="N44"/>
  <c r="L44"/>
  <c r="K44"/>
  <c r="J44"/>
  <c r="I44"/>
  <c r="H44"/>
  <c r="G44"/>
  <c r="F44"/>
  <c r="E44"/>
  <c r="S43"/>
  <c r="S39" s="1"/>
  <c r="R43"/>
  <c r="P43"/>
  <c r="N43"/>
  <c r="O43" s="1"/>
  <c r="K43"/>
  <c r="J43"/>
  <c r="I43"/>
  <c r="H43"/>
  <c r="F43"/>
  <c r="E43"/>
  <c r="Q42"/>
  <c r="Q39" s="1"/>
  <c r="P42"/>
  <c r="N42"/>
  <c r="M42"/>
  <c r="M39" s="1"/>
  <c r="L42"/>
  <c r="C42"/>
  <c r="R41"/>
  <c r="N41"/>
  <c r="O41" s="1"/>
  <c r="J41"/>
  <c r="I41"/>
  <c r="H41"/>
  <c r="G41"/>
  <c r="F41"/>
  <c r="E41"/>
  <c r="S40"/>
  <c r="R40"/>
  <c r="P40"/>
  <c r="N40"/>
  <c r="K40"/>
  <c r="J40"/>
  <c r="I40"/>
  <c r="H40"/>
  <c r="F40"/>
  <c r="E40"/>
  <c r="R38"/>
  <c r="P38"/>
  <c r="M38"/>
  <c r="O38" s="1"/>
  <c r="K38"/>
  <c r="I38"/>
  <c r="G38"/>
  <c r="F38"/>
  <c r="T38" s="1"/>
  <c r="E38"/>
  <c r="S37"/>
  <c r="R37"/>
  <c r="P37"/>
  <c r="N37"/>
  <c r="L37"/>
  <c r="K37"/>
  <c r="J37"/>
  <c r="I37"/>
  <c r="H37"/>
  <c r="G37"/>
  <c r="F37"/>
  <c r="E37"/>
  <c r="N36"/>
  <c r="M36"/>
  <c r="K36"/>
  <c r="G36"/>
  <c r="S35"/>
  <c r="R35"/>
  <c r="P35"/>
  <c r="N35"/>
  <c r="L35"/>
  <c r="K35"/>
  <c r="J35"/>
  <c r="I35"/>
  <c r="H35"/>
  <c r="G35"/>
  <c r="F35"/>
  <c r="E35"/>
  <c r="S34"/>
  <c r="R34"/>
  <c r="P34"/>
  <c r="N34"/>
  <c r="O34" s="1"/>
  <c r="K34"/>
  <c r="J34"/>
  <c r="I34"/>
  <c r="H34"/>
  <c r="G34"/>
  <c r="F34"/>
  <c r="E34"/>
  <c r="S33"/>
  <c r="R33"/>
  <c r="P33"/>
  <c r="N33"/>
  <c r="O33" s="1"/>
  <c r="K33"/>
  <c r="J33"/>
  <c r="I33"/>
  <c r="H33"/>
  <c r="G33"/>
  <c r="F33"/>
  <c r="E33"/>
  <c r="S32"/>
  <c r="R32"/>
  <c r="P32"/>
  <c r="K32"/>
  <c r="J32"/>
  <c r="I32"/>
  <c r="H32"/>
  <c r="G32"/>
  <c r="F32"/>
  <c r="E32"/>
  <c r="N31"/>
  <c r="L31"/>
  <c r="S30"/>
  <c r="R30"/>
  <c r="P30"/>
  <c r="N30"/>
  <c r="O30" s="1"/>
  <c r="K30"/>
  <c r="J30"/>
  <c r="I30"/>
  <c r="H30"/>
  <c r="G30"/>
  <c r="F30"/>
  <c r="E30"/>
  <c r="S29"/>
  <c r="R29"/>
  <c r="Q29"/>
  <c r="O29"/>
  <c r="K29"/>
  <c r="J29"/>
  <c r="I29"/>
  <c r="G29"/>
  <c r="E29"/>
  <c r="S28"/>
  <c r="R28"/>
  <c r="Q28"/>
  <c r="P28"/>
  <c r="N28"/>
  <c r="J28"/>
  <c r="I28"/>
  <c r="H28"/>
  <c r="G28"/>
  <c r="F28"/>
  <c r="E28"/>
  <c r="S27"/>
  <c r="R27"/>
  <c r="Q27"/>
  <c r="M27"/>
  <c r="O27" s="1"/>
  <c r="K27"/>
  <c r="J27"/>
  <c r="I27"/>
  <c r="H27"/>
  <c r="G27"/>
  <c r="F27"/>
  <c r="E27"/>
  <c r="S26"/>
  <c r="R26"/>
  <c r="Q26"/>
  <c r="M26"/>
  <c r="O26" s="1"/>
  <c r="K26"/>
  <c r="J26"/>
  <c r="I26"/>
  <c r="H26"/>
  <c r="G26"/>
  <c r="F26"/>
  <c r="E26"/>
  <c r="S25"/>
  <c r="R25"/>
  <c r="N25"/>
  <c r="O25" s="1"/>
  <c r="K25"/>
  <c r="J25"/>
  <c r="I25"/>
  <c r="H25"/>
  <c r="G25"/>
  <c r="E25"/>
  <c r="S24"/>
  <c r="R24"/>
  <c r="P24"/>
  <c r="N24"/>
  <c r="M24"/>
  <c r="L24"/>
  <c r="K24"/>
  <c r="J24"/>
  <c r="I24"/>
  <c r="H24"/>
  <c r="G24"/>
  <c r="F24"/>
  <c r="E24"/>
  <c r="S22"/>
  <c r="R22"/>
  <c r="P22"/>
  <c r="N22"/>
  <c r="K22"/>
  <c r="J22"/>
  <c r="I22"/>
  <c r="H22"/>
  <c r="G22"/>
  <c r="F22"/>
  <c r="E22"/>
  <c r="D22"/>
  <c r="D18" s="1"/>
  <c r="S21"/>
  <c r="N21"/>
  <c r="O21" s="1"/>
  <c r="K21"/>
  <c r="J21"/>
  <c r="I21"/>
  <c r="H21"/>
  <c r="G21"/>
  <c r="F21"/>
  <c r="E21"/>
  <c r="S20"/>
  <c r="N20"/>
  <c r="O20" s="1"/>
  <c r="J20"/>
  <c r="I20"/>
  <c r="H20"/>
  <c r="G20"/>
  <c r="F20"/>
  <c r="E20"/>
  <c r="S19"/>
  <c r="S18" s="1"/>
  <c r="N19"/>
  <c r="K19"/>
  <c r="J19"/>
  <c r="I19"/>
  <c r="H19"/>
  <c r="G19"/>
  <c r="F19"/>
  <c r="E19"/>
  <c r="S17"/>
  <c r="R17"/>
  <c r="P17"/>
  <c r="N17"/>
  <c r="M17"/>
  <c r="M15" s="1"/>
  <c r="L17"/>
  <c r="K17"/>
  <c r="K15" s="1"/>
  <c r="J17"/>
  <c r="I17"/>
  <c r="H17"/>
  <c r="G17"/>
  <c r="E17"/>
  <c r="D17"/>
  <c r="R16"/>
  <c r="Q16"/>
  <c r="Q15" s="1"/>
  <c r="P16"/>
  <c r="N16"/>
  <c r="J16"/>
  <c r="I16"/>
  <c r="H16"/>
  <c r="G16"/>
  <c r="E16"/>
  <c r="D16"/>
  <c r="N14"/>
  <c r="M14"/>
  <c r="C14"/>
  <c r="K13"/>
  <c r="I13"/>
  <c r="F13"/>
  <c r="E13"/>
  <c r="N11"/>
  <c r="L11"/>
  <c r="K11"/>
  <c r="J11"/>
  <c r="I11"/>
  <c r="H11"/>
  <c r="F11"/>
  <c r="E11"/>
  <c r="D11"/>
  <c r="S10"/>
  <c r="P10"/>
  <c r="N10"/>
  <c r="L10"/>
  <c r="K10"/>
  <c r="J10"/>
  <c r="I10"/>
  <c r="H10"/>
  <c r="G10"/>
  <c r="G8" s="1"/>
  <c r="F10"/>
  <c r="E10"/>
  <c r="D10"/>
  <c r="S9"/>
  <c r="L9"/>
  <c r="O9" s="1"/>
  <c r="K9"/>
  <c r="J9"/>
  <c r="I9"/>
  <c r="H9"/>
  <c r="F9"/>
  <c r="E9"/>
  <c r="Q8"/>
  <c r="Q6" s="1"/>
  <c r="M8"/>
  <c r="M6" s="1"/>
  <c r="R7"/>
  <c r="N7"/>
  <c r="K7"/>
  <c r="I7"/>
  <c r="F7"/>
  <c r="E7"/>
  <c r="D142"/>
  <c r="C142"/>
  <c r="S142"/>
  <c r="D138"/>
  <c r="T32" l="1"/>
  <c r="O104"/>
  <c r="S12"/>
  <c r="S23"/>
  <c r="T61"/>
  <c r="T43"/>
  <c r="T81"/>
  <c r="T121"/>
  <c r="T97"/>
  <c r="T101"/>
  <c r="T118"/>
  <c r="T128"/>
  <c r="T98"/>
  <c r="T119"/>
  <c r="O105"/>
  <c r="T100"/>
  <c r="T41"/>
  <c r="T45"/>
  <c r="T20"/>
  <c r="T21"/>
  <c r="T126"/>
  <c r="T25"/>
  <c r="T27"/>
  <c r="T30"/>
  <c r="T48"/>
  <c r="T58"/>
  <c r="T29"/>
  <c r="T47"/>
  <c r="T57"/>
  <c r="T125"/>
  <c r="P88"/>
  <c r="H94"/>
  <c r="J94"/>
  <c r="R115"/>
  <c r="R114" s="1"/>
  <c r="R113" s="1"/>
  <c r="R112" s="1"/>
  <c r="R111" s="1"/>
  <c r="R110" s="1"/>
  <c r="R109" s="1"/>
  <c r="R108" s="1"/>
  <c r="O106"/>
  <c r="O62"/>
  <c r="O63"/>
  <c r="H15"/>
  <c r="I18"/>
  <c r="O35"/>
  <c r="O37"/>
  <c r="O52"/>
  <c r="O53"/>
  <c r="O72"/>
  <c r="O64"/>
  <c r="O65"/>
  <c r="T65" s="1"/>
  <c r="D66"/>
  <c r="O73"/>
  <c r="T73" s="1"/>
  <c r="D67"/>
  <c r="C67" s="1"/>
  <c r="T67" s="1"/>
  <c r="R15"/>
  <c r="F18"/>
  <c r="J18"/>
  <c r="J115"/>
  <c r="P115"/>
  <c r="P114" s="1"/>
  <c r="P113" s="1"/>
  <c r="O129"/>
  <c r="T129" s="1"/>
  <c r="O130"/>
  <c r="T130" s="1"/>
  <c r="O133"/>
  <c r="T133" s="1"/>
  <c r="O135"/>
  <c r="I15"/>
  <c r="F23"/>
  <c r="J23"/>
  <c r="N23"/>
  <c r="O36"/>
  <c r="T36" s="1"/>
  <c r="I39"/>
  <c r="P39"/>
  <c r="K94"/>
  <c r="I115"/>
  <c r="O74"/>
  <c r="O75"/>
  <c r="O76"/>
  <c r="T76" s="1"/>
  <c r="G88"/>
  <c r="K88"/>
  <c r="R88"/>
  <c r="R94"/>
  <c r="D105"/>
  <c r="C105" s="1"/>
  <c r="T105" s="1"/>
  <c r="D106"/>
  <c r="C106" s="1"/>
  <c r="T106" s="1"/>
  <c r="H115"/>
  <c r="D75"/>
  <c r="C75" s="1"/>
  <c r="D104"/>
  <c r="C104" s="1"/>
  <c r="T104" s="1"/>
  <c r="O91"/>
  <c r="T91" s="1"/>
  <c r="D35"/>
  <c r="C35" s="1"/>
  <c r="R39"/>
  <c r="E88"/>
  <c r="I88"/>
  <c r="N88"/>
  <c r="S94"/>
  <c r="I94"/>
  <c r="O10"/>
  <c r="O11"/>
  <c r="G18"/>
  <c r="K18"/>
  <c r="F88"/>
  <c r="J88"/>
  <c r="H88"/>
  <c r="O14"/>
  <c r="T14" s="1"/>
  <c r="G15"/>
  <c r="K23"/>
  <c r="D52"/>
  <c r="C52" s="1"/>
  <c r="T52" s="1"/>
  <c r="F94"/>
  <c r="P15"/>
  <c r="O108"/>
  <c r="O78"/>
  <c r="T78" s="1"/>
  <c r="O110"/>
  <c r="O90"/>
  <c r="T90" s="1"/>
  <c r="O99"/>
  <c r="O55"/>
  <c r="O56"/>
  <c r="N115"/>
  <c r="H39"/>
  <c r="O93"/>
  <c r="S115"/>
  <c r="S114" s="1"/>
  <c r="S113" s="1"/>
  <c r="S112" s="1"/>
  <c r="S111" s="1"/>
  <c r="S110" s="1"/>
  <c r="S109" s="1"/>
  <c r="S108" s="1"/>
  <c r="S107" s="1"/>
  <c r="O16"/>
  <c r="N15"/>
  <c r="L15"/>
  <c r="O17"/>
  <c r="L23"/>
  <c r="O24"/>
  <c r="O22"/>
  <c r="H23"/>
  <c r="R23"/>
  <c r="O28"/>
  <c r="F39"/>
  <c r="K39"/>
  <c r="O44"/>
  <c r="O59"/>
  <c r="T59" s="1"/>
  <c r="O68"/>
  <c r="T68" s="1"/>
  <c r="O69"/>
  <c r="O70"/>
  <c r="T70" s="1"/>
  <c r="O71"/>
  <c r="O102"/>
  <c r="O123"/>
  <c r="T123" s="1"/>
  <c r="L79"/>
  <c r="O79" s="1"/>
  <c r="O82"/>
  <c r="O95"/>
  <c r="T95" s="1"/>
  <c r="N94"/>
  <c r="F115"/>
  <c r="J15"/>
  <c r="G23"/>
  <c r="P23"/>
  <c r="Q23"/>
  <c r="Q12" s="1"/>
  <c r="J39"/>
  <c r="G39"/>
  <c r="D55"/>
  <c r="C55" s="1"/>
  <c r="D56"/>
  <c r="O60"/>
  <c r="O109"/>
  <c r="L39"/>
  <c r="O42"/>
  <c r="T42" s="1"/>
  <c r="L88"/>
  <c r="O89"/>
  <c r="T89" s="1"/>
  <c r="O96"/>
  <c r="O112"/>
  <c r="O117"/>
  <c r="T117" s="1"/>
  <c r="O120"/>
  <c r="T120" s="1"/>
  <c r="N18"/>
  <c r="O18" s="1"/>
  <c r="O19"/>
  <c r="T19" s="1"/>
  <c r="O40"/>
  <c r="T40" s="1"/>
  <c r="N39"/>
  <c r="O114"/>
  <c r="N111"/>
  <c r="O111" s="1"/>
  <c r="O116"/>
  <c r="T116" s="1"/>
  <c r="O7"/>
  <c r="G6"/>
  <c r="H18"/>
  <c r="I23"/>
  <c r="M23"/>
  <c r="M12" s="1"/>
  <c r="D28"/>
  <c r="C28" s="1"/>
  <c r="O31"/>
  <c r="T31" s="1"/>
  <c r="D44"/>
  <c r="O46"/>
  <c r="T46" s="1"/>
  <c r="O49"/>
  <c r="T49" s="1"/>
  <c r="O50"/>
  <c r="T50" s="1"/>
  <c r="O85"/>
  <c r="O86"/>
  <c r="O122"/>
  <c r="T122" s="1"/>
  <c r="D33"/>
  <c r="C33" s="1"/>
  <c r="T33" s="1"/>
  <c r="D34"/>
  <c r="C34" s="1"/>
  <c r="T34" s="1"/>
  <c r="D37"/>
  <c r="C37" s="1"/>
  <c r="D132"/>
  <c r="C132" s="1"/>
  <c r="D71"/>
  <c r="C71" s="1"/>
  <c r="D102"/>
  <c r="C102" s="1"/>
  <c r="D103"/>
  <c r="C103" s="1"/>
  <c r="T103" s="1"/>
  <c r="D54"/>
  <c r="C54" s="1"/>
  <c r="T54" s="1"/>
  <c r="D64"/>
  <c r="C64" s="1"/>
  <c r="D96"/>
  <c r="D99"/>
  <c r="L8"/>
  <c r="D24"/>
  <c r="C24" s="1"/>
  <c r="D26"/>
  <c r="C26" s="1"/>
  <c r="T26" s="1"/>
  <c r="D53"/>
  <c r="C53" s="1"/>
  <c r="T53" s="1"/>
  <c r="D60"/>
  <c r="C60" s="1"/>
  <c r="D62"/>
  <c r="C62" s="1"/>
  <c r="T62" s="1"/>
  <c r="D63"/>
  <c r="C63" s="1"/>
  <c r="T63" s="1"/>
  <c r="D69"/>
  <c r="C69" s="1"/>
  <c r="T69" s="1"/>
  <c r="D100"/>
  <c r="D72"/>
  <c r="C72" s="1"/>
  <c r="T72" s="1"/>
  <c r="C93"/>
  <c r="D74"/>
  <c r="C74" s="1"/>
  <c r="T74" s="1"/>
  <c r="J8"/>
  <c r="J6" s="1"/>
  <c r="F8"/>
  <c r="F6" s="1"/>
  <c r="E15"/>
  <c r="E115"/>
  <c r="T135"/>
  <c r="T9"/>
  <c r="H8"/>
  <c r="H6" s="1"/>
  <c r="R8"/>
  <c r="R6" s="1"/>
  <c r="S8"/>
  <c r="S6" s="1"/>
  <c r="K8"/>
  <c r="K6" s="1"/>
  <c r="P8"/>
  <c r="P6" s="1"/>
  <c r="T13"/>
  <c r="E18"/>
  <c r="G89" i="13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8" i="16"/>
  <c r="E6" s="1"/>
  <c r="I8"/>
  <c r="I6" s="1"/>
  <c r="N8"/>
  <c r="N6" s="1"/>
  <c r="D15"/>
  <c r="E23"/>
  <c r="C82"/>
  <c r="D88"/>
  <c r="C66"/>
  <c r="T66" s="1"/>
  <c r="D8"/>
  <c r="E39"/>
  <c r="O138"/>
  <c r="L138"/>
  <c r="L142"/>
  <c r="C17"/>
  <c r="C56"/>
  <c r="C86"/>
  <c r="C16"/>
  <c r="T16" s="1"/>
  <c r="C22"/>
  <c r="C18" s="1"/>
  <c r="C85"/>
  <c r="E94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T99" i="16" l="1"/>
  <c r="T82"/>
  <c r="T24"/>
  <c r="T71"/>
  <c r="T93"/>
  <c r="D39"/>
  <c r="T35"/>
  <c r="P112"/>
  <c r="P111" s="1"/>
  <c r="P110" s="1"/>
  <c r="P109" s="1"/>
  <c r="P108" s="1"/>
  <c r="T113"/>
  <c r="T109"/>
  <c r="T114"/>
  <c r="T110"/>
  <c r="T111"/>
  <c r="T112"/>
  <c r="T28"/>
  <c r="S5"/>
  <c r="S136" s="1"/>
  <c r="T55"/>
  <c r="T60"/>
  <c r="R12"/>
  <c r="R5" s="1"/>
  <c r="R136" s="1"/>
  <c r="T86"/>
  <c r="T85"/>
  <c r="Q5"/>
  <c r="Q136" s="1"/>
  <c r="N107"/>
  <c r="O107" s="1"/>
  <c r="M5"/>
  <c r="M136" s="1"/>
  <c r="M139" s="1"/>
  <c r="T18"/>
  <c r="T56"/>
  <c r="T64"/>
  <c r="C115"/>
  <c r="T132"/>
  <c r="C44"/>
  <c r="T44" s="1"/>
  <c r="T102"/>
  <c r="T75"/>
  <c r="T17"/>
  <c r="T37"/>
  <c r="T22"/>
  <c r="L12"/>
  <c r="K12"/>
  <c r="O115"/>
  <c r="D115"/>
  <c r="P12"/>
  <c r="T11"/>
  <c r="F12"/>
  <c r="F5" s="1"/>
  <c r="F136" s="1"/>
  <c r="E12"/>
  <c r="E5" s="1"/>
  <c r="I12"/>
  <c r="I5" s="1"/>
  <c r="O88"/>
  <c r="H12"/>
  <c r="H5" s="1"/>
  <c r="H136" s="1"/>
  <c r="H139" s="1"/>
  <c r="C88"/>
  <c r="O94"/>
  <c r="G12"/>
  <c r="J12"/>
  <c r="O23"/>
  <c r="N12"/>
  <c r="N5" s="1"/>
  <c r="O15"/>
  <c r="O39"/>
  <c r="C79"/>
  <c r="T79" s="1"/>
  <c r="L6"/>
  <c r="O8"/>
  <c r="D23"/>
  <c r="D94"/>
  <c r="C96"/>
  <c r="C94" s="1"/>
  <c r="T10"/>
  <c r="C8"/>
  <c r="C6" s="1"/>
  <c r="C15"/>
  <c r="C23"/>
  <c r="E140" i="13"/>
  <c r="F137"/>
  <c r="G137"/>
  <c r="C138" i="16"/>
  <c r="T138" s="1"/>
  <c r="O142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BT6" i="18"/>
  <c r="BT8"/>
  <c r="BT9"/>
  <c r="BT11"/>
  <c r="BT13"/>
  <c r="BT14"/>
  <c r="BT15"/>
  <c r="BT17"/>
  <c r="BT18"/>
  <c r="BT19"/>
  <c r="BT20"/>
  <c r="BT21"/>
  <c r="BT24"/>
  <c r="BT25"/>
  <c r="BT26"/>
  <c r="BT28"/>
  <c r="BT29"/>
  <c r="BT30"/>
  <c r="BT32"/>
  <c r="BT33"/>
  <c r="BT34"/>
  <c r="BT35"/>
  <c r="BT36"/>
  <c r="BT37"/>
  <c r="BT38"/>
  <c r="BT39"/>
  <c r="BT40"/>
  <c r="BT41"/>
  <c r="BT42"/>
  <c r="BT43"/>
  <c r="BT44"/>
  <c r="BT45"/>
  <c r="BT46"/>
  <c r="BT47"/>
  <c r="BT51"/>
  <c r="BT52"/>
  <c r="BT53"/>
  <c r="BT55"/>
  <c r="BT58"/>
  <c r="BT63"/>
  <c r="BT66"/>
  <c r="BT67"/>
  <c r="BT68"/>
  <c r="BT69"/>
  <c r="BT70"/>
  <c r="BT71"/>
  <c r="BT72"/>
  <c r="BT73"/>
  <c r="BT74"/>
  <c r="BT75"/>
  <c r="BS6"/>
  <c r="BS9"/>
  <c r="BS13"/>
  <c r="BS14"/>
  <c r="BS15"/>
  <c r="BS17"/>
  <c r="BS18"/>
  <c r="BS25"/>
  <c r="BS33"/>
  <c r="BS47"/>
  <c r="BS53"/>
  <c r="BS67"/>
  <c r="BS68"/>
  <c r="BS69"/>
  <c r="BS72"/>
  <c r="BR65"/>
  <c r="BR56"/>
  <c r="BR49"/>
  <c r="BR7"/>
  <c r="BR12"/>
  <c r="BR16"/>
  <c r="BR27"/>
  <c r="T108" i="16" l="1"/>
  <c r="P107"/>
  <c r="T107" s="1"/>
  <c r="C39"/>
  <c r="T39" s="1"/>
  <c r="T96"/>
  <c r="T94"/>
  <c r="T115"/>
  <c r="T15"/>
  <c r="G5"/>
  <c r="G136" s="1"/>
  <c r="G139" s="1"/>
  <c r="S139"/>
  <c r="L5"/>
  <c r="L136" s="1"/>
  <c r="J5"/>
  <c r="J136" s="1"/>
  <c r="E136"/>
  <c r="E139" s="1"/>
  <c r="K5"/>
  <c r="K136" s="1"/>
  <c r="K139" s="1"/>
  <c r="T23"/>
  <c r="T88"/>
  <c r="N136"/>
  <c r="N139" s="1"/>
  <c r="D12"/>
  <c r="T8"/>
  <c r="O12"/>
  <c r="I136"/>
  <c r="I139" s="1"/>
  <c r="O6"/>
  <c r="C12"/>
  <c r="R139"/>
  <c r="F139"/>
  <c r="G140" i="13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BR10" i="18"/>
  <c r="BR5" s="1"/>
  <c r="E57" i="15"/>
  <c r="F57"/>
  <c r="C57"/>
  <c r="P5" i="16" l="1"/>
  <c r="P136" s="1"/>
  <c r="P139" s="1"/>
  <c r="C5"/>
  <c r="T12"/>
  <c r="L139"/>
  <c r="O136"/>
  <c r="O5"/>
  <c r="J139"/>
  <c r="H18" i="14"/>
  <c r="G18"/>
  <c r="F18"/>
  <c r="L38"/>
  <c r="M38"/>
  <c r="E16"/>
  <c r="BR76" i="18"/>
  <c r="T5" i="16" l="1"/>
  <c r="C136"/>
  <c r="T136" s="1"/>
  <c r="O139"/>
  <c r="G16" i="14"/>
  <c r="G8" s="1"/>
  <c r="F16"/>
  <c r="F8" s="1"/>
  <c r="E8"/>
  <c r="E38" s="1"/>
  <c r="H16"/>
  <c r="H8" s="1"/>
  <c r="H38" l="1"/>
  <c r="G38"/>
  <c r="F38"/>
  <c r="AP16" i="18" l="1"/>
  <c r="CH56" l="1"/>
  <c r="N34" i="14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G17" i="18"/>
  <c r="G18"/>
  <c r="CL47"/>
  <c r="AZ68"/>
  <c r="AZ46"/>
  <c r="AX16"/>
  <c r="AT12"/>
  <c r="CP26"/>
  <c r="CS68"/>
  <c r="N12"/>
  <c r="CS46"/>
  <c r="N37" i="14"/>
  <c r="BQ65" i="18"/>
  <c r="BT57"/>
  <c r="BT49"/>
  <c r="BQ27"/>
  <c r="BQ16"/>
  <c r="BQ12"/>
  <c r="BQ7"/>
  <c r="BT7" s="1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W69" i="18"/>
  <c r="AA69"/>
  <c r="CG12"/>
  <c r="CH12"/>
  <c r="CG65"/>
  <c r="CG56" s="1"/>
  <c r="CJ49"/>
  <c r="CI49"/>
  <c r="CH27"/>
  <c r="CG27"/>
  <c r="CH16"/>
  <c r="CG16"/>
  <c r="CH7"/>
  <c r="CG7"/>
  <c r="BK67"/>
  <c r="G67"/>
  <c r="G68"/>
  <c r="G69"/>
  <c r="AM69"/>
  <c r="AM68"/>
  <c r="Z16"/>
  <c r="CS75"/>
  <c r="CP75"/>
  <c r="CB75"/>
  <c r="CA75"/>
  <c r="BX75"/>
  <c r="BP75"/>
  <c r="BL75"/>
  <c r="BH75"/>
  <c r="BA75"/>
  <c r="AZ75"/>
  <c r="AV75"/>
  <c r="AR75"/>
  <c r="AN75"/>
  <c r="AG75"/>
  <c r="AF75"/>
  <c r="AB75"/>
  <c r="X75"/>
  <c r="T75"/>
  <c r="P75"/>
  <c r="L75"/>
  <c r="H75"/>
  <c r="CS74"/>
  <c r="CP74"/>
  <c r="CB74"/>
  <c r="BP74"/>
  <c r="BL74"/>
  <c r="BH74"/>
  <c r="BA74"/>
  <c r="AZ74"/>
  <c r="AV74"/>
  <c r="AR74"/>
  <c r="AN74"/>
  <c r="AG74"/>
  <c r="AF74"/>
  <c r="AB74"/>
  <c r="X74"/>
  <c r="T74"/>
  <c r="P74"/>
  <c r="L74"/>
  <c r="H74"/>
  <c r="CS73"/>
  <c r="CP73"/>
  <c r="CB73"/>
  <c r="BP73"/>
  <c r="BL73"/>
  <c r="BH73"/>
  <c r="BA73"/>
  <c r="AZ73"/>
  <c r="AV73"/>
  <c r="AR73"/>
  <c r="AN73"/>
  <c r="AG73"/>
  <c r="AF73"/>
  <c r="AB73"/>
  <c r="X73"/>
  <c r="T73"/>
  <c r="P73"/>
  <c r="L73"/>
  <c r="H73"/>
  <c r="CS72"/>
  <c r="CP72"/>
  <c r="CA72"/>
  <c r="BP72"/>
  <c r="BL72"/>
  <c r="BH72"/>
  <c r="BA72"/>
  <c r="AZ72"/>
  <c r="AV72"/>
  <c r="AR72"/>
  <c r="AN72"/>
  <c r="AG72"/>
  <c r="AF72"/>
  <c r="AB72"/>
  <c r="X72"/>
  <c r="T72"/>
  <c r="P72"/>
  <c r="L72"/>
  <c r="H72"/>
  <c r="CS71"/>
  <c r="CP71"/>
  <c r="CB71"/>
  <c r="BP71"/>
  <c r="BL71"/>
  <c r="BH71"/>
  <c r="BA71"/>
  <c r="AZ71"/>
  <c r="AV71"/>
  <c r="AR71"/>
  <c r="AN71"/>
  <c r="AG71"/>
  <c r="CK71" s="1"/>
  <c r="AF71"/>
  <c r="AB71"/>
  <c r="X71"/>
  <c r="T71"/>
  <c r="P71"/>
  <c r="L71"/>
  <c r="H71"/>
  <c r="CS70"/>
  <c r="CP70"/>
  <c r="BP70"/>
  <c r="BL70"/>
  <c r="BH70"/>
  <c r="BA70"/>
  <c r="AZ70"/>
  <c r="AV70"/>
  <c r="AR70"/>
  <c r="AN70"/>
  <c r="AG70"/>
  <c r="AF70"/>
  <c r="AB70"/>
  <c r="X70"/>
  <c r="T70"/>
  <c r="P70"/>
  <c r="L70"/>
  <c r="H70"/>
  <c r="CS69"/>
  <c r="CP69"/>
  <c r="CB69"/>
  <c r="BP69"/>
  <c r="BL69"/>
  <c r="BH69"/>
  <c r="BA69"/>
  <c r="AZ69"/>
  <c r="AY69"/>
  <c r="AV69"/>
  <c r="AR69"/>
  <c r="AN69"/>
  <c r="AG69"/>
  <c r="AF69"/>
  <c r="AE69"/>
  <c r="AB69"/>
  <c r="X69"/>
  <c r="T69"/>
  <c r="S69"/>
  <c r="P69"/>
  <c r="O69"/>
  <c r="L69"/>
  <c r="K69"/>
  <c r="H69"/>
  <c r="CP68"/>
  <c r="CB68"/>
  <c r="BP68"/>
  <c r="BL68"/>
  <c r="BH68"/>
  <c r="BA68"/>
  <c r="AV68"/>
  <c r="AR68"/>
  <c r="AN68"/>
  <c r="AG68"/>
  <c r="CK68" s="1"/>
  <c r="AF68"/>
  <c r="AE68"/>
  <c r="AB68"/>
  <c r="AA68"/>
  <c r="X68"/>
  <c r="W68"/>
  <c r="T68"/>
  <c r="S68"/>
  <c r="L68"/>
  <c r="K68"/>
  <c r="H68"/>
  <c r="CB67"/>
  <c r="CA67"/>
  <c r="BX67"/>
  <c r="BW67"/>
  <c r="BP67"/>
  <c r="BL67"/>
  <c r="BH67"/>
  <c r="BG67"/>
  <c r="BA67"/>
  <c r="AZ67"/>
  <c r="AY67"/>
  <c r="AV67"/>
  <c r="AR67"/>
  <c r="AQ67"/>
  <c r="AG67"/>
  <c r="AF67"/>
  <c r="AE67"/>
  <c r="AB67"/>
  <c r="AA67"/>
  <c r="X67"/>
  <c r="W67"/>
  <c r="T67"/>
  <c r="S67"/>
  <c r="P67"/>
  <c r="O67"/>
  <c r="L67"/>
  <c r="K67"/>
  <c r="H67"/>
  <c r="CS66"/>
  <c r="CP66"/>
  <c r="CB66"/>
  <c r="BX66"/>
  <c r="BP66"/>
  <c r="BL66"/>
  <c r="BH66"/>
  <c r="BA66"/>
  <c r="AZ66"/>
  <c r="AV66"/>
  <c r="AU66"/>
  <c r="AR66"/>
  <c r="AN66"/>
  <c r="AM66"/>
  <c r="AG66"/>
  <c r="AF66"/>
  <c r="AE66"/>
  <c r="AB66"/>
  <c r="AA66"/>
  <c r="X66"/>
  <c r="W66"/>
  <c r="T66"/>
  <c r="S66"/>
  <c r="P66"/>
  <c r="O66"/>
  <c r="L66"/>
  <c r="K66"/>
  <c r="H66"/>
  <c r="G66"/>
  <c r="CD65"/>
  <c r="CC65"/>
  <c r="BZ65"/>
  <c r="BY65"/>
  <c r="BV65"/>
  <c r="BV56" s="1"/>
  <c r="BU65"/>
  <c r="BN65"/>
  <c r="BN56" s="1"/>
  <c r="BM65"/>
  <c r="BJ65"/>
  <c r="BI65"/>
  <c r="BF65"/>
  <c r="BF56" s="1"/>
  <c r="BE65"/>
  <c r="AW65"/>
  <c r="AT65"/>
  <c r="AT56" s="1"/>
  <c r="AS65"/>
  <c r="AP65"/>
  <c r="AP56" s="1"/>
  <c r="AO65"/>
  <c r="AK65"/>
  <c r="AC65"/>
  <c r="Z65"/>
  <c r="Z56" s="1"/>
  <c r="Y65"/>
  <c r="V65"/>
  <c r="V56" s="1"/>
  <c r="U65"/>
  <c r="R65"/>
  <c r="R56" s="1"/>
  <c r="Q65"/>
  <c r="M65"/>
  <c r="J65"/>
  <c r="J56" s="1"/>
  <c r="I65"/>
  <c r="F65"/>
  <c r="E65"/>
  <c r="CS63"/>
  <c r="CP63"/>
  <c r="BX63"/>
  <c r="BP63"/>
  <c r="AV63"/>
  <c r="AB63"/>
  <c r="P63"/>
  <c r="L63"/>
  <c r="CB58"/>
  <c r="BX58"/>
  <c r="BP58"/>
  <c r="BL58"/>
  <c r="BH58"/>
  <c r="AZ58"/>
  <c r="AV58"/>
  <c r="AR58"/>
  <c r="AN58"/>
  <c r="AG58"/>
  <c r="AF58"/>
  <c r="AB58"/>
  <c r="X58"/>
  <c r="T58"/>
  <c r="P58"/>
  <c r="L58"/>
  <c r="H58"/>
  <c r="CD57"/>
  <c r="BU56"/>
  <c r="BM57"/>
  <c r="BJ56"/>
  <c r="BI57"/>
  <c r="BE57"/>
  <c r="AW57"/>
  <c r="CS55"/>
  <c r="CP55"/>
  <c r="CB55"/>
  <c r="BX55"/>
  <c r="BX49" s="1"/>
  <c r="BA55"/>
  <c r="AG55"/>
  <c r="CK55" s="1"/>
  <c r="AF55"/>
  <c r="AF49" s="1"/>
  <c r="AB55"/>
  <c r="X55"/>
  <c r="T55"/>
  <c r="P55"/>
  <c r="CS53"/>
  <c r="CP53"/>
  <c r="BA53"/>
  <c r="AG53"/>
  <c r="CS52"/>
  <c r="CP52"/>
  <c r="CB52"/>
  <c r="BA52"/>
  <c r="AG52"/>
  <c r="CK52" s="1"/>
  <c r="CS51"/>
  <c r="CP51"/>
  <c r="CB51"/>
  <c r="BA51"/>
  <c r="AG51"/>
  <c r="T51"/>
  <c r="CB49"/>
  <c r="BP49"/>
  <c r="BL49"/>
  <c r="BH49"/>
  <c r="AZ49"/>
  <c r="AV49"/>
  <c r="CO49"/>
  <c r="CF49"/>
  <c r="CE49"/>
  <c r="CD49"/>
  <c r="CA49"/>
  <c r="BZ49"/>
  <c r="BW49"/>
  <c r="BV49"/>
  <c r="BO49"/>
  <c r="BN49"/>
  <c r="BK49"/>
  <c r="BJ49"/>
  <c r="BG49"/>
  <c r="BF49"/>
  <c r="BC49"/>
  <c r="AY49"/>
  <c r="AX49"/>
  <c r="AU49"/>
  <c r="AT49"/>
  <c r="AP49"/>
  <c r="BA49"/>
  <c r="AL49"/>
  <c r="AD49"/>
  <c r="Z49"/>
  <c r="V49"/>
  <c r="R49"/>
  <c r="J49"/>
  <c r="F49"/>
  <c r="AG49"/>
  <c r="CS47"/>
  <c r="CP47"/>
  <c r="CB47"/>
  <c r="BX47"/>
  <c r="BP47"/>
  <c r="BL47"/>
  <c r="BH47"/>
  <c r="BA47"/>
  <c r="AZ47"/>
  <c r="AV47"/>
  <c r="AR47"/>
  <c r="AN47"/>
  <c r="AH47"/>
  <c r="AH27" s="1"/>
  <c r="AG47"/>
  <c r="AF47"/>
  <c r="AB47"/>
  <c r="X47"/>
  <c r="T47"/>
  <c r="P47"/>
  <c r="L47"/>
  <c r="H47"/>
  <c r="CP46"/>
  <c r="CB46"/>
  <c r="BP46"/>
  <c r="BL46"/>
  <c r="BH46"/>
  <c r="BA46"/>
  <c r="AV46"/>
  <c r="AR46"/>
  <c r="AN46"/>
  <c r="AG46"/>
  <c r="CK46" s="1"/>
  <c r="AB46"/>
  <c r="X46"/>
  <c r="P46"/>
  <c r="L46"/>
  <c r="CS45"/>
  <c r="CP45"/>
  <c r="CB45"/>
  <c r="BX45"/>
  <c r="BP45"/>
  <c r="BL45"/>
  <c r="BH45"/>
  <c r="BA45"/>
  <c r="CK45" s="1"/>
  <c r="AZ45"/>
  <c r="AV45"/>
  <c r="AR45"/>
  <c r="AN45"/>
  <c r="CQ45"/>
  <c r="AF45"/>
  <c r="AB45"/>
  <c r="X45"/>
  <c r="T45"/>
  <c r="P45"/>
  <c r="L45"/>
  <c r="H45"/>
  <c r="CS44"/>
  <c r="CP44"/>
  <c r="CB44"/>
  <c r="BX44"/>
  <c r="BP44"/>
  <c r="BL44"/>
  <c r="BH44"/>
  <c r="BA44"/>
  <c r="AZ44"/>
  <c r="AV44"/>
  <c r="AR44"/>
  <c r="AN44"/>
  <c r="AG44"/>
  <c r="CK44" s="1"/>
  <c r="AF44"/>
  <c r="AB44"/>
  <c r="X44"/>
  <c r="T44"/>
  <c r="P44"/>
  <c r="L44"/>
  <c r="H44"/>
  <c r="CS43"/>
  <c r="CP43"/>
  <c r="CB43"/>
  <c r="BX43"/>
  <c r="BP43"/>
  <c r="BL43"/>
  <c r="BH43"/>
  <c r="BA43"/>
  <c r="AZ43"/>
  <c r="AV43"/>
  <c r="AR43"/>
  <c r="AN43"/>
  <c r="AG43"/>
  <c r="AF43"/>
  <c r="AE43"/>
  <c r="AB43"/>
  <c r="AA43"/>
  <c r="X43"/>
  <c r="T43"/>
  <c r="S43"/>
  <c r="L43"/>
  <c r="K43"/>
  <c r="H43"/>
  <c r="CS42"/>
  <c r="CP42"/>
  <c r="CB42"/>
  <c r="BX42"/>
  <c r="BP42"/>
  <c r="BL42"/>
  <c r="BH42"/>
  <c r="BA42"/>
  <c r="AZ42"/>
  <c r="AV42"/>
  <c r="AR42"/>
  <c r="AN42"/>
  <c r="AG42"/>
  <c r="AI42" s="1"/>
  <c r="AB42"/>
  <c r="X42"/>
  <c r="T42"/>
  <c r="H42"/>
  <c r="CS41"/>
  <c r="CP41"/>
  <c r="CB41"/>
  <c r="BX41"/>
  <c r="BP41"/>
  <c r="BL41"/>
  <c r="BH41"/>
  <c r="BA41"/>
  <c r="AZ41"/>
  <c r="AV41"/>
  <c r="AR41"/>
  <c r="AN41"/>
  <c r="AG41"/>
  <c r="AB41"/>
  <c r="X41"/>
  <c r="T41"/>
  <c r="P41"/>
  <c r="L41"/>
  <c r="H41"/>
  <c r="CS40"/>
  <c r="CP40"/>
  <c r="CB40"/>
  <c r="BX40"/>
  <c r="BP40"/>
  <c r="BL40"/>
  <c r="BH40"/>
  <c r="BA40"/>
  <c r="BD40" s="1"/>
  <c r="AZ40"/>
  <c r="AV40"/>
  <c r="AR40"/>
  <c r="AN40"/>
  <c r="AG40"/>
  <c r="AB40"/>
  <c r="X40"/>
  <c r="T40"/>
  <c r="P40"/>
  <c r="L40"/>
  <c r="H40"/>
  <c r="CS39"/>
  <c r="CP39"/>
  <c r="BX39"/>
  <c r="BP39"/>
  <c r="BL39"/>
  <c r="BH39"/>
  <c r="BA39"/>
  <c r="BD39" s="1"/>
  <c r="AZ39"/>
  <c r="AV39"/>
  <c r="AR39"/>
  <c r="AN39"/>
  <c r="AG39"/>
  <c r="AB39"/>
  <c r="X39"/>
  <c r="H39"/>
  <c r="CS38"/>
  <c r="CP38"/>
  <c r="CB38"/>
  <c r="BX38"/>
  <c r="BP38"/>
  <c r="BL38"/>
  <c r="BH38"/>
  <c r="BA38"/>
  <c r="BD38" s="1"/>
  <c r="AZ38"/>
  <c r="AV38"/>
  <c r="AR38"/>
  <c r="AN38"/>
  <c r="AG38"/>
  <c r="AF38"/>
  <c r="AB38"/>
  <c r="X38"/>
  <c r="T38"/>
  <c r="P38"/>
  <c r="L38"/>
  <c r="H38"/>
  <c r="CS37"/>
  <c r="CP37"/>
  <c r="CB37"/>
  <c r="BX37"/>
  <c r="BP37"/>
  <c r="BL37"/>
  <c r="BH37"/>
  <c r="BA37"/>
  <c r="AZ37"/>
  <c r="AV37"/>
  <c r="AR37"/>
  <c r="AN37"/>
  <c r="AG37"/>
  <c r="AF37"/>
  <c r="AB37"/>
  <c r="X37"/>
  <c r="T37"/>
  <c r="P37"/>
  <c r="L37"/>
  <c r="H37"/>
  <c r="CS36"/>
  <c r="CP36"/>
  <c r="BX36"/>
  <c r="BP36"/>
  <c r="BL36"/>
  <c r="BH36"/>
  <c r="BA36"/>
  <c r="AZ36"/>
  <c r="AV36"/>
  <c r="AR36"/>
  <c r="AN36"/>
  <c r="AG36"/>
  <c r="CK36" s="1"/>
  <c r="AB36"/>
  <c r="X36"/>
  <c r="T36"/>
  <c r="P36"/>
  <c r="H36"/>
  <c r="CS35"/>
  <c r="CP35"/>
  <c r="BX35"/>
  <c r="BP35"/>
  <c r="BL35"/>
  <c r="BH35"/>
  <c r="BA35"/>
  <c r="AZ35"/>
  <c r="AV35"/>
  <c r="AR35"/>
  <c r="AN35"/>
  <c r="AG35"/>
  <c r="AF35"/>
  <c r="X35"/>
  <c r="T35"/>
  <c r="P35"/>
  <c r="H35"/>
  <c r="CS34"/>
  <c r="CP34"/>
  <c r="CB34"/>
  <c r="BX34"/>
  <c r="BP34"/>
  <c r="BL34"/>
  <c r="BH34"/>
  <c r="BA34"/>
  <c r="AZ34"/>
  <c r="AV34"/>
  <c r="AR34"/>
  <c r="AN34"/>
  <c r="AG34"/>
  <c r="CK34" s="1"/>
  <c r="AB34"/>
  <c r="X34"/>
  <c r="T34"/>
  <c r="P34"/>
  <c r="L34"/>
  <c r="H34"/>
  <c r="CS33"/>
  <c r="CP33"/>
  <c r="CB33"/>
  <c r="BX33"/>
  <c r="BP33"/>
  <c r="BL33"/>
  <c r="BH33"/>
  <c r="BA33"/>
  <c r="AZ33"/>
  <c r="AV33"/>
  <c r="AR33"/>
  <c r="AN33"/>
  <c r="AG33"/>
  <c r="AF33"/>
  <c r="AB33"/>
  <c r="AA33"/>
  <c r="X33"/>
  <c r="T33"/>
  <c r="S33"/>
  <c r="P33"/>
  <c r="O33"/>
  <c r="L33"/>
  <c r="K33"/>
  <c r="H33"/>
  <c r="CS32"/>
  <c r="CP32"/>
  <c r="BX32"/>
  <c r="BP32"/>
  <c r="BL32"/>
  <c r="BH32"/>
  <c r="BA32"/>
  <c r="AZ32"/>
  <c r="AV32"/>
  <c r="AR32"/>
  <c r="AN32"/>
  <c r="AG32"/>
  <c r="P32"/>
  <c r="CS30"/>
  <c r="CP30"/>
  <c r="CB30"/>
  <c r="BX30"/>
  <c r="BA30"/>
  <c r="AG30"/>
  <c r="CK30" s="1"/>
  <c r="CM30" s="1"/>
  <c r="AB30"/>
  <c r="X30"/>
  <c r="T30"/>
  <c r="P30"/>
  <c r="L30"/>
  <c r="CS29"/>
  <c r="CP29"/>
  <c r="BA29"/>
  <c r="AG29"/>
  <c r="P29"/>
  <c r="L29"/>
  <c r="CS28"/>
  <c r="CP28"/>
  <c r="BX28"/>
  <c r="BA28"/>
  <c r="AG28"/>
  <c r="CK28" s="1"/>
  <c r="AB28"/>
  <c r="X28"/>
  <c r="T28"/>
  <c r="P28"/>
  <c r="L28"/>
  <c r="CD27"/>
  <c r="CC27"/>
  <c r="BZ27"/>
  <c r="CA27" s="1"/>
  <c r="BV27"/>
  <c r="BU27"/>
  <c r="BN27"/>
  <c r="BM27"/>
  <c r="BJ27"/>
  <c r="BI27"/>
  <c r="BF27"/>
  <c r="BE27"/>
  <c r="AW27"/>
  <c r="AT27"/>
  <c r="AS27"/>
  <c r="AP27"/>
  <c r="AP10" s="1"/>
  <c r="AO27"/>
  <c r="AL27"/>
  <c r="AK27"/>
  <c r="AC27"/>
  <c r="AF27" s="1"/>
  <c r="Z27"/>
  <c r="Y27"/>
  <c r="V27"/>
  <c r="U27"/>
  <c r="Q27"/>
  <c r="N27"/>
  <c r="M27"/>
  <c r="J27"/>
  <c r="I27"/>
  <c r="E27"/>
  <c r="BA26"/>
  <c r="AG26"/>
  <c r="CQ26" s="1"/>
  <c r="L26"/>
  <c r="K26"/>
  <c r="CS25"/>
  <c r="CP25"/>
  <c r="BP25"/>
  <c r="BL25"/>
  <c r="BH25"/>
  <c r="BA25"/>
  <c r="AZ25"/>
  <c r="AV25"/>
  <c r="AR25"/>
  <c r="AN25"/>
  <c r="AG25"/>
  <c r="AF25"/>
  <c r="AB25"/>
  <c r="T25"/>
  <c r="P25"/>
  <c r="L25"/>
  <c r="H25"/>
  <c r="CS24"/>
  <c r="CP24"/>
  <c r="CB24"/>
  <c r="BX24"/>
  <c r="BP24"/>
  <c r="BA24"/>
  <c r="AG24"/>
  <c r="AB24"/>
  <c r="X24"/>
  <c r="T24"/>
  <c r="P24"/>
  <c r="L24"/>
  <c r="CS21"/>
  <c r="CP21"/>
  <c r="BP21"/>
  <c r="BA21"/>
  <c r="AG21"/>
  <c r="CQ21" s="1"/>
  <c r="CS20"/>
  <c r="CP20"/>
  <c r="CB20"/>
  <c r="BP20"/>
  <c r="BA20"/>
  <c r="AG20"/>
  <c r="CQ20" s="1"/>
  <c r="T20"/>
  <c r="CS19"/>
  <c r="CP19"/>
  <c r="CB19"/>
  <c r="BP19"/>
  <c r="BA19"/>
  <c r="AG19"/>
  <c r="AF19"/>
  <c r="AB19"/>
  <c r="T19"/>
  <c r="P19"/>
  <c r="L19"/>
  <c r="CS18"/>
  <c r="CP18"/>
  <c r="BP18"/>
  <c r="BA18"/>
  <c r="AH18"/>
  <c r="AG18"/>
  <c r="CQ18" s="1"/>
  <c r="CS17"/>
  <c r="CP17"/>
  <c r="CB17"/>
  <c r="BX17"/>
  <c r="BP17"/>
  <c r="BL17"/>
  <c r="BK17"/>
  <c r="BH17"/>
  <c r="BG17"/>
  <c r="BA17"/>
  <c r="BC17" s="1"/>
  <c r="AZ17"/>
  <c r="AY17"/>
  <c r="AV17"/>
  <c r="AU17"/>
  <c r="AR17"/>
  <c r="AQ17"/>
  <c r="AN17"/>
  <c r="AM17"/>
  <c r="AH17"/>
  <c r="AH16" s="1"/>
  <c r="AG17"/>
  <c r="AF17"/>
  <c r="AB17"/>
  <c r="X17"/>
  <c r="T17"/>
  <c r="S17"/>
  <c r="P17"/>
  <c r="L17"/>
  <c r="H17"/>
  <c r="CD16"/>
  <c r="BZ16"/>
  <c r="BV16"/>
  <c r="BU16"/>
  <c r="BN16"/>
  <c r="BM16"/>
  <c r="BJ16"/>
  <c r="BI16"/>
  <c r="BF16"/>
  <c r="BE16"/>
  <c r="AW16"/>
  <c r="AT16"/>
  <c r="AS16"/>
  <c r="AO16"/>
  <c r="AL16"/>
  <c r="AK16"/>
  <c r="AC16"/>
  <c r="AF16" s="1"/>
  <c r="Y16"/>
  <c r="V16"/>
  <c r="U16"/>
  <c r="R16"/>
  <c r="Q16"/>
  <c r="N16"/>
  <c r="M16"/>
  <c r="J16"/>
  <c r="I16"/>
  <c r="F16"/>
  <c r="E16"/>
  <c r="CS15"/>
  <c r="CP15"/>
  <c r="CL15"/>
  <c r="BA15"/>
  <c r="AG15"/>
  <c r="CQ15" s="1"/>
  <c r="CS14"/>
  <c r="CP14"/>
  <c r="CL14"/>
  <c r="BA14"/>
  <c r="AH14"/>
  <c r="AG14"/>
  <c r="CS13"/>
  <c r="CP13"/>
  <c r="CB13"/>
  <c r="CA13"/>
  <c r="BX13"/>
  <c r="BP13"/>
  <c r="BL13"/>
  <c r="BH13"/>
  <c r="BA13"/>
  <c r="AZ13"/>
  <c r="AV13"/>
  <c r="AR13"/>
  <c r="AN13"/>
  <c r="AH13"/>
  <c r="AG13"/>
  <c r="AF13"/>
  <c r="AB13"/>
  <c r="X13"/>
  <c r="T13"/>
  <c r="P13"/>
  <c r="L13"/>
  <c r="H13"/>
  <c r="CD12"/>
  <c r="CC12"/>
  <c r="BZ12"/>
  <c r="BY12"/>
  <c r="BV12"/>
  <c r="BU12"/>
  <c r="BN12"/>
  <c r="BM12"/>
  <c r="BJ12"/>
  <c r="BI12"/>
  <c r="BF12"/>
  <c r="BF10" s="1"/>
  <c r="BE12"/>
  <c r="AW12"/>
  <c r="AZ12" s="1"/>
  <c r="AS12"/>
  <c r="AO12"/>
  <c r="AK12"/>
  <c r="AN12" s="1"/>
  <c r="AD12"/>
  <c r="AD10" s="1"/>
  <c r="AC12"/>
  <c r="Z12"/>
  <c r="Y12"/>
  <c r="U12"/>
  <c r="X12" s="1"/>
  <c r="R12"/>
  <c r="Q12"/>
  <c r="M12"/>
  <c r="I12"/>
  <c r="L12" s="1"/>
  <c r="F12"/>
  <c r="E12"/>
  <c r="CB11"/>
  <c r="CA11"/>
  <c r="BX11"/>
  <c r="BP11"/>
  <c r="BO11"/>
  <c r="BL11"/>
  <c r="BH11"/>
  <c r="BA11"/>
  <c r="BD11" s="1"/>
  <c r="AZ11"/>
  <c r="AV11"/>
  <c r="AR11"/>
  <c r="AN11"/>
  <c r="AG11"/>
  <c r="CQ11" s="1"/>
  <c r="AF11"/>
  <c r="AE11"/>
  <c r="AB11"/>
  <c r="AA11"/>
  <c r="X11"/>
  <c r="W11"/>
  <c r="T11"/>
  <c r="S11"/>
  <c r="P11"/>
  <c r="O11"/>
  <c r="CP11"/>
  <c r="H11"/>
  <c r="CS9"/>
  <c r="CP9"/>
  <c r="CL9"/>
  <c r="BP9"/>
  <c r="BL9"/>
  <c r="BH9"/>
  <c r="BA9"/>
  <c r="BD9" s="1"/>
  <c r="AZ9"/>
  <c r="AV9"/>
  <c r="AR9"/>
  <c r="AN9"/>
  <c r="AG9"/>
  <c r="AB9"/>
  <c r="P9"/>
  <c r="L9"/>
  <c r="H9"/>
  <c r="CS8"/>
  <c r="CP8"/>
  <c r="CB8"/>
  <c r="CA8"/>
  <c r="BX8"/>
  <c r="BW8"/>
  <c r="BP8"/>
  <c r="BL8"/>
  <c r="BH8"/>
  <c r="BA8"/>
  <c r="AZ8"/>
  <c r="AV8"/>
  <c r="AR8"/>
  <c r="AN8"/>
  <c r="AH8"/>
  <c r="CL8" s="1"/>
  <c r="AG8"/>
  <c r="CQ8" s="1"/>
  <c r="AB8"/>
  <c r="X8"/>
  <c r="P8"/>
  <c r="H8"/>
  <c r="CD7"/>
  <c r="CC7"/>
  <c r="BZ7"/>
  <c r="BY7"/>
  <c r="BV7"/>
  <c r="BU7"/>
  <c r="BN7"/>
  <c r="BM7"/>
  <c r="BJ7"/>
  <c r="BI7"/>
  <c r="BF7"/>
  <c r="BE7"/>
  <c r="AX7"/>
  <c r="AW7"/>
  <c r="AT7"/>
  <c r="AS7"/>
  <c r="AP7"/>
  <c r="AO7"/>
  <c r="AL7"/>
  <c r="AK7"/>
  <c r="AD7"/>
  <c r="AC7"/>
  <c r="Z7"/>
  <c r="Y7"/>
  <c r="V7"/>
  <c r="U7"/>
  <c r="R7"/>
  <c r="Q7"/>
  <c r="N7"/>
  <c r="M7"/>
  <c r="J7"/>
  <c r="I7"/>
  <c r="F7"/>
  <c r="E7"/>
  <c r="CS6"/>
  <c r="CP6"/>
  <c r="CL6"/>
  <c r="BA6"/>
  <c r="AV6"/>
  <c r="AU6"/>
  <c r="AH6"/>
  <c r="AG6"/>
  <c r="CK6" s="1"/>
  <c r="H6"/>
  <c r="G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C113" s="1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J101" s="1"/>
  <c r="I102"/>
  <c r="H102"/>
  <c r="G102"/>
  <c r="F102"/>
  <c r="F101" s="1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C17" s="1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H24" i="9"/>
  <c r="CD28" i="11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C221" s="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C219" s="1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C174" s="1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C172" s="1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N130" s="1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I24" i="9"/>
  <c r="B23"/>
  <c r="B25" s="1"/>
  <c r="AM29" i="11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H16" i="9"/>
  <c r="G23"/>
  <c r="G25" s="1"/>
  <c r="AH8" i="11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J23" i="9"/>
  <c r="J25" s="1"/>
  <c r="F23"/>
  <c r="F25" s="1"/>
  <c r="E23"/>
  <c r="E25" s="1"/>
  <c r="D23"/>
  <c r="D25" s="1"/>
  <c r="C23"/>
  <c r="C25" s="1"/>
  <c r="K25" i="11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7" i="8"/>
  <c r="C207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D130" i="8"/>
  <c r="CE32" i="11"/>
  <c r="C169" i="8"/>
  <c r="C170"/>
  <c r="C217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AF65" i="18"/>
  <c r="AU65"/>
  <c r="BI56"/>
  <c r="AH7"/>
  <c r="L11"/>
  <c r="AH11"/>
  <c r="CS11"/>
  <c r="BD17"/>
  <c r="CQ24"/>
  <c r="AJ33"/>
  <c r="H57"/>
  <c r="AZ57"/>
  <c r="AL65"/>
  <c r="AN67"/>
  <c r="CP67"/>
  <c r="CQ74"/>
  <c r="AJ75"/>
  <c r="CP7"/>
  <c r="K11"/>
  <c r="AR12"/>
  <c r="CQ34"/>
  <c r="AM67"/>
  <c r="CQ36"/>
  <c r="CS67"/>
  <c r="CA65"/>
  <c r="H21" i="15"/>
  <c r="G21"/>
  <c r="AF57" i="18"/>
  <c r="I23" i="9"/>
  <c r="I25" s="1"/>
  <c r="I82" i="17"/>
  <c r="I38"/>
  <c r="K19"/>
  <c r="F140"/>
  <c r="F143" s="1"/>
  <c r="I19"/>
  <c r="H26" i="15"/>
  <c r="G26"/>
  <c r="E25"/>
  <c r="AJ35" i="18"/>
  <c r="AI33"/>
  <c r="CQ9"/>
  <c r="AJ72"/>
  <c r="CQ72"/>
  <c r="V10"/>
  <c r="AJ70"/>
  <c r="H54" i="15"/>
  <c r="D67"/>
  <c r="CE12" i="18"/>
  <c r="CB7"/>
  <c r="CA7"/>
  <c r="AG57"/>
  <c r="AI69"/>
  <c r="AJ69"/>
  <c r="AC56"/>
  <c r="U56"/>
  <c r="M56"/>
  <c r="AJ19"/>
  <c r="AJ58"/>
  <c r="CJ12"/>
  <c r="CJ27"/>
  <c r="AS56"/>
  <c r="CB65"/>
  <c r="H65"/>
  <c r="AJ51"/>
  <c r="D15" i="8"/>
  <c r="C161" l="1"/>
  <c r="C165"/>
  <c r="S165" s="1"/>
  <c r="AI6" i="18"/>
  <c r="H7"/>
  <c r="X7"/>
  <c r="BB49"/>
  <c r="CQ66"/>
  <c r="CK66"/>
  <c r="BB12"/>
  <c r="AT10"/>
  <c r="T16"/>
  <c r="AL10"/>
  <c r="CK67"/>
  <c r="CK72"/>
  <c r="CJ7"/>
  <c r="CQ69"/>
  <c r="CK69"/>
  <c r="CQ70"/>
  <c r="CK70"/>
  <c r="AJ73"/>
  <c r="CK73"/>
  <c r="CK14"/>
  <c r="CN14" s="1"/>
  <c r="CQ58"/>
  <c r="CK58"/>
  <c r="AJ74"/>
  <c r="CK74"/>
  <c r="CQ75"/>
  <c r="CK75"/>
  <c r="CK37"/>
  <c r="CK53"/>
  <c r="CK51"/>
  <c r="BB16"/>
  <c r="C179" i="8"/>
  <c r="E8"/>
  <c r="E6" s="1"/>
  <c r="C189"/>
  <c r="C191"/>
  <c r="D193"/>
  <c r="C196"/>
  <c r="C210"/>
  <c r="C213"/>
  <c r="C181"/>
  <c r="C186"/>
  <c r="S186" s="1"/>
  <c r="C190"/>
  <c r="S190" s="1"/>
  <c r="C203"/>
  <c r="D201"/>
  <c r="C227"/>
  <c r="S227" s="1"/>
  <c r="C233"/>
  <c r="C237"/>
  <c r="E79"/>
  <c r="S217"/>
  <c r="C204"/>
  <c r="J201"/>
  <c r="C211"/>
  <c r="S211" s="1"/>
  <c r="Q101"/>
  <c r="CB27" i="18"/>
  <c r="BJ10"/>
  <c r="CK32"/>
  <c r="CN32" s="1"/>
  <c r="CQ40"/>
  <c r="CK40"/>
  <c r="CQ42"/>
  <c r="CK42"/>
  <c r="CM42" s="1"/>
  <c r="CQ41"/>
  <c r="CK41"/>
  <c r="CQ43"/>
  <c r="CK43"/>
  <c r="CM43" s="1"/>
  <c r="CQ29"/>
  <c r="CK29"/>
  <c r="CM29" s="1"/>
  <c r="CQ35"/>
  <c r="CK35"/>
  <c r="CM35" s="1"/>
  <c r="CK38"/>
  <c r="CM38" s="1"/>
  <c r="CK39"/>
  <c r="N128" i="8"/>
  <c r="M206"/>
  <c r="E201"/>
  <c r="C201" s="1"/>
  <c r="R101"/>
  <c r="D128"/>
  <c r="C133"/>
  <c r="S133" s="1"/>
  <c r="G137"/>
  <c r="Q137"/>
  <c r="I140"/>
  <c r="C150"/>
  <c r="S150" s="1"/>
  <c r="C152"/>
  <c r="S152" s="1"/>
  <c r="C142"/>
  <c r="C153"/>
  <c r="S153" s="1"/>
  <c r="L137"/>
  <c r="C162"/>
  <c r="S162" s="1"/>
  <c r="C182"/>
  <c r="M201"/>
  <c r="S191"/>
  <c r="L206"/>
  <c r="E23"/>
  <c r="S113"/>
  <c r="S115"/>
  <c r="C7"/>
  <c r="S7" s="1"/>
  <c r="F8"/>
  <c r="F6" s="1"/>
  <c r="O8"/>
  <c r="O6" s="1"/>
  <c r="E15"/>
  <c r="C15" s="1"/>
  <c r="C37"/>
  <c r="S37" s="1"/>
  <c r="C72"/>
  <c r="S72" s="1"/>
  <c r="C102"/>
  <c r="S102" s="1"/>
  <c r="C104"/>
  <c r="S104" s="1"/>
  <c r="C106"/>
  <c r="S106" s="1"/>
  <c r="C108"/>
  <c r="S108" s="1"/>
  <c r="C110"/>
  <c r="S110" s="1"/>
  <c r="C112"/>
  <c r="S112" s="1"/>
  <c r="J223"/>
  <c r="G101"/>
  <c r="G118" s="1"/>
  <c r="G120" s="1"/>
  <c r="K101"/>
  <c r="O101"/>
  <c r="BH27" i="18"/>
  <c r="C159" i="8"/>
  <c r="S159" s="1"/>
  <c r="C205"/>
  <c r="S205" s="1"/>
  <c r="R201"/>
  <c r="C209"/>
  <c r="S209" s="1"/>
  <c r="C129"/>
  <c r="S129" s="1"/>
  <c r="U7" s="1"/>
  <c r="C132"/>
  <c r="S136"/>
  <c r="N137"/>
  <c r="C143"/>
  <c r="S143" s="1"/>
  <c r="C155"/>
  <c r="S155" s="1"/>
  <c r="C212"/>
  <c r="S212" s="1"/>
  <c r="Q156"/>
  <c r="G193"/>
  <c r="I223"/>
  <c r="C144"/>
  <c r="S144" s="1"/>
  <c r="F130"/>
  <c r="F128" s="1"/>
  <c r="K130"/>
  <c r="O130"/>
  <c r="C157"/>
  <c r="S157" s="1"/>
  <c r="C228"/>
  <c r="S228" s="1"/>
  <c r="CK49" i="18"/>
  <c r="BM56"/>
  <c r="C218" i="8"/>
  <c r="S218" s="1"/>
  <c r="C224"/>
  <c r="S224" s="1"/>
  <c r="C234"/>
  <c r="S234" s="1"/>
  <c r="C163"/>
  <c r="S163" s="1"/>
  <c r="C167"/>
  <c r="S167" s="1"/>
  <c r="C173"/>
  <c r="S173" s="1"/>
  <c r="C60"/>
  <c r="C63"/>
  <c r="S63" s="1"/>
  <c r="AI53" i="18"/>
  <c r="CN53"/>
  <c r="CQ52"/>
  <c r="CN52"/>
  <c r="I130" i="8"/>
  <c r="I128" s="1"/>
  <c r="M130"/>
  <c r="M128" s="1"/>
  <c r="R130"/>
  <c r="E137"/>
  <c r="J137"/>
  <c r="C147"/>
  <c r="S147" s="1"/>
  <c r="C149"/>
  <c r="S149" s="1"/>
  <c r="C151"/>
  <c r="C175"/>
  <c r="C185"/>
  <c r="S185" s="1"/>
  <c r="J8"/>
  <c r="J6" s="1"/>
  <c r="I15"/>
  <c r="M15"/>
  <c r="R15"/>
  <c r="S161"/>
  <c r="C160"/>
  <c r="S160" s="1"/>
  <c r="L156"/>
  <c r="C166"/>
  <c r="S166" s="1"/>
  <c r="C168"/>
  <c r="S168" s="1"/>
  <c r="C171"/>
  <c r="S171" s="1"/>
  <c r="S172"/>
  <c r="S174"/>
  <c r="C176"/>
  <c r="S176" s="1"/>
  <c r="S179"/>
  <c r="S181"/>
  <c r="C183"/>
  <c r="S183" s="1"/>
  <c r="C188"/>
  <c r="S188" s="1"/>
  <c r="C192"/>
  <c r="S192" s="1"/>
  <c r="F193"/>
  <c r="S195"/>
  <c r="S203"/>
  <c r="L201"/>
  <c r="Q201"/>
  <c r="I201"/>
  <c r="C19"/>
  <c r="S19" s="1"/>
  <c r="CQ71" i="18"/>
  <c r="BP27"/>
  <c r="CQ33"/>
  <c r="CK33"/>
  <c r="CM33" s="1"/>
  <c r="AR7"/>
  <c r="AZ7"/>
  <c r="H12"/>
  <c r="BH12"/>
  <c r="BP12"/>
  <c r="S65"/>
  <c r="AB12"/>
  <c r="BL12"/>
  <c r="CK13"/>
  <c r="AJ14"/>
  <c r="CK15"/>
  <c r="J10"/>
  <c r="J5" s="1"/>
  <c r="CQ68"/>
  <c r="CD56"/>
  <c r="CQ67"/>
  <c r="G65"/>
  <c r="AV27"/>
  <c r="AN27"/>
  <c r="AB16"/>
  <c r="AS10"/>
  <c r="AS5" s="1"/>
  <c r="AS76" s="1"/>
  <c r="BZ10"/>
  <c r="BZ5" s="1"/>
  <c r="AD5"/>
  <c r="AD76" s="1"/>
  <c r="E56"/>
  <c r="AN16"/>
  <c r="BL7"/>
  <c r="BA12"/>
  <c r="AV12"/>
  <c r="CV7"/>
  <c r="AF12"/>
  <c r="CN51"/>
  <c r="AM65"/>
  <c r="AL56"/>
  <c r="AN7"/>
  <c r="BB7"/>
  <c r="AG65"/>
  <c r="CQ65" s="1"/>
  <c r="CQ6"/>
  <c r="BA7"/>
  <c r="BH7"/>
  <c r="BP7"/>
  <c r="CQ14"/>
  <c r="F56"/>
  <c r="AH57"/>
  <c r="AB27"/>
  <c r="CN37"/>
  <c r="AL5"/>
  <c r="AT5"/>
  <c r="AA27"/>
  <c r="BP57"/>
  <c r="BT12"/>
  <c r="BS12"/>
  <c r="AJ8"/>
  <c r="I56"/>
  <c r="CT7"/>
  <c r="CU7"/>
  <c r="BH65"/>
  <c r="AH12"/>
  <c r="AH10" s="1"/>
  <c r="AH5" s="1"/>
  <c r="CL13"/>
  <c r="CL12" s="1"/>
  <c r="L16"/>
  <c r="L27"/>
  <c r="CL11"/>
  <c r="O156" i="8"/>
  <c r="H156"/>
  <c r="I206"/>
  <c r="R206"/>
  <c r="D18"/>
  <c r="C158"/>
  <c r="S158" s="1"/>
  <c r="E71"/>
  <c r="S142"/>
  <c r="D140"/>
  <c r="J145"/>
  <c r="H145"/>
  <c r="S151"/>
  <c r="O145"/>
  <c r="K145"/>
  <c r="I156"/>
  <c r="F156"/>
  <c r="C225"/>
  <c r="C21"/>
  <c r="S219"/>
  <c r="S170"/>
  <c r="S169"/>
  <c r="D145"/>
  <c r="D206"/>
  <c r="E193"/>
  <c r="C193" s="1"/>
  <c r="C238"/>
  <c r="S238" s="1"/>
  <c r="L8"/>
  <c r="L6" s="1"/>
  <c r="Q8"/>
  <c r="Q6" s="1"/>
  <c r="K15"/>
  <c r="R18"/>
  <c r="C49"/>
  <c r="S49" s="1"/>
  <c r="S80"/>
  <c r="J79"/>
  <c r="C81"/>
  <c r="D84"/>
  <c r="S204"/>
  <c r="S213"/>
  <c r="S207"/>
  <c r="S187"/>
  <c r="L145"/>
  <c r="K156"/>
  <c r="S175"/>
  <c r="E206"/>
  <c r="N206"/>
  <c r="O223"/>
  <c r="R79"/>
  <c r="H101"/>
  <c r="H118" s="1"/>
  <c r="H120" s="1"/>
  <c r="L101"/>
  <c r="C114"/>
  <c r="S114" s="1"/>
  <c r="S17"/>
  <c r="S196"/>
  <c r="S132"/>
  <c r="S233"/>
  <c r="S221"/>
  <c r="S237"/>
  <c r="S210"/>
  <c r="S182"/>
  <c r="S189"/>
  <c r="E156"/>
  <c r="J156"/>
  <c r="N193"/>
  <c r="S225"/>
  <c r="C33"/>
  <c r="S33" s="1"/>
  <c r="C62"/>
  <c r="S62" s="1"/>
  <c r="C64"/>
  <c r="S64" s="1"/>
  <c r="C65"/>
  <c r="S65" s="1"/>
  <c r="AK56" i="18"/>
  <c r="AM56" s="1"/>
  <c r="CC56"/>
  <c r="CF56" s="1"/>
  <c r="CQ13"/>
  <c r="P57"/>
  <c r="AJ40"/>
  <c r="AI43"/>
  <c r="CW7"/>
  <c r="I10"/>
  <c r="I5" s="1"/>
  <c r="AJ26"/>
  <c r="AI67"/>
  <c r="CW49"/>
  <c r="AJ41"/>
  <c r="AI26"/>
  <c r="AG7"/>
  <c r="BH57"/>
  <c r="AV16"/>
  <c r="AB65"/>
  <c r="BL65"/>
  <c r="BW65"/>
  <c r="CW65"/>
  <c r="AQ65"/>
  <c r="BT65"/>
  <c r="BS65"/>
  <c r="BX56"/>
  <c r="W65"/>
  <c r="AJ67"/>
  <c r="CT49"/>
  <c r="CV49"/>
  <c r="CU49"/>
  <c r="CP12"/>
  <c r="CV12"/>
  <c r="CT12"/>
  <c r="CU12"/>
  <c r="T12"/>
  <c r="H34" i="8"/>
  <c r="C39"/>
  <c r="E130"/>
  <c r="E128" s="1"/>
  <c r="C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S21"/>
  <c r="L79"/>
  <c r="Q79"/>
  <c r="O84"/>
  <c r="C94"/>
  <c r="S94" s="1"/>
  <c r="Q140"/>
  <c r="F145"/>
  <c r="R145"/>
  <c r="C208"/>
  <c r="S208" s="1"/>
  <c r="S39"/>
  <c r="C42"/>
  <c r="S42" s="1"/>
  <c r="F79"/>
  <c r="J84"/>
  <c r="C116"/>
  <c r="S116" s="1"/>
  <c r="BY56" i="18"/>
  <c r="CW57"/>
  <c r="CA12"/>
  <c r="CW12"/>
  <c r="K37" i="17"/>
  <c r="CW27" i="18"/>
  <c r="AG16"/>
  <c r="AI16" s="1"/>
  <c r="CW16"/>
  <c r="AI17"/>
  <c r="BT16"/>
  <c r="BI10"/>
  <c r="BI5" s="1"/>
  <c r="BI76" s="1"/>
  <c r="T65"/>
  <c r="CV16"/>
  <c r="CT16"/>
  <c r="CU16"/>
  <c r="BD28"/>
  <c r="AN56"/>
  <c r="AN65"/>
  <c r="AJ24"/>
  <c r="AB57"/>
  <c r="X56"/>
  <c r="G15" i="8"/>
  <c r="O23"/>
  <c r="C57"/>
  <c r="S57" s="1"/>
  <c r="C141"/>
  <c r="S141" s="1"/>
  <c r="I6"/>
  <c r="S14"/>
  <c r="L23"/>
  <c r="D101"/>
  <c r="J18"/>
  <c r="I18"/>
  <c r="C29"/>
  <c r="S29" s="1"/>
  <c r="C48"/>
  <c r="S48" s="1"/>
  <c r="C83"/>
  <c r="S83" s="1"/>
  <c r="R128"/>
  <c r="G130"/>
  <c r="L130"/>
  <c r="L128" s="1"/>
  <c r="Q130"/>
  <c r="Q128" s="1"/>
  <c r="C135"/>
  <c r="S135" s="1"/>
  <c r="R137"/>
  <c r="C13"/>
  <c r="S13" s="1"/>
  <c r="Q34"/>
  <c r="C98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S81"/>
  <c r="G84"/>
  <c r="L84"/>
  <c r="Q84"/>
  <c r="C87"/>
  <c r="K206"/>
  <c r="Q206"/>
  <c r="F206"/>
  <c r="L223"/>
  <c r="Q223"/>
  <c r="C226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H23" i="9"/>
  <c r="H25" s="1"/>
  <c r="CF65" i="18"/>
  <c r="D57" i="15"/>
  <c r="J92" i="17"/>
  <c r="J82"/>
  <c r="J37"/>
  <c r="J38"/>
  <c r="J19"/>
  <c r="J6"/>
  <c r="E74"/>
  <c r="I74" s="1"/>
  <c r="I75"/>
  <c r="G140"/>
  <c r="G143" s="1"/>
  <c r="BN10" i="18"/>
  <c r="BN5" s="1"/>
  <c r="AJ36"/>
  <c r="BT27"/>
  <c r="CI27"/>
  <c r="CI57"/>
  <c r="BK56"/>
  <c r="BL56"/>
  <c r="CM14"/>
  <c r="CL27"/>
  <c r="CM6"/>
  <c r="CN6"/>
  <c r="AV57"/>
  <c r="AU56"/>
  <c r="CK9"/>
  <c r="CL16"/>
  <c r="CB16"/>
  <c r="AJ13"/>
  <c r="Q56"/>
  <c r="S56" s="1"/>
  <c r="Y56"/>
  <c r="BA16"/>
  <c r="BD16" s="1"/>
  <c r="AA65"/>
  <c r="CS12"/>
  <c r="AJ11"/>
  <c r="BE56"/>
  <c r="BG56" s="1"/>
  <c r="Q10"/>
  <c r="Q5" s="1"/>
  <c r="BE10"/>
  <c r="BG10" s="1"/>
  <c r="BM10"/>
  <c r="BM5" s="1"/>
  <c r="BM76" s="1"/>
  <c r="CA16"/>
  <c r="CK17"/>
  <c r="CN17" s="1"/>
  <c r="CK19"/>
  <c r="CN19" s="1"/>
  <c r="CS26"/>
  <c r="Z10"/>
  <c r="Z5" s="1"/>
  <c r="AB49"/>
  <c r="AJ55"/>
  <c r="BL57"/>
  <c r="CS58"/>
  <c r="CQ63"/>
  <c r="P68"/>
  <c r="CK11"/>
  <c r="CE56"/>
  <c r="L65"/>
  <c r="AM57"/>
  <c r="AI37"/>
  <c r="AN57"/>
  <c r="AJ63"/>
  <c r="AJ52"/>
  <c r="CL7"/>
  <c r="AJ66"/>
  <c r="AJ6"/>
  <c r="AB7"/>
  <c r="P12"/>
  <c r="BX12"/>
  <c r="BD13"/>
  <c r="BL16"/>
  <c r="H46"/>
  <c r="CM55"/>
  <c r="CP58"/>
  <c r="N65"/>
  <c r="N56" s="1"/>
  <c r="O68"/>
  <c r="BD12"/>
  <c r="AO56"/>
  <c r="AQ56" s="1"/>
  <c r="V5"/>
  <c r="CQ37"/>
  <c r="AG12"/>
  <c r="CQ12" s="1"/>
  <c r="AI66"/>
  <c r="AV7"/>
  <c r="BW7"/>
  <c r="AK10"/>
  <c r="F27"/>
  <c r="H27" s="1"/>
  <c r="AX27"/>
  <c r="AZ27" s="1"/>
  <c r="CN44"/>
  <c r="T46"/>
  <c r="AI52"/>
  <c r="AX65"/>
  <c r="CK8"/>
  <c r="CN8" s="1"/>
  <c r="AR57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O128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C156" s="1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S60"/>
  <c r="C61"/>
  <c r="S61" s="1"/>
  <c r="C66"/>
  <c r="S66" s="1"/>
  <c r="C68"/>
  <c r="S68" s="1"/>
  <c r="C70"/>
  <c r="S70" s="1"/>
  <c r="C85"/>
  <c r="S85" s="1"/>
  <c r="S87"/>
  <c r="C89"/>
  <c r="S89" s="1"/>
  <c r="S98"/>
  <c r="M156"/>
  <c r="S164"/>
  <c r="C194"/>
  <c r="S194" s="1"/>
  <c r="F201"/>
  <c r="K201"/>
  <c r="E223"/>
  <c r="S226"/>
  <c r="E18"/>
  <c r="C53"/>
  <c r="S53" s="1"/>
  <c r="L71"/>
  <c r="N71" s="1"/>
  <c r="F84"/>
  <c r="M84"/>
  <c r="C93"/>
  <c r="S93" s="1"/>
  <c r="X57" i="18"/>
  <c r="O16"/>
  <c r="AJ17"/>
  <c r="CQ19"/>
  <c r="H16"/>
  <c r="AI18"/>
  <c r="CK20"/>
  <c r="CK21"/>
  <c r="CN21" s="1"/>
  <c r="CK24"/>
  <c r="CM24" s="1"/>
  <c r="BU10"/>
  <c r="E10"/>
  <c r="E5" s="1"/>
  <c r="AE16"/>
  <c r="AJ20"/>
  <c r="CK47"/>
  <c r="CE7"/>
  <c r="BV10"/>
  <c r="CD10"/>
  <c r="CD5" s="1"/>
  <c r="CD76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BX7" i="18"/>
  <c r="C94" i="15"/>
  <c r="H91"/>
  <c r="E94"/>
  <c r="G57"/>
  <c r="H57"/>
  <c r="H31"/>
  <c r="G25"/>
  <c r="H17"/>
  <c r="F5"/>
  <c r="F53" s="1"/>
  <c r="F95" s="1"/>
  <c r="N145" i="8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AF56" i="18"/>
  <c r="BX65"/>
  <c r="CM53"/>
  <c r="AJ30"/>
  <c r="BD8"/>
  <c r="AR65"/>
  <c r="BD43"/>
  <c r="CN41"/>
  <c r="CN33"/>
  <c r="BD41"/>
  <c r="BD42"/>
  <c r="CN43"/>
  <c r="N10"/>
  <c r="N5" s="1"/>
  <c r="CN20"/>
  <c r="CM19"/>
  <c r="CQ17"/>
  <c r="CK26"/>
  <c r="CN26" s="1"/>
  <c r="BD25"/>
  <c r="CK18"/>
  <c r="CM18" s="1"/>
  <c r="AJ46"/>
  <c r="CH10"/>
  <c r="CH5" s="1"/>
  <c r="CQ73"/>
  <c r="BQ56"/>
  <c r="BX57"/>
  <c r="CE57"/>
  <c r="AI72"/>
  <c r="CE65"/>
  <c r="BZ56"/>
  <c r="CQ30"/>
  <c r="W16"/>
  <c r="AR16"/>
  <c r="AY16"/>
  <c r="BH16"/>
  <c r="CK25"/>
  <c r="CN25" s="1"/>
  <c r="AZ16"/>
  <c r="BP16"/>
  <c r="CJ16"/>
  <c r="CP16"/>
  <c r="BX16"/>
  <c r="CE16"/>
  <c r="G16"/>
  <c r="S16"/>
  <c r="P27"/>
  <c r="BL27"/>
  <c r="BX27"/>
  <c r="BD36"/>
  <c r="U10"/>
  <c r="X10" s="1"/>
  <c r="AC10"/>
  <c r="AE10" s="1"/>
  <c r="AM16"/>
  <c r="AU16"/>
  <c r="AJ18"/>
  <c r="CG10"/>
  <c r="CG5" s="1"/>
  <c r="CG76" s="1"/>
  <c r="AJ47"/>
  <c r="BD46"/>
  <c r="AJ45"/>
  <c r="CQ51"/>
  <c r="BD44"/>
  <c r="BD45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AJ53" i="18"/>
  <c r="CQ53"/>
  <c r="P49"/>
  <c r="X49"/>
  <c r="CF27"/>
  <c r="BD47"/>
  <c r="CQ44"/>
  <c r="AJ44"/>
  <c r="BJ5"/>
  <c r="BJ76" s="1"/>
  <c r="AJ34"/>
  <c r="BD29"/>
  <c r="CN30"/>
  <c r="AP5"/>
  <c r="AP76" s="1"/>
  <c r="CJ57"/>
  <c r="CF16"/>
  <c r="CF57"/>
  <c r="CN55"/>
  <c r="AJ49"/>
  <c r="CQ55"/>
  <c r="BF5"/>
  <c r="BF76" s="1"/>
  <c r="AK5"/>
  <c r="T49"/>
  <c r="CS49"/>
  <c r="CQ38"/>
  <c r="X27"/>
  <c r="AR27"/>
  <c r="CQ39"/>
  <c r="AJ39"/>
  <c r="CP49"/>
  <c r="CE27"/>
  <c r="CQ32"/>
  <c r="Y10"/>
  <c r="Y5" s="1"/>
  <c r="Y76" s="1"/>
  <c r="BD33"/>
  <c r="CQ47"/>
  <c r="AJ42"/>
  <c r="BA27"/>
  <c r="BD30"/>
  <c r="CQ49"/>
  <c r="H49"/>
  <c r="AJ43"/>
  <c r="CQ28"/>
  <c r="CC10"/>
  <c r="AW10"/>
  <c r="AJ28"/>
  <c r="AJ29"/>
  <c r="BD32"/>
  <c r="BD34"/>
  <c r="BD35"/>
  <c r="CQ46"/>
  <c r="CN46"/>
  <c r="CN42"/>
  <c r="AO10"/>
  <c r="AR10" s="1"/>
  <c r="AJ32"/>
  <c r="AN49"/>
  <c r="CB12"/>
  <c r="BW56"/>
  <c r="AE27"/>
  <c r="AE65"/>
  <c r="K65"/>
  <c r="X65"/>
  <c r="T57"/>
  <c r="W56"/>
  <c r="M10"/>
  <c r="M5" s="1"/>
  <c r="M76" s="1"/>
  <c r="W27"/>
  <c r="X16"/>
  <c r="P16"/>
  <c r="K16"/>
  <c r="AE56"/>
  <c r="AJ21"/>
  <c r="CS7"/>
  <c r="P7"/>
  <c r="CQ25"/>
  <c r="AJ25"/>
  <c r="AJ37"/>
  <c r="AJ38"/>
  <c r="L49"/>
  <c r="O27"/>
  <c r="K27"/>
  <c r="CQ57"/>
  <c r="V76"/>
  <c r="AB56"/>
  <c r="AJ71"/>
  <c r="CF12"/>
  <c r="CF7"/>
  <c r="CB57"/>
  <c r="BY10"/>
  <c r="BP65"/>
  <c r="BK65"/>
  <c r="BG65"/>
  <c r="AW56"/>
  <c r="AV65"/>
  <c r="BA65"/>
  <c r="BA57"/>
  <c r="AR49"/>
  <c r="BD49"/>
  <c r="BD37"/>
  <c r="AQ16"/>
  <c r="BC16"/>
  <c r="CS16"/>
  <c r="AI11"/>
  <c r="AX10" l="1"/>
  <c r="BD7"/>
  <c r="AU5"/>
  <c r="R134" i="8"/>
  <c r="R127" s="1"/>
  <c r="R240" s="1"/>
  <c r="R242" s="1"/>
  <c r="I134"/>
  <c r="C206"/>
  <c r="N223"/>
  <c r="K134"/>
  <c r="N201"/>
  <c r="N140"/>
  <c r="C130"/>
  <c r="C71"/>
  <c r="C84"/>
  <c r="G12"/>
  <c r="N79"/>
  <c r="H134"/>
  <c r="L12"/>
  <c r="H12"/>
  <c r="L134"/>
  <c r="L127" s="1"/>
  <c r="L240" s="1"/>
  <c r="L242" s="1"/>
  <c r="F134"/>
  <c r="F127" s="1"/>
  <c r="F240" s="1"/>
  <c r="F242" s="1"/>
  <c r="J12"/>
  <c r="J5" s="1"/>
  <c r="J118" s="1"/>
  <c r="J120" s="1"/>
  <c r="O134"/>
  <c r="O127" s="1"/>
  <c r="O240" s="1"/>
  <c r="O242" s="1"/>
  <c r="J134"/>
  <c r="J127" s="1"/>
  <c r="J240" s="1"/>
  <c r="J242" s="1"/>
  <c r="I12"/>
  <c r="N101"/>
  <c r="R12"/>
  <c r="R5" s="1"/>
  <c r="R118" s="1"/>
  <c r="R120" s="1"/>
  <c r="C101"/>
  <c r="S156"/>
  <c r="U34" s="1"/>
  <c r="CK65" i="18"/>
  <c r="AM10"/>
  <c r="BE5"/>
  <c r="BE76" s="1"/>
  <c r="AG56"/>
  <c r="CM47"/>
  <c r="CK27"/>
  <c r="CN11"/>
  <c r="CK57"/>
  <c r="CN47"/>
  <c r="BK10"/>
  <c r="CN36"/>
  <c r="AR56"/>
  <c r="T56"/>
  <c r="CM17"/>
  <c r="BU5"/>
  <c r="BU76" s="1"/>
  <c r="CM37"/>
  <c r="AV5"/>
  <c r="G56"/>
  <c r="AJ57"/>
  <c r="AV10"/>
  <c r="K10"/>
  <c r="CK12"/>
  <c r="CM12" s="1"/>
  <c r="BP10"/>
  <c r="CM52"/>
  <c r="AU10"/>
  <c r="AZ65"/>
  <c r="AX56"/>
  <c r="AY56" s="1"/>
  <c r="BH56"/>
  <c r="CL57"/>
  <c r="CN57" s="1"/>
  <c r="AH56"/>
  <c r="AH76" s="1"/>
  <c r="BB10"/>
  <c r="G27"/>
  <c r="F10"/>
  <c r="F5" s="1"/>
  <c r="CB56"/>
  <c r="CQ16"/>
  <c r="CM11"/>
  <c r="CN13"/>
  <c r="CM13"/>
  <c r="CM49"/>
  <c r="CN45"/>
  <c r="C145" i="8"/>
  <c r="S145" s="1"/>
  <c r="U23" s="1"/>
  <c r="S206"/>
  <c r="U84" s="1"/>
  <c r="M12"/>
  <c r="M5" s="1"/>
  <c r="M118" s="1"/>
  <c r="M120" s="1"/>
  <c r="O12"/>
  <c r="O5" s="1"/>
  <c r="O118" s="1"/>
  <c r="O120" s="1"/>
  <c r="S130"/>
  <c r="Q134"/>
  <c r="Q127" s="1"/>
  <c r="Q240" s="1"/>
  <c r="Q242" s="1"/>
  <c r="F12"/>
  <c r="F5" s="1"/>
  <c r="F118" s="1"/>
  <c r="F120" s="1"/>
  <c r="N18"/>
  <c r="N12" s="1"/>
  <c r="S79"/>
  <c r="S193"/>
  <c r="M134"/>
  <c r="M127" s="1"/>
  <c r="I5"/>
  <c r="I118" s="1"/>
  <c r="I120" s="1"/>
  <c r="G134"/>
  <c r="C34"/>
  <c r="S34" s="1"/>
  <c r="K12"/>
  <c r="K5" s="1"/>
  <c r="K118" s="1"/>
  <c r="K120" s="1"/>
  <c r="E12"/>
  <c r="E5" s="1"/>
  <c r="E118" s="1"/>
  <c r="E120" s="1"/>
  <c r="S15"/>
  <c r="CK16" i="18"/>
  <c r="CN16" s="1"/>
  <c r="CQ7"/>
  <c r="CK7"/>
  <c r="CN7" s="1"/>
  <c r="AJ7"/>
  <c r="CM21"/>
  <c r="AT76"/>
  <c r="AV76" s="1"/>
  <c r="AJ12"/>
  <c r="K5"/>
  <c r="I76"/>
  <c r="CT65"/>
  <c r="CW56"/>
  <c r="BS56"/>
  <c r="BT56"/>
  <c r="CV65"/>
  <c r="CU65"/>
  <c r="S201" i="8"/>
  <c r="E134"/>
  <c r="E127" s="1"/>
  <c r="E240" s="1"/>
  <c r="E242" s="1"/>
  <c r="S128"/>
  <c r="CU27" i="18"/>
  <c r="CV27"/>
  <c r="CT27"/>
  <c r="BV5"/>
  <c r="BV76" s="1"/>
  <c r="CA10"/>
  <c r="BL10"/>
  <c r="BZ76"/>
  <c r="BO10"/>
  <c r="CW10"/>
  <c r="AN5"/>
  <c r="AL76"/>
  <c r="CP65"/>
  <c r="CL5"/>
  <c r="S71" i="8"/>
  <c r="L5"/>
  <c r="L118" s="1"/>
  <c r="L120" s="1"/>
  <c r="E140" i="17"/>
  <c r="I140" s="1"/>
  <c r="AN10" i="18"/>
  <c r="CF10"/>
  <c r="BX10"/>
  <c r="BQ5"/>
  <c r="BQ76" s="1"/>
  <c r="BT10"/>
  <c r="BS10"/>
  <c r="CN38"/>
  <c r="CN58"/>
  <c r="CA56"/>
  <c r="CN24"/>
  <c r="BH10"/>
  <c r="CM26"/>
  <c r="CM8"/>
  <c r="AV56"/>
  <c r="AY65"/>
  <c r="CS27"/>
  <c r="CP27"/>
  <c r="P65"/>
  <c r="N76"/>
  <c r="O65"/>
  <c r="BD57"/>
  <c r="BD58"/>
  <c r="CI65"/>
  <c r="CJ65"/>
  <c r="AI68"/>
  <c r="AJ68"/>
  <c r="CS65"/>
  <c r="T27"/>
  <c r="S27"/>
  <c r="R10"/>
  <c r="CH76"/>
  <c r="N134" i="8"/>
  <c r="C140"/>
  <c r="C18"/>
  <c r="S84"/>
  <c r="Q12"/>
  <c r="Q5" s="1"/>
  <c r="Q118" s="1"/>
  <c r="Q120" s="1"/>
  <c r="S137"/>
  <c r="C223"/>
  <c r="S223" s="1"/>
  <c r="U101" s="1"/>
  <c r="D12"/>
  <c r="S23"/>
  <c r="K127"/>
  <c r="K240" s="1"/>
  <c r="K242" s="1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I127" i="8"/>
  <c r="I240" s="1"/>
  <c r="I242" s="1"/>
  <c r="C8"/>
  <c r="S8" s="1"/>
  <c r="D6"/>
  <c r="H15" i="15"/>
  <c r="G15"/>
  <c r="G5"/>
  <c r="E53"/>
  <c r="CJ10" i="18"/>
  <c r="CN35"/>
  <c r="AJ16"/>
  <c r="Z76"/>
  <c r="AB76" s="1"/>
  <c r="H56"/>
  <c r="AA56"/>
  <c r="CI10"/>
  <c r="CQ27"/>
  <c r="CM27"/>
  <c r="U5"/>
  <c r="W5" s="1"/>
  <c r="AF10"/>
  <c r="AC5"/>
  <c r="AC76" s="1"/>
  <c r="CN34"/>
  <c r="W10"/>
  <c r="CN18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7"/>
  <c r="BK5"/>
  <c r="AM5"/>
  <c r="BP5"/>
  <c r="BO5"/>
  <c r="AA10"/>
  <c r="BW5"/>
  <c r="AG10"/>
  <c r="AJ27"/>
  <c r="BA10"/>
  <c r="AK76"/>
  <c r="CN28"/>
  <c r="AX5"/>
  <c r="BB5" s="1"/>
  <c r="AB10"/>
  <c r="AY10"/>
  <c r="CN49"/>
  <c r="BH5"/>
  <c r="BG5"/>
  <c r="CN29"/>
  <c r="AW5"/>
  <c r="AW76" s="1"/>
  <c r="P10"/>
  <c r="O10"/>
  <c r="CI5"/>
  <c r="AO5"/>
  <c r="AQ10"/>
  <c r="CE10"/>
  <c r="CC5"/>
  <c r="E76"/>
  <c r="AA5"/>
  <c r="AB5"/>
  <c r="Q76"/>
  <c r="P5"/>
  <c r="CN40"/>
  <c r="O5"/>
  <c r="CN39"/>
  <c r="CJ5"/>
  <c r="BY5"/>
  <c r="BY76" s="1"/>
  <c r="CB10"/>
  <c r="BN76"/>
  <c r="BP56"/>
  <c r="BO56"/>
  <c r="BL76"/>
  <c r="BK76"/>
  <c r="CQ56"/>
  <c r="BA56"/>
  <c r="AZ10"/>
  <c r="S140" i="8" l="1"/>
  <c r="N127"/>
  <c r="N240" s="1"/>
  <c r="N242" s="1"/>
  <c r="S101"/>
  <c r="C12"/>
  <c r="S12" s="1"/>
  <c r="BG76" i="18"/>
  <c r="BH76"/>
  <c r="CK10"/>
  <c r="CK56"/>
  <c r="CN12"/>
  <c r="BX5"/>
  <c r="CM16"/>
  <c r="AU76"/>
  <c r="AM76"/>
  <c r="CM7"/>
  <c r="AZ56"/>
  <c r="BD10"/>
  <c r="M240" i="8"/>
  <c r="M242" s="1"/>
  <c r="S18"/>
  <c r="AX76" i="18"/>
  <c r="AY76" s="1"/>
  <c r="BX76"/>
  <c r="BW76"/>
  <c r="N5" i="8"/>
  <c r="N118" s="1"/>
  <c r="N120" s="1"/>
  <c r="E143" i="17"/>
  <c r="I143" s="1"/>
  <c r="CW5" i="18"/>
  <c r="CU10"/>
  <c r="CT10"/>
  <c r="CV10"/>
  <c r="O76"/>
  <c r="CJ76"/>
  <c r="CI76"/>
  <c r="CS10"/>
  <c r="BT76"/>
  <c r="BS76"/>
  <c r="CP10"/>
  <c r="BS5"/>
  <c r="BT5"/>
  <c r="O56"/>
  <c r="P56"/>
  <c r="CI56"/>
  <c r="CJ56"/>
  <c r="AJ65"/>
  <c r="AI65"/>
  <c r="G10"/>
  <c r="H10"/>
  <c r="P76"/>
  <c r="S10"/>
  <c r="R5"/>
  <c r="T10"/>
  <c r="C134" i="8"/>
  <c r="S134" s="1"/>
  <c r="D127"/>
  <c r="N16" i="14"/>
  <c r="P16"/>
  <c r="N20"/>
  <c r="O20"/>
  <c r="N8"/>
  <c r="P8" s="1"/>
  <c r="C6" i="8"/>
  <c r="S6" s="1"/>
  <c r="D5"/>
  <c r="E95" i="15"/>
  <c r="H53"/>
  <c r="G53"/>
  <c r="AF5" i="18"/>
  <c r="AA76"/>
  <c r="AF76"/>
  <c r="X5"/>
  <c r="U76"/>
  <c r="AG5"/>
  <c r="AE76"/>
  <c r="AE5"/>
  <c r="CN27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N76" i="18"/>
  <c r="AJ10"/>
  <c r="AI10"/>
  <c r="BC10"/>
  <c r="CQ10"/>
  <c r="AY5"/>
  <c r="AO76"/>
  <c r="BA5"/>
  <c r="AQ5"/>
  <c r="AR5"/>
  <c r="AZ5"/>
  <c r="CC76"/>
  <c r="CF5"/>
  <c r="CE5"/>
  <c r="CM57"/>
  <c r="CB5"/>
  <c r="CA5"/>
  <c r="BP76"/>
  <c r="BO76"/>
  <c r="CN10" l="1"/>
  <c r="CK5"/>
  <c r="AZ76"/>
  <c r="AJ5"/>
  <c r="AG76"/>
  <c r="CW76"/>
  <c r="CU5"/>
  <c r="CT5"/>
  <c r="CV5"/>
  <c r="CS5"/>
  <c r="F76"/>
  <c r="G5"/>
  <c r="H5"/>
  <c r="AJ56"/>
  <c r="AI56"/>
  <c r="CP5"/>
  <c r="R76"/>
  <c r="T5"/>
  <c r="S5"/>
  <c r="D240" i="8"/>
  <c r="D242" s="1"/>
  <c r="C127"/>
  <c r="O16" i="14"/>
  <c r="P36"/>
  <c r="N36"/>
  <c r="O8"/>
  <c r="O38" s="1"/>
  <c r="N38" s="1"/>
  <c r="P20"/>
  <c r="C5" i="8"/>
  <c r="D118"/>
  <c r="D120" s="1"/>
  <c r="G95" i="15"/>
  <c r="H95"/>
  <c r="AI5" i="18"/>
  <c r="CQ5"/>
  <c r="X76"/>
  <c r="W76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M10" i="18"/>
  <c r="BD5"/>
  <c r="BC5"/>
  <c r="AR76"/>
  <c r="AQ76"/>
  <c r="CF76"/>
  <c r="CE76"/>
  <c r="BA76"/>
  <c r="CA76"/>
  <c r="CB76"/>
  <c r="CK76" l="1"/>
  <c r="CM5"/>
  <c r="AI76"/>
  <c r="CQ76"/>
  <c r="T76"/>
  <c r="S76"/>
  <c r="G76"/>
  <c r="H76"/>
  <c r="S127" i="8"/>
  <c r="S240" s="1"/>
  <c r="C240"/>
  <c r="C242" s="1"/>
  <c r="AJ76" i="18"/>
  <c r="O36" i="14"/>
  <c r="C118" i="8"/>
  <c r="C120" s="1"/>
  <c r="S5"/>
  <c r="S118" s="1"/>
  <c r="CN5" i="18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D6" i="16"/>
  <c r="D5" l="1"/>
  <c r="D136" s="1"/>
  <c r="T7"/>
  <c r="T6"/>
  <c r="D139" l="1"/>
  <c r="T143" l="1"/>
  <c r="T144" s="1"/>
  <c r="C139"/>
  <c r="T139" s="1"/>
  <c r="H55" i="22" l="1"/>
  <c r="F54" l="1"/>
  <c r="F98" s="1"/>
  <c r="G54" l="1"/>
  <c r="G98"/>
  <c r="H54"/>
  <c r="F99" l="1"/>
  <c r="G99" s="1"/>
  <c r="H98"/>
  <c r="H99" l="1"/>
  <c r="CS57" i="18"/>
  <c r="CP57"/>
  <c r="CV57"/>
  <c r="CT57"/>
  <c r="L57"/>
  <c r="CU57"/>
  <c r="L56"/>
  <c r="CU56" l="1"/>
  <c r="K56"/>
  <c r="CV56"/>
  <c r="J76"/>
  <c r="CS56"/>
  <c r="CT56"/>
  <c r="CP56"/>
  <c r="CV76" l="1"/>
  <c r="CP76"/>
  <c r="CU76"/>
  <c r="CS76"/>
  <c r="K76"/>
  <c r="CT76"/>
  <c r="L76"/>
  <c r="BD75" l="1"/>
  <c r="CL75" l="1"/>
  <c r="CM75" l="1"/>
  <c r="CN75"/>
  <c r="CL74"/>
  <c r="CN74" s="1"/>
  <c r="BD74"/>
  <c r="CL73" l="1"/>
  <c r="CN73" s="1"/>
  <c r="BD73"/>
  <c r="BD72" l="1"/>
  <c r="CL72"/>
  <c r="BD71" l="1"/>
  <c r="CL71"/>
  <c r="CN72"/>
  <c r="CM72"/>
  <c r="CN71" l="1"/>
  <c r="BD70"/>
  <c r="CL70"/>
  <c r="CN70" l="1"/>
  <c r="CM70"/>
  <c r="BC69"/>
  <c r="BD69"/>
  <c r="CL69"/>
  <c r="CN69" l="1"/>
  <c r="CM69"/>
  <c r="BD68"/>
  <c r="CL68"/>
  <c r="CL67" l="1"/>
  <c r="BC67"/>
  <c r="BD67"/>
  <c r="CM68"/>
  <c r="CN68"/>
  <c r="CM67" l="1"/>
  <c r="CN67"/>
  <c r="BC66"/>
  <c r="CL66"/>
  <c r="BB65"/>
  <c r="BB56" s="1"/>
  <c r="BD66"/>
  <c r="BB76" l="1"/>
  <c r="BD56"/>
  <c r="BC56"/>
  <c r="BD65"/>
  <c r="BC65"/>
  <c r="CL65"/>
  <c r="CL56" s="1"/>
  <c r="CN66"/>
  <c r="CM66"/>
  <c r="BC76" l="1"/>
  <c r="BD76"/>
  <c r="CM56"/>
  <c r="CL76"/>
  <c r="CN56"/>
  <c r="CM65"/>
  <c r="CN65"/>
  <c r="CM76" l="1"/>
  <c r="CN76"/>
</calcChain>
</file>

<file path=xl/sharedStrings.xml><?xml version="1.0" encoding="utf-8"?>
<sst xmlns="http://schemas.openxmlformats.org/spreadsheetml/2006/main" count="2635" uniqueCount="970">
  <si>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</si>
  <si>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</si>
  <si>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</si>
  <si>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</si>
  <si>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</si>
  <si>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</si>
  <si>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</si>
  <si>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</si>
  <si>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</si>
  <si>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</si>
  <si>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</si>
  <si>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</si>
  <si>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</si>
  <si>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</si>
  <si>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</si>
  <si>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</si>
  <si>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</si>
  <si>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</si>
  <si>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</si>
  <si>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</si>
  <si>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</si>
  <si>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</si>
  <si>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</si>
  <si>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</si>
  <si>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</si>
  <si>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</si>
  <si>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</si>
  <si>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</si>
  <si>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</si>
  <si>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</si>
  <si>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</si>
  <si>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</si>
  <si>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</si>
  <si>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</si>
  <si>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</si>
  <si>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</si>
  <si>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</si>
  <si>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</si>
  <si>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</si>
  <si>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</si>
  <si>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</si>
  <si>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</si>
  <si>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</si>
  <si>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</si>
  <si>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</si>
  <si>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</si>
  <si>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</si>
  <si>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</si>
  <si>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</si>
  <si>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</si>
  <si>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</si>
  <si>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</si>
  <si>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</si>
  <si>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</si>
  <si>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</si>
  <si>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</si>
  <si>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</si>
  <si>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</si>
  <si>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</si>
  <si>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</si>
  <si>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</si>
  <si>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</si>
  <si>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</si>
  <si>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</si>
  <si>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</si>
  <si>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</si>
  <si>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</si>
  <si>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</si>
  <si>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</si>
  <si>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</si>
  <si>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</si>
  <si>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</si>
  <si>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</si>
  <si>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</si>
  <si>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</si>
  <si>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Начис-лено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</si>
  <si>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</si>
  <si>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</si>
  <si>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</si>
  <si>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</si>
  <si>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</si>
  <si>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</si>
  <si>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</si>
  <si>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</si>
  <si>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</si>
  <si>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</si>
  <si>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</si>
  <si>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</si>
  <si>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</si>
  <si>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</si>
  <si>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</si>
  <si>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</si>
  <si>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</si>
  <si>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</si>
  <si>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</si>
  <si>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</si>
  <si>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</si>
  <si>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</si>
  <si>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</si>
  <si>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</si>
  <si>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</si>
  <si>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</si>
  <si>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</si>
  <si>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</si>
  <si>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</si>
  <si>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</si>
  <si>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</si>
  <si>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</si>
  <si>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</si>
  <si>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</si>
  <si>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</si>
  <si>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</si>
  <si>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</si>
  <si>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</si>
  <si>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</si>
  <si>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</si>
  <si>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</si>
  <si>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</si>
  <si>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</si>
  <si>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</si>
  <si>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</si>
  <si>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</si>
  <si>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</si>
  <si>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</si>
  <si>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</si>
  <si>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</si>
  <si>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</si>
  <si>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</si>
  <si>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</si>
  <si>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</si>
  <si>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</si>
  <si>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</si>
  <si>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</si>
  <si>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</si>
  <si>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</si>
  <si>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</si>
  <si>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</si>
  <si>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</si>
  <si>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</si>
  <si>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</si>
  <si>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</si>
  <si>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</si>
  <si>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</si>
  <si>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</si>
  <si>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</si>
  <si>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</si>
  <si>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</si>
  <si>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</si>
  <si>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</si>
  <si>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</si>
  <si>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</si>
  <si>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</si>
  <si>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</si>
  <si>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</si>
  <si>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</si>
  <si>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</si>
  <si>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</si>
  <si>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</si>
  <si>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</si>
  <si>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</si>
  <si>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</si>
  <si>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</si>
  <si>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</si>
  <si>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</si>
  <si>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</si>
  <si>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</si>
  <si>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</si>
  <si>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</si>
  <si>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</si>
  <si>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</si>
  <si>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</si>
  <si>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</si>
  <si>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</si>
  <si>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</si>
  <si>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</si>
  <si>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</si>
  <si>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</si>
  <si>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</si>
  <si>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</si>
  <si>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</si>
  <si>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</si>
  <si>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</si>
  <si>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</si>
  <si>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</si>
  <si>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</si>
  <si>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</si>
  <si>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</si>
  <si>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</si>
  <si>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</si>
  <si>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</si>
  <si>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</si>
  <si>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</si>
  <si>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</si>
  <si>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</si>
  <si>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</si>
  <si>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</si>
  <si>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</si>
  <si>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</si>
  <si>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</si>
  <si>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</si>
  <si>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</si>
  <si>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</si>
  <si>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</si>
  <si>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</si>
  <si>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</si>
  <si>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</si>
  <si>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</si>
  <si>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</si>
  <si>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</si>
  <si>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</si>
  <si>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</si>
  <si>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</si>
  <si>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</si>
  <si>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</si>
  <si>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</si>
  <si>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</si>
  <si>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</si>
  <si>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</si>
  <si>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</si>
  <si>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</si>
  <si>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</si>
  <si>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</si>
  <si>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</si>
  <si>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</si>
  <si>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</si>
  <si>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</si>
  <si>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</si>
  <si>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</si>
  <si>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</si>
  <si>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>недоплата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</si>
  <si>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</si>
  <si>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</si>
  <si>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</si>
  <si>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</si>
  <si>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</si>
  <si>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</si>
  <si>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</si>
  <si>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</si>
  <si>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</si>
  <si>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</si>
  <si>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</si>
  <si>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</si>
  <si>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</si>
  <si>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</si>
  <si>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</si>
  <si>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</si>
  <si>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</si>
  <si>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</si>
  <si>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</si>
  <si>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</si>
  <si>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</si>
  <si>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</si>
  <si>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</si>
  <si>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</si>
  <si>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</si>
  <si>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</si>
  <si>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</si>
  <si>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</si>
  <si>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</si>
  <si>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</si>
  <si>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</si>
  <si>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</si>
  <si>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</si>
  <si>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</si>
  <si>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</si>
  <si>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</si>
  <si>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</si>
  <si>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</si>
  <si>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</si>
  <si>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</si>
  <si>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</si>
  <si>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</si>
  <si>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</si>
  <si>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</si>
  <si>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</si>
  <si>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</si>
  <si>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</si>
  <si>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</si>
  <si>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</si>
  <si>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</si>
  <si>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</si>
  <si>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</si>
  <si>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</si>
  <si>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</si>
  <si>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</si>
  <si>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</si>
  <si>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</si>
  <si>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</si>
  <si>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</si>
  <si>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</si>
  <si>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</si>
  <si>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</si>
  <si>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</si>
  <si>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</si>
  <si>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</si>
  <si>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</si>
  <si>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</si>
  <si>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</si>
  <si>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</si>
  <si>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</si>
  <si>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</si>
  <si>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</si>
  <si>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</si>
  <si>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</si>
  <si>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</si>
  <si>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</si>
  <si>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</si>
  <si>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</si>
  <si>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</si>
  <si>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</si>
  <si>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</si>
  <si>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</si>
  <si>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</si>
  <si>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</si>
  <si>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</si>
  <si>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</si>
  <si>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</si>
  <si>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</si>
  <si>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</si>
  <si>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</si>
  <si>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</si>
  <si>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</si>
  <si>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</si>
  <si>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</si>
  <si>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</si>
  <si>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</si>
  <si>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</si>
  <si>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</si>
  <si>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</si>
  <si>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</si>
  <si>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</si>
  <si>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</si>
  <si>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</si>
  <si>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</si>
  <si>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</si>
  <si>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</si>
  <si>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</si>
  <si>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</si>
  <si>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</si>
  <si>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</si>
  <si>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</si>
  <si>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</si>
  <si>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</si>
  <si>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</si>
  <si>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</si>
  <si>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</si>
  <si>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</si>
  <si>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</si>
  <si>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</si>
  <si>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</si>
  <si>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</si>
  <si>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</si>
  <si>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</si>
  <si>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</si>
  <si>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</si>
  <si>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</si>
  <si>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</si>
  <si>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</si>
  <si>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</si>
  <si>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</si>
  <si>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</si>
  <si>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</si>
  <si>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</si>
  <si>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</si>
  <si>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</si>
  <si>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</si>
  <si>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</si>
  <si>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</si>
  <si>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</si>
  <si>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</si>
  <si>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</si>
  <si>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</si>
  <si>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</si>
  <si>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</si>
  <si>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</si>
  <si>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</si>
  <si>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</si>
  <si>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</si>
  <si>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</si>
  <si>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</si>
  <si>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</si>
  <si>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</si>
  <si>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</si>
  <si>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</si>
  <si>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</si>
  <si>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</si>
  <si>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</si>
  <si>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</si>
  <si>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</si>
  <si>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</si>
  <si>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</si>
  <si>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</si>
  <si>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</si>
  <si>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</si>
  <si>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</si>
  <si>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</si>
  <si>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</si>
  <si>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</si>
  <si>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</si>
  <si>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</si>
  <si>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</si>
  <si>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</si>
  <si>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</si>
  <si>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</si>
  <si>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</si>
  <si>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</si>
  <si>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</si>
  <si>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</si>
  <si>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</si>
  <si>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</si>
  <si>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</si>
  <si>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</si>
  <si>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</si>
  <si>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</si>
  <si>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</si>
  <si>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</si>
  <si>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</si>
  <si>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</si>
  <si>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</si>
  <si>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</si>
  <si>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</si>
  <si>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</si>
  <si>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</si>
  <si>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</si>
  <si>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</si>
  <si>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</si>
  <si>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</si>
  <si>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</si>
  <si>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</si>
  <si>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</si>
  <si>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</si>
  <si>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</si>
  <si>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</si>
  <si>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</si>
  <si>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</si>
  <si>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</si>
  <si>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</si>
  <si>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</si>
  <si>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</si>
  <si>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</si>
  <si>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</si>
  <si>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</si>
  <si>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</si>
  <si>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</si>
  <si>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</si>
  <si>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</si>
  <si>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</si>
  <si>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</si>
  <si>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</si>
  <si>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</si>
  <si>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</si>
  <si>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</si>
  <si>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</si>
  <si>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</si>
  <si>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</si>
  <si>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</si>
  <si>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</si>
  <si>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</si>
  <si>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</si>
  <si>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</si>
  <si>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</si>
  <si>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</si>
  <si>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</si>
  <si>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</si>
  <si>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</si>
  <si>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</si>
  <si>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</si>
  <si>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</si>
  <si>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</si>
  <si>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</si>
  <si>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</si>
  <si>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</si>
  <si>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</si>
  <si>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</si>
  <si>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</si>
  <si>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</si>
  <si>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</si>
  <si>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</si>
  <si>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</si>
  <si>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</si>
  <si>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</si>
  <si>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</si>
  <si>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</si>
  <si>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</si>
  <si>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</si>
  <si>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</si>
  <si>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</si>
  <si>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</si>
  <si>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</si>
  <si>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</si>
  <si>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</si>
  <si>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</si>
  <si>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</si>
  <si>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</si>
  <si>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</si>
  <si>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</si>
  <si>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</si>
  <si>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</si>
  <si>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</si>
  <si>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</si>
  <si>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</si>
  <si>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</si>
  <si>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</si>
  <si>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</si>
  <si>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</si>
  <si>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</si>
  <si>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</si>
  <si>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</si>
  <si>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</si>
  <si>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</si>
  <si>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</si>
  <si>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</si>
  <si>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</si>
  <si>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</si>
  <si>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</si>
  <si>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</si>
  <si>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</si>
  <si>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</si>
  <si>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</si>
  <si>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</si>
  <si>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</si>
  <si>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</si>
  <si>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</si>
  <si>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</si>
  <si>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</si>
  <si>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</si>
  <si>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</si>
  <si>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</si>
  <si>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</si>
  <si>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</si>
  <si>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</si>
  <si>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</si>
  <si>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</si>
  <si>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</si>
  <si>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</si>
  <si>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</si>
  <si>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</si>
  <si>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</si>
  <si>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</si>
  <si>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</si>
  <si>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</si>
  <si>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</si>
  <si>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</si>
  <si>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</si>
  <si>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</si>
  <si>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</si>
  <si>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</si>
  <si>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</si>
  <si>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</si>
  <si>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</si>
  <si>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</si>
  <si>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</si>
  <si>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</si>
  <si>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</si>
  <si>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</si>
  <si>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</si>
  <si>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</si>
  <si>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</si>
  <si>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</si>
  <si>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</si>
  <si>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</si>
  <si>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</si>
  <si>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</si>
  <si>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</si>
  <si>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</si>
  <si>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</si>
  <si>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</si>
  <si>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</si>
  <si>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</si>
  <si>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</si>
  <si>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</si>
  <si>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</si>
  <si>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</si>
  <si>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</si>
  <si>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</si>
  <si>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</si>
  <si>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</si>
  <si>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</si>
  <si>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</si>
  <si>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</si>
  <si>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</si>
  <si>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</si>
  <si>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</si>
  <si>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</si>
  <si>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</si>
  <si>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</si>
  <si>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</si>
  <si>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</si>
  <si>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</si>
  <si>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</si>
  <si>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</si>
  <si>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</si>
  <si>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</si>
  <si>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</si>
  <si>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</si>
  <si>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</si>
  <si>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</si>
  <si>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</si>
  <si>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</si>
  <si>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</si>
  <si>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</si>
  <si>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</si>
  <si>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</si>
  <si>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</si>
  <si>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</si>
  <si>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</si>
  <si>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</si>
  <si>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</si>
  <si>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</si>
  <si>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</si>
  <si>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</si>
  <si>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</si>
  <si>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</si>
  <si>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</si>
  <si>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</si>
  <si>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</si>
  <si>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</si>
  <si>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</si>
  <si>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</si>
  <si>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</si>
  <si>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</si>
  <si>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</si>
  <si>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</si>
  <si>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</si>
  <si>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</si>
  <si>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</si>
  <si>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</si>
  <si>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</si>
  <si>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</si>
  <si>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</si>
  <si>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</si>
  <si>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</si>
  <si>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</si>
  <si>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</si>
  <si>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</si>
  <si>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</si>
  <si>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</si>
  <si>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</si>
  <si>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</si>
  <si>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</si>
  <si>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</si>
  <si>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</si>
  <si>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</si>
  <si>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</si>
  <si>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</si>
  <si>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</si>
  <si>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</si>
  <si>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</si>
  <si>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</si>
  <si>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</si>
  <si>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</si>
  <si>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</si>
  <si>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</si>
  <si>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</si>
  <si>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</si>
  <si>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</si>
  <si>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</si>
  <si>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</si>
  <si>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</si>
  <si>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</si>
  <si>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</si>
  <si>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</si>
  <si>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</si>
  <si>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</si>
  <si>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</si>
  <si>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</si>
  <si>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</si>
  <si>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</si>
  <si>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</si>
  <si>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</si>
  <si>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</si>
  <si>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</si>
  <si>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</si>
  <si>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</si>
  <si>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</si>
  <si>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</si>
  <si>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</si>
  <si>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</si>
  <si>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</si>
  <si>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</si>
  <si>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</si>
  <si>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</si>
  <si>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</si>
  <si>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</si>
  <si>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</si>
  <si>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</si>
  <si>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</si>
  <si>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</si>
  <si>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</si>
  <si>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</si>
  <si>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</si>
  <si>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</si>
  <si>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</si>
  <si>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</si>
  <si>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</si>
  <si>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</si>
  <si>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</si>
  <si>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</si>
  <si>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</si>
  <si>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</si>
  <si>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</si>
  <si>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</si>
  <si>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</si>
  <si>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</si>
  <si>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</si>
  <si>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</si>
  <si>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</si>
  <si>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</si>
  <si>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</si>
  <si>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</si>
  <si>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</si>
  <si>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</si>
  <si>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</si>
  <si>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</si>
  <si>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</si>
  <si>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</si>
  <si>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</si>
  <si>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</si>
  <si>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</si>
  <si>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</si>
  <si>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</si>
  <si>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</si>
  <si>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>резервный фонд      0111 0700500 870</t>
  </si>
  <si>
    <t xml:space="preserve"> - оплата труда</t>
  </si>
  <si>
    <t xml:space="preserve"> - услуги связи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</si>
  <si>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</si>
  <si>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</si>
  <si>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</si>
  <si>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</si>
  <si>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</si>
  <si>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</si>
  <si>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</si>
  <si>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</si>
  <si>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</si>
  <si>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</si>
  <si>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</si>
  <si>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</si>
  <si>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оценка земельных участков</t>
  </si>
  <si>
    <t xml:space="preserve"> - изгот.баннеров</t>
  </si>
  <si>
    <t xml:space="preserve"> - Дорожн. Фонд</t>
  </si>
  <si>
    <t xml:space="preserve"> - тех.кадастр поспорт</t>
  </si>
  <si>
    <t>установ. Противопож. Сигнализации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</si>
  <si>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</si>
  <si>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</si>
  <si>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</si>
  <si>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</si>
  <si>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</si>
  <si>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книжный фонд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</si>
  <si>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</si>
  <si>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</si>
  <si>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</si>
  <si>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</si>
  <si>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</si>
  <si>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</si>
  <si>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</si>
  <si>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</si>
  <si>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</si>
  <si>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</si>
  <si>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</si>
  <si>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</si>
  <si>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</si>
  <si>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</si>
  <si>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</si>
  <si>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</si>
  <si>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</si>
  <si>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</si>
  <si>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</si>
  <si>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</si>
  <si>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</si>
  <si>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Задолженность родителей перед бюджетным учреждением  на 01.01.2020 года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</si>
  <si>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</si>
  <si>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</si>
  <si>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</si>
  <si>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</si>
  <si>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</si>
  <si>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</si>
  <si>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</si>
  <si>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Субсидии на частич.компен.доп.расходов на повышение оплаты труда работников бюджетной сферы и иные цели (пр.субсидии)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</si>
  <si>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2019 год</t>
  </si>
  <si>
    <t>Субсидии на поддержку обустройства мест массового отдыха населения (городских парков) на 2019 год</t>
  </si>
  <si>
    <t>Субсидии на поддержку муниципальных программ формирования современной городской среды на 2019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</si>
  <si>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2019 год  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</si>
  <si>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</si>
  <si>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</si>
  <si>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</si>
  <si>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 материальная помощь (в натур.форме)</t>
  </si>
  <si>
    <t>Приобретения оборудования,автотранспорта</t>
  </si>
  <si>
    <t>Капремонт домов многокв.доме</t>
  </si>
  <si>
    <t xml:space="preserve">Благоустройство </t>
  </si>
  <si>
    <t xml:space="preserve"> -прочие расходы </t>
  </si>
  <si>
    <t xml:space="preserve"> - обследование технич.состояния</t>
  </si>
  <si>
    <t>ОЖМС</t>
  </si>
  <si>
    <t xml:space="preserve"> -мусор 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</si>
  <si>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</si>
  <si>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</si>
  <si>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</si>
  <si>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</si>
  <si>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</si>
  <si>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</si>
  <si>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01.04. 2019</t>
  </si>
  <si>
    <t>ФКУ ГУ ВО Минфин России 2547</t>
  </si>
  <si>
    <t>Вечерняя школа             570</t>
  </si>
  <si>
    <t>МОУ МУК г.Ак-Довурака  605</t>
  </si>
  <si>
    <t>ООО "Ной"</t>
  </si>
  <si>
    <t>Монтажный участок №1 А-Д</t>
  </si>
  <si>
    <t>Динамика    изменения   недоимки   по  налогам  на 01.04. 2020 год                                                                 г.Ак-Довурак ( тыс. рублей)</t>
  </si>
  <si>
    <t>01.04. 2020</t>
  </si>
  <si>
    <t>ТСЖ "Энергетиков"</t>
  </si>
  <si>
    <t>ООО "Енисейлес"</t>
  </si>
  <si>
    <t>ООО ГОК "Туваасбест" 997,2461</t>
  </si>
  <si>
    <t>ООО "Аас-кежик"</t>
  </si>
  <si>
    <t>Благ.фонд "Подари солнце"</t>
  </si>
  <si>
    <t>ПАО "ФСК"</t>
  </si>
  <si>
    <t>Коэф.роста к 2019 году</t>
  </si>
  <si>
    <t>Откл.с 01.04.20 на 01.01.20</t>
  </si>
  <si>
    <t>ФГКУ1 отряд ФПС 2113</t>
  </si>
  <si>
    <t>ИНН</t>
  </si>
  <si>
    <t>1701052697</t>
  </si>
  <si>
    <t>Мин труда и соц.политика РТ</t>
  </si>
  <si>
    <t>1701059340</t>
  </si>
  <si>
    <t>1718000922</t>
  </si>
  <si>
    <t>1718001637</t>
  </si>
  <si>
    <t>1718001877</t>
  </si>
  <si>
    <t>1718001901</t>
  </si>
  <si>
    <t>1718001926</t>
  </si>
  <si>
    <t>1718002020</t>
  </si>
  <si>
    <t>1718002060</t>
  </si>
  <si>
    <t>1718002084</t>
  </si>
  <si>
    <t>1718002091</t>
  </si>
  <si>
    <t>1718002126</t>
  </si>
  <si>
    <t>1718002246</t>
  </si>
  <si>
    <t>1718002292</t>
  </si>
  <si>
    <t>1718002334</t>
  </si>
  <si>
    <t>1718002341</t>
  </si>
  <si>
    <t>1718002366</t>
  </si>
  <si>
    <t>1718002373</t>
  </si>
  <si>
    <t>1718002398</t>
  </si>
  <si>
    <t>1718002422</t>
  </si>
  <si>
    <t>ООО "Амбащ"</t>
  </si>
  <si>
    <t>ООО "Ника"</t>
  </si>
  <si>
    <t>ООО "ДОМ.РФ УПРАВЛЕНИЕ ПРОЕКТАМИ"</t>
  </si>
  <si>
    <t>ООО "Т2 МОБАЙЛ"</t>
  </si>
  <si>
    <t>План на 2020 г.</t>
  </si>
  <si>
    <t>Коэфф. роста 2020г. к 2019 г. (Гр.4/Гр.1)</t>
  </si>
  <si>
    <t>01.01. 2020.</t>
  </si>
  <si>
    <t xml:space="preserve">Центр РДД и П </t>
  </si>
  <si>
    <t xml:space="preserve">ГУП РТ ТЭК-4  </t>
  </si>
  <si>
    <t>1718002461</t>
  </si>
  <si>
    <t>АО Тываэнерго</t>
  </si>
  <si>
    <t>ООО "Дом.РФ Управление проектами</t>
  </si>
  <si>
    <t>Минтруд и соц.политика РТ</t>
  </si>
  <si>
    <t>ООО "Т2МОБАЙЛ"</t>
  </si>
  <si>
    <t>Субсидии бюджетам городских округов на реализацию мероприятий по обеспечению жильем для молодых семей на 2020 год</t>
  </si>
  <si>
    <t>Субсидии на поддержку отрасли культуры на 2020 год</t>
  </si>
  <si>
    <t xml:space="preserve">Субвенции бюджетам городских округов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</si>
  <si>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Субвенции бюджетам городских округов на организацию отдыха и оздоровления детей</t>
  </si>
  <si>
    <t>1 2 02 30024 04 0000 150</t>
  </si>
  <si>
    <t>Субвенции на осуществление переданных государственных полномочий по организации  мероприятий при осуществлении деятельности по обращению с животными без владельцев</t>
  </si>
  <si>
    <t>000.2.02.35.084.04.0000.150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</si>
  <si>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</si>
  <si>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000.2.02.35.469.04.0000.150</t>
  </si>
  <si>
    <t>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</si>
  <si>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Возврат прочих остатков субсидий и субвенций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</si>
  <si>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</si>
  <si>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</si>
  <si>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</si>
  <si>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</si>
  <si>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</si>
  <si>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</si>
  <si>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</si>
  <si>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</si>
  <si>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</si>
  <si>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</si>
  <si>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</si>
  <si>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</si>
  <si>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</si>
  <si>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</si>
  <si>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</si>
  <si>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</si>
  <si>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>Остаток  неисполь-зованных денежных средств на расчетном счету учрежде-ния по состоянию на 01.01.2020года</t>
  </si>
  <si>
    <t xml:space="preserve">  - оплата услуг банка (комиссия)</t>
  </si>
  <si>
    <t xml:space="preserve">   - мягкий инвентарь (спортивный)</t>
  </si>
  <si>
    <t xml:space="preserve"> - социальная помощь</t>
  </si>
  <si>
    <t xml:space="preserve"> - услуги по охране</t>
  </si>
  <si>
    <t xml:space="preserve"> отлов собак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</si>
  <si>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</si>
  <si>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</si>
  <si>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</si>
  <si>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</si>
  <si>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</si>
  <si>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 xml:space="preserve"> - текущий ремонт оборудования,зданий</t>
  </si>
  <si>
    <t>взносы, спонсорство</t>
  </si>
  <si>
    <t>Информация о  выполнении плана</t>
  </si>
  <si>
    <t xml:space="preserve"> за  2020 год</t>
  </si>
  <si>
    <t>Наименование доходов</t>
  </si>
  <si>
    <t>1701032570</t>
  </si>
  <si>
    <t xml:space="preserve"> Б-Х МВД     </t>
  </si>
  <si>
    <t>1718000337</t>
  </si>
  <si>
    <t>1718001500</t>
  </si>
  <si>
    <t xml:space="preserve">ДОУ "Теремок"     </t>
  </si>
  <si>
    <t xml:space="preserve">МУП ПАТП        </t>
  </si>
  <si>
    <t xml:space="preserve">ООО Ак-Довурактеплосбыт </t>
  </si>
  <si>
    <t>1718002662</t>
  </si>
  <si>
    <t>ООО "АЛМАЗ-СТРОЙ"</t>
  </si>
  <si>
    <t>1718002687</t>
  </si>
  <si>
    <t>1718002535</t>
  </si>
  <si>
    <t>1718001690</t>
  </si>
  <si>
    <t xml:space="preserve">ООО "Строитель ЖКХ" </t>
  </si>
  <si>
    <t>ООО "Туваасбесстрой"</t>
  </si>
  <si>
    <t xml:space="preserve">ТСЖ "Дружные пчелки"   </t>
  </si>
  <si>
    <t xml:space="preserve">ФГКУ1 отряд ФСП(пож.часть) </t>
  </si>
  <si>
    <t>Первоначальный план на 2020 г.</t>
  </si>
  <si>
    <t>Субвенции на ежемес выпл на детей в возрасте от 3х до 7лет включительно. Согл.Указ199от20.03.20за06.2020г.РБ-126523.35,ФБ-12525811.65</t>
  </si>
  <si>
    <t>000 2 02 45303 04 0000 150</t>
  </si>
  <si>
    <t>000 2 02 35302 04 0000 150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</si>
  <si>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</si>
  <si>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на реализацию программ формирования современной городской среды;</t>
  </si>
  <si>
    <t>000 2 19 35250 04 0000150</t>
  </si>
  <si>
    <t xml:space="preserve">  - вступ.взносы за участие</t>
  </si>
  <si>
    <t xml:space="preserve">  - другие аналогичные расходы</t>
  </si>
  <si>
    <t>Социальное обеспечение</t>
  </si>
  <si>
    <t>Прочие работы, услуги</t>
  </si>
  <si>
    <t>Оплата работ, услуг</t>
  </si>
  <si>
    <t xml:space="preserve">Дорожный фонд   </t>
  </si>
  <si>
    <t xml:space="preserve"> - другие экономические санкции </t>
  </si>
  <si>
    <t xml:space="preserve"> - приобр. приветственных адресов,поч.грамот</t>
  </si>
  <si>
    <t xml:space="preserve"> - страхование имущества</t>
  </si>
  <si>
    <t xml:space="preserve"> - работы по типовому проектированию</t>
  </si>
  <si>
    <t xml:space="preserve"> - проведение гос.экспертизы проект.документации</t>
  </si>
  <si>
    <t xml:space="preserve">  - услуги по организацию проведения торгов</t>
  </si>
  <si>
    <t xml:space="preserve"> - разработка генеральных планов</t>
  </si>
  <si>
    <t xml:space="preserve"> - межевание границ зем.уч.</t>
  </si>
  <si>
    <t xml:space="preserve"> - разработка проект. и сметн.документаци</t>
  </si>
  <si>
    <t xml:space="preserve"> -дезинфекция, дезинсекция</t>
  </si>
  <si>
    <t xml:space="preserve"> - услуги интернет-провайдер</t>
  </si>
  <si>
    <t xml:space="preserve"> Увеличение стоимости основных средств </t>
  </si>
  <si>
    <t xml:space="preserve"> -устранение неисправнестей отд объектов</t>
  </si>
  <si>
    <t xml:space="preserve"> - приобретение котельно-печного топлива </t>
  </si>
  <si>
    <t xml:space="preserve"> - приобретение специальной продукции</t>
  </si>
  <si>
    <t>по сост.на 01.10.2020г</t>
  </si>
  <si>
    <t>Факт январь-сентябрь 2019г.</t>
  </si>
  <si>
    <t>январь-сентябрь  2020г.</t>
  </si>
  <si>
    <t>Факт сентябрь 2019г.</t>
  </si>
  <si>
    <t>сентябрь</t>
  </si>
  <si>
    <t xml:space="preserve">      Исп.: Монгуш А.В </t>
  </si>
  <si>
    <t xml:space="preserve"> на 01.10.2020 год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</si>
  <si>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</si>
  <si>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</si>
  <si>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Факт на 01.10.2020 год</t>
  </si>
  <si>
    <t xml:space="preserve">Межбюджетные трансферты 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</si>
  <si>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</si>
  <si>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</si>
  <si>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по состоянию на 01 октября 2020 год</t>
  </si>
  <si>
    <t>На 01.10.2020 год</t>
  </si>
  <si>
    <t>Остаток  неисполь-зованных денежных средств на расчетном счету учрежде-ния по состоянию на 01.10.2020 года</t>
  </si>
  <si>
    <t>Задолженность родителей перед бюджетным учреждением  на 01.10.2020 года</t>
  </si>
  <si>
    <t>Динамика    изменения   недоимки   по  налогам  на 01.10. 2020 год г.Ак-Довурак ( тыс. рублей)</t>
  </si>
  <si>
    <t>01.10.                 2020</t>
  </si>
  <si>
    <t>171801001</t>
  </si>
  <si>
    <t>ООО "Эртине"</t>
  </si>
  <si>
    <t>Услуги по страхованию им-ва, гражд отв и здор</t>
  </si>
  <si>
    <t xml:space="preserve">Фактическое исполнение платных услуг на 01.10.2020 г. города Ак-Довурак </t>
  </si>
  <si>
    <t>Распределение собственных доходов на 01.10.2020 г.</t>
  </si>
  <si>
    <t>остаток на 01.10.2020 г</t>
  </si>
  <si>
    <t>Динамика    изменения   недоимки   по  налогам  на 01.10. 2020 год                                                                 г.Ак-Довурак ( тыс. рублей)</t>
  </si>
  <si>
    <t>01.10. 2019</t>
  </si>
  <si>
    <t>01.10. 2020</t>
  </si>
  <si>
    <t>ООО "Сая"</t>
  </si>
  <si>
    <t>ООО "Алмаз-строй"</t>
  </si>
  <si>
    <t>Откл.с 01.10.20 на 01.01.20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</si>
</sst>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#,##0.00000"/>
    <numFmt numFmtId="170" formatCode="0.0000"/>
  </numFmts>
  <fonts count="4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2"/>
      <color theme="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9" borderId="30" applyNumberFormat="0">
      <alignment horizontal="right" vertical="top"/>
    </xf>
    <xf numFmtId="49" fontId="19" fillId="10" borderId="30">
      <alignment horizontal="left" vertical="top"/>
    </xf>
    <xf numFmtId="49" fontId="34" fillId="0" borderId="30">
      <alignment horizontal="left" vertical="top"/>
    </xf>
    <xf numFmtId="0" fontId="19" fillId="11" borderId="30">
      <alignment horizontal="left" vertical="top" wrapText="1"/>
    </xf>
    <xf numFmtId="0" fontId="34" fillId="0" borderId="30">
      <alignment horizontal="left" vertical="top" wrapText="1"/>
    </xf>
    <xf numFmtId="0" fontId="19" fillId="12" borderId="30">
      <alignment horizontal="left" vertical="top" wrapText="1"/>
    </xf>
    <xf numFmtId="0" fontId="19" fillId="13" borderId="30">
      <alignment horizontal="left" vertical="top" wrapText="1"/>
    </xf>
    <xf numFmtId="0" fontId="19" fillId="14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  <xf numFmtId="0" fontId="35" fillId="0" borderId="0">
      <alignment horizontal="left" vertical="top"/>
    </xf>
    <xf numFmtId="0" fontId="19" fillId="11" borderId="31" applyNumberFormat="0">
      <alignment horizontal="right" vertical="top"/>
    </xf>
    <xf numFmtId="0" fontId="19" fillId="12" borderId="31" applyNumberFormat="0">
      <alignment horizontal="right" vertical="top"/>
    </xf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13" borderId="31" applyNumberFormat="0">
      <alignment horizontal="right" vertical="top"/>
    </xf>
    <xf numFmtId="0" fontId="19" fillId="0" borderId="30" applyNumberFormat="0">
      <alignment horizontal="right" vertical="top"/>
    </xf>
    <xf numFmtId="49" fontId="36" fillId="16" borderId="30">
      <alignment horizontal="left" vertical="top" wrapText="1"/>
    </xf>
    <xf numFmtId="49" fontId="19" fillId="0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</cellStyleXfs>
  <cellXfs count="1072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0" fontId="11" fillId="4" borderId="1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4" xfId="0" applyFont="1" applyFill="1" applyBorder="1"/>
    <xf numFmtId="0" fontId="11" fillId="4" borderId="4" xfId="0" applyFont="1" applyFill="1" applyBorder="1"/>
    <xf numFmtId="0" fontId="10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0" xfId="0" applyFont="1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2" fontId="10" fillId="4" borderId="0" xfId="0" applyNumberFormat="1" applyFont="1" applyFill="1"/>
    <xf numFmtId="0" fontId="8" fillId="4" borderId="0" xfId="0" applyFont="1" applyFill="1"/>
    <xf numFmtId="0" fontId="10" fillId="4" borderId="0" xfId="0" applyNumberFormat="1" applyFont="1" applyFill="1"/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10" fillId="4" borderId="0" xfId="0" applyNumberFormat="1" applyFont="1" applyFill="1"/>
    <xf numFmtId="0" fontId="5" fillId="4" borderId="4" xfId="0" applyFont="1" applyFill="1" applyBorder="1" applyAlignment="1">
      <alignment horizontal="left"/>
    </xf>
    <xf numFmtId="2" fontId="22" fillId="4" borderId="0" xfId="0" applyNumberFormat="1" applyFont="1" applyFill="1"/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165" fontId="27" fillId="4" borderId="1" xfId="3" applyNumberFormat="1" applyFont="1" applyFill="1" applyBorder="1" applyAlignment="1">
      <alignment horizontal="center"/>
    </xf>
    <xf numFmtId="165" fontId="28" fillId="0" borderId="1" xfId="3" applyNumberFormat="1" applyFont="1" applyFill="1" applyBorder="1"/>
    <xf numFmtId="0" fontId="4" fillId="0" borderId="0" xfId="3" applyFont="1" applyFill="1"/>
    <xf numFmtId="0" fontId="27" fillId="0" borderId="0" xfId="3" applyFont="1" applyFill="1"/>
    <xf numFmtId="0" fontId="1" fillId="0" borderId="0" xfId="3"/>
    <xf numFmtId="165" fontId="18" fillId="0" borderId="1" xfId="1" applyNumberFormat="1" applyFont="1" applyFill="1" applyBorder="1" applyAlignment="1">
      <alignment horizontal="center" vertical="center"/>
    </xf>
    <xf numFmtId="167" fontId="12" fillId="4" borderId="24" xfId="1" applyNumberFormat="1" applyFont="1" applyFill="1" applyBorder="1" applyAlignment="1">
      <alignment horizontal="center" vertical="center"/>
    </xf>
    <xf numFmtId="165" fontId="32" fillId="5" borderId="1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0" fontId="5" fillId="0" borderId="0" xfId="3" applyFont="1"/>
    <xf numFmtId="165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27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" fontId="28" fillId="0" borderId="1" xfId="3" applyNumberFormat="1" applyFont="1" applyFill="1" applyBorder="1" applyAlignment="1">
      <alignment horizontal="center" vertical="center"/>
    </xf>
    <xf numFmtId="49" fontId="30" fillId="0" borderId="1" xfId="3" applyNumberFormat="1" applyFont="1" applyFill="1" applyBorder="1" applyAlignment="1">
      <alignment horizontal="center" vertical="center" wrapText="1"/>
    </xf>
    <xf numFmtId="165" fontId="7" fillId="8" borderId="4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65" fontId="4" fillId="0" borderId="0" xfId="0" applyNumberFormat="1" applyFont="1" applyFill="1"/>
    <xf numFmtId="1" fontId="4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40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41" fillId="3" borderId="1" xfId="0" applyNumberFormat="1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1" fontId="40" fillId="3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" fontId="40" fillId="3" borderId="4" xfId="0" applyNumberFormat="1" applyFont="1" applyFill="1" applyBorder="1" applyAlignment="1">
      <alignment horizontal="center"/>
    </xf>
    <xf numFmtId="1" fontId="40" fillId="3" borderId="1" xfId="0" applyNumberFormat="1" applyFont="1" applyFill="1" applyBorder="1"/>
    <xf numFmtId="1" fontId="41" fillId="3" borderId="4" xfId="0" applyNumberFormat="1" applyFont="1" applyFill="1" applyBorder="1" applyAlignment="1">
      <alignment horizontal="center"/>
    </xf>
    <xf numFmtId="1" fontId="41" fillId="3" borderId="1" xfId="0" applyNumberFormat="1" applyFont="1" applyFill="1" applyBorder="1"/>
    <xf numFmtId="1" fontId="40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165" fontId="3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2" fontId="10" fillId="0" borderId="0" xfId="0" applyNumberFormat="1" applyFont="1" applyFill="1"/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5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center" wrapText="1"/>
    </xf>
    <xf numFmtId="0" fontId="26" fillId="0" borderId="0" xfId="3" applyFont="1" applyAlignment="1"/>
    <xf numFmtId="49" fontId="27" fillId="3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65" fontId="28" fillId="3" borderId="1" xfId="3" applyNumberFormat="1" applyFont="1" applyFill="1" applyBorder="1" applyAlignment="1">
      <alignment horizontal="center"/>
    </xf>
    <xf numFmtId="165" fontId="28" fillId="3" borderId="1" xfId="3" applyNumberFormat="1" applyFont="1" applyFill="1" applyBorder="1"/>
    <xf numFmtId="165" fontId="28" fillId="3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vertical="top" wrapText="1"/>
    </xf>
    <xf numFmtId="1" fontId="7" fillId="3" borderId="1" xfId="3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/>
    </xf>
    <xf numFmtId="0" fontId="28" fillId="3" borderId="1" xfId="3" applyFont="1" applyFill="1" applyBorder="1"/>
    <xf numFmtId="0" fontId="28" fillId="3" borderId="1" xfId="3" applyFont="1" applyFill="1" applyBorder="1" applyAlignment="1">
      <alignment horizontal="center"/>
    </xf>
    <xf numFmtId="165" fontId="28" fillId="0" borderId="1" xfId="3" applyNumberFormat="1" applyFont="1" applyFill="1" applyBorder="1" applyAlignment="1">
      <alignment horizontal="center" vertical="center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42" fillId="0" borderId="1" xfId="0" applyNumberFormat="1" applyFont="1" applyBorder="1"/>
    <xf numFmtId="0" fontId="28" fillId="0" borderId="1" xfId="3" applyFont="1" applyFill="1" applyBorder="1" applyAlignment="1">
      <alignment horizontal="center" vertical="center"/>
    </xf>
    <xf numFmtId="0" fontId="42" fillId="0" borderId="1" xfId="0" applyNumberFormat="1" applyFont="1" applyFill="1" applyBorder="1"/>
    <xf numFmtId="165" fontId="28" fillId="0" borderId="1" xfId="3" applyNumberFormat="1" applyFont="1" applyFill="1" applyBorder="1" applyAlignment="1">
      <alignment horizontal="center"/>
    </xf>
    <xf numFmtId="0" fontId="10" fillId="0" borderId="1" xfId="0" applyNumberFormat="1" applyFont="1" applyBorder="1"/>
    <xf numFmtId="167" fontId="43" fillId="5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/>
    <xf numFmtId="165" fontId="41" fillId="0" borderId="1" xfId="0" applyNumberFormat="1" applyFont="1" applyFill="1" applyBorder="1" applyAlignment="1">
      <alignment horizontal="center"/>
    </xf>
    <xf numFmtId="1" fontId="41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17" borderId="1" xfId="0" applyNumberFormat="1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center"/>
    </xf>
    <xf numFmtId="165" fontId="7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/>
    <xf numFmtId="1" fontId="28" fillId="17" borderId="1" xfId="0" applyNumberFormat="1" applyFont="1" applyFill="1" applyBorder="1" applyAlignment="1">
      <alignment horizontal="center"/>
    </xf>
    <xf numFmtId="1" fontId="27" fillId="17" borderId="1" xfId="0" applyNumberFormat="1" applyFont="1" applyFill="1" applyBorder="1" applyAlignment="1">
      <alignment horizontal="center"/>
    </xf>
    <xf numFmtId="165" fontId="28" fillId="17" borderId="1" xfId="0" applyNumberFormat="1" applyFont="1" applyFill="1" applyBorder="1" applyAlignment="1">
      <alignment horizontal="center"/>
    </xf>
    <xf numFmtId="1" fontId="28" fillId="17" borderId="4" xfId="0" applyNumberFormat="1" applyFont="1" applyFill="1" applyBorder="1" applyAlignment="1">
      <alignment horizontal="center"/>
    </xf>
    <xf numFmtId="1" fontId="28" fillId="17" borderId="1" xfId="0" applyNumberFormat="1" applyFont="1" applyFill="1" applyBorder="1"/>
    <xf numFmtId="1" fontId="7" fillId="17" borderId="1" xfId="0" applyNumberFormat="1" applyFont="1" applyFill="1" applyBorder="1"/>
    <xf numFmtId="1" fontId="7" fillId="17" borderId="4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7" fillId="4" borderId="4" xfId="0" applyFont="1" applyFill="1" applyBorder="1" applyAlignment="1">
      <alignment horizontal="left"/>
    </xf>
    <xf numFmtId="1" fontId="8" fillId="4" borderId="0" xfId="0" applyNumberFormat="1" applyFont="1" applyFill="1"/>
    <xf numFmtId="2" fontId="8" fillId="4" borderId="0" xfId="0" applyNumberFormat="1" applyFont="1" applyFill="1"/>
    <xf numFmtId="0" fontId="7" fillId="4" borderId="1" xfId="0" applyFont="1" applyFill="1" applyBorder="1"/>
    <xf numFmtId="0" fontId="10" fillId="4" borderId="4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165" fontId="10" fillId="0" borderId="10" xfId="0" applyNumberFormat="1" applyFont="1" applyFill="1" applyBorder="1"/>
    <xf numFmtId="2" fontId="8" fillId="0" borderId="2" xfId="0" applyNumberFormat="1" applyFont="1" applyFill="1" applyBorder="1"/>
    <xf numFmtId="0" fontId="10" fillId="0" borderId="10" xfId="0" applyFont="1" applyFill="1" applyBorder="1"/>
    <xf numFmtId="0" fontId="10" fillId="3" borderId="0" xfId="0" applyFont="1" applyFill="1"/>
    <xf numFmtId="165" fontId="8" fillId="0" borderId="2" xfId="0" applyNumberFormat="1" applyFont="1" applyFill="1" applyBorder="1"/>
    <xf numFmtId="165" fontId="3" fillId="0" borderId="2" xfId="0" applyNumberFormat="1" applyFont="1" applyFill="1" applyBorder="1" applyAlignment="1">
      <alignment vertical="center" wrapText="1"/>
    </xf>
    <xf numFmtId="165" fontId="40" fillId="3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7" fillId="0" borderId="1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2" fontId="27" fillId="0" borderId="1" xfId="0" applyNumberFormat="1" applyFont="1" applyFill="1" applyBorder="1"/>
    <xf numFmtId="1" fontId="7" fillId="17" borderId="0" xfId="0" applyNumberFormat="1" applyFont="1" applyFill="1"/>
    <xf numFmtId="1" fontId="4" fillId="17" borderId="0" xfId="0" applyNumberFormat="1" applyFont="1" applyFill="1"/>
    <xf numFmtId="1" fontId="7" fillId="0" borderId="1" xfId="3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3" fontId="32" fillId="5" borderId="1" xfId="1" applyNumberFormat="1" applyFont="1" applyFill="1" applyBorder="1" applyAlignment="1">
      <alignment horizontal="center" vertical="center"/>
    </xf>
    <xf numFmtId="167" fontId="12" fillId="5" borderId="4" xfId="1" applyNumberFormat="1" applyFont="1" applyFill="1" applyBorder="1" applyAlignment="1">
      <alignment horizontal="center" vertical="center"/>
    </xf>
    <xf numFmtId="167" fontId="32" fillId="5" borderId="0" xfId="1" applyNumberFormat="1" applyFont="1" applyFill="1" applyBorder="1" applyAlignment="1">
      <alignment horizontal="center" vertical="center"/>
    </xf>
    <xf numFmtId="168" fontId="32" fillId="5" borderId="0" xfId="1" applyNumberFormat="1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7" fontId="17" fillId="4" borderId="4" xfId="1" applyNumberFormat="1" applyFont="1" applyFill="1" applyBorder="1" applyAlignment="1">
      <alignment horizontal="center" vertical="center"/>
    </xf>
    <xf numFmtId="168" fontId="17" fillId="4" borderId="0" xfId="1" applyNumberFormat="1" applyFont="1" applyFill="1" applyBorder="1" applyAlignment="1">
      <alignment horizontal="center" vertical="center"/>
    </xf>
    <xf numFmtId="3" fontId="18" fillId="4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167" fontId="18" fillId="4" borderId="4" xfId="1" applyNumberFormat="1" applyFont="1" applyFill="1" applyBorder="1" applyAlignment="1">
      <alignment horizontal="center" vertical="center"/>
    </xf>
    <xf numFmtId="165" fontId="18" fillId="4" borderId="1" xfId="1" applyNumberFormat="1" applyFont="1" applyFill="1" applyBorder="1" applyAlignment="1">
      <alignment horizontal="center" vertical="center"/>
    </xf>
    <xf numFmtId="168" fontId="18" fillId="4" borderId="0" xfId="1" applyNumberFormat="1" applyFont="1" applyFill="1" applyBorder="1" applyAlignment="1">
      <alignment horizontal="center" vertical="center"/>
    </xf>
    <xf numFmtId="167" fontId="17" fillId="0" borderId="4" xfId="1" applyNumberFormat="1" applyFont="1" applyFill="1" applyBorder="1" applyAlignment="1">
      <alignment horizontal="center" vertical="center"/>
    </xf>
    <xf numFmtId="168" fontId="17" fillId="0" borderId="0" xfId="1" applyNumberFormat="1" applyFont="1" applyFill="1" applyBorder="1" applyAlignment="1">
      <alignment horizontal="center" vertical="center"/>
    </xf>
    <xf numFmtId="167" fontId="18" fillId="0" borderId="4" xfId="1" applyNumberFormat="1" applyFont="1" applyFill="1" applyBorder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5" fontId="40" fillId="0" borderId="1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6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0" xfId="0" applyNumberFormat="1" applyFont="1" applyFill="1"/>
    <xf numFmtId="0" fontId="11" fillId="0" borderId="0" xfId="0" applyFont="1" applyFill="1"/>
    <xf numFmtId="1" fontId="10" fillId="7" borderId="0" xfId="0" applyNumberFormat="1" applyFont="1" applyFill="1"/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/>
    </xf>
    <xf numFmtId="0" fontId="2" fillId="4" borderId="4" xfId="0" applyFont="1" applyFill="1" applyBorder="1" applyAlignment="1">
      <alignment horizontal="left"/>
    </xf>
    <xf numFmtId="165" fontId="28" fillId="0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18" fillId="4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7" fontId="17" fillId="4" borderId="4" xfId="0" applyNumberFormat="1" applyFont="1" applyFill="1" applyBorder="1" applyAlignment="1">
      <alignment horizontal="center" vertical="center" wrapText="1"/>
    </xf>
    <xf numFmtId="168" fontId="18" fillId="4" borderId="0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 wrapText="1"/>
    </xf>
    <xf numFmtId="167" fontId="18" fillId="4" borderId="4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167" fontId="18" fillId="0" borderId="4" xfId="0" applyNumberFormat="1" applyFont="1" applyFill="1" applyBorder="1" applyAlignment="1">
      <alignment horizontal="center" vertical="center" wrapText="1"/>
    </xf>
    <xf numFmtId="168" fontId="18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14" fontId="12" fillId="0" borderId="0" xfId="0" applyNumberFormat="1" applyFont="1" applyAlignment="1">
      <alignment horizontal="center"/>
    </xf>
    <xf numFmtId="165" fontId="0" fillId="0" borderId="0" xfId="0" applyNumberFormat="1"/>
    <xf numFmtId="0" fontId="6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left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165" fontId="4" fillId="0" borderId="0" xfId="3" applyNumberFormat="1" applyFont="1" applyFill="1"/>
    <xf numFmtId="166" fontId="4" fillId="0" borderId="0" xfId="3" applyNumberFormat="1" applyFont="1" applyFill="1"/>
    <xf numFmtId="0" fontId="5" fillId="0" borderId="0" xfId="3" applyFont="1" applyFill="1"/>
    <xf numFmtId="0" fontId="10" fillId="0" borderId="0" xfId="3" applyFont="1" applyFill="1" applyAlignment="1">
      <alignment horizontal="left"/>
    </xf>
    <xf numFmtId="166" fontId="17" fillId="4" borderId="0" xfId="0" applyNumberFormat="1" applyFont="1" applyFill="1" applyBorder="1" applyAlignment="1"/>
    <xf numFmtId="166" fontId="4" fillId="4" borderId="0" xfId="0" applyNumberFormat="1" applyFont="1" applyFill="1" applyBorder="1" applyAlignment="1"/>
    <xf numFmtId="166" fontId="4" fillId="3" borderId="6" xfId="0" applyNumberFormat="1" applyFont="1" applyFill="1" applyBorder="1" applyAlignment="1">
      <alignment horizontal="center" vertical="center" wrapText="1"/>
    </xf>
    <xf numFmtId="166" fontId="7" fillId="17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6" fontId="4" fillId="7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27" fillId="0" borderId="1" xfId="0" applyNumberFormat="1" applyFont="1" applyFill="1" applyBorder="1" applyAlignment="1">
      <alignment horizontal="center"/>
    </xf>
    <xf numFmtId="166" fontId="27" fillId="7" borderId="1" xfId="0" applyNumberFormat="1" applyFont="1" applyFill="1" applyBorder="1" applyAlignment="1">
      <alignment horizontal="center"/>
    </xf>
    <xf numFmtId="166" fontId="41" fillId="3" borderId="1" xfId="0" applyNumberFormat="1" applyFont="1" applyFill="1" applyBorder="1" applyAlignment="1">
      <alignment horizontal="center"/>
    </xf>
    <xf numFmtId="166" fontId="28" fillId="17" borderId="1" xfId="0" applyNumberFormat="1" applyFont="1" applyFill="1" applyBorder="1" applyAlignment="1">
      <alignment horizontal="center"/>
    </xf>
    <xf numFmtId="166" fontId="27" fillId="3" borderId="1" xfId="0" applyNumberFormat="1" applyFont="1" applyFill="1" applyBorder="1" applyAlignment="1">
      <alignment horizontal="center"/>
    </xf>
    <xf numFmtId="166" fontId="4" fillId="4" borderId="0" xfId="0" applyNumberFormat="1" applyFont="1" applyFill="1" applyBorder="1"/>
    <xf numFmtId="166" fontId="4" fillId="4" borderId="0" xfId="0" applyNumberFormat="1" applyFont="1" applyFill="1"/>
    <xf numFmtId="0" fontId="17" fillId="0" borderId="1" xfId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7" fontId="17" fillId="5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5" fillId="8" borderId="1" xfId="3" applyFont="1" applyFill="1" applyBorder="1" applyAlignment="1">
      <alignment horizontal="center" vertical="center"/>
    </xf>
    <xf numFmtId="0" fontId="4" fillId="8" borderId="1" xfId="3" applyFont="1" applyFill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 wrapText="1"/>
    </xf>
    <xf numFmtId="0" fontId="7" fillId="8" borderId="0" xfId="3" applyFont="1" applyFill="1"/>
    <xf numFmtId="0" fontId="4" fillId="8" borderId="0" xfId="3" applyFont="1" applyFill="1"/>
    <xf numFmtId="0" fontId="7" fillId="8" borderId="1" xfId="0" applyFont="1" applyFill="1" applyBorder="1" applyAlignment="1">
      <alignment vertical="center"/>
    </xf>
    <xf numFmtId="170" fontId="17" fillId="0" borderId="1" xfId="1" applyNumberFormat="1" applyFont="1" applyFill="1" applyBorder="1" applyAlignment="1">
      <alignment horizontal="center" vertical="center" wrapText="1"/>
    </xf>
    <xf numFmtId="170" fontId="11" fillId="0" borderId="1" xfId="1" applyNumberFormat="1" applyFont="1" applyFill="1" applyBorder="1" applyAlignment="1">
      <alignment horizontal="center" vertical="center" wrapText="1"/>
    </xf>
    <xf numFmtId="170" fontId="32" fillId="5" borderId="1" xfId="1" applyNumberFormat="1" applyFont="1" applyFill="1" applyBorder="1" applyAlignment="1">
      <alignment horizontal="center" vertical="center"/>
    </xf>
    <xf numFmtId="170" fontId="17" fillId="4" borderId="1" xfId="1" applyNumberFormat="1" applyFont="1" applyFill="1" applyBorder="1" applyAlignment="1">
      <alignment horizontal="center" vertical="center"/>
    </xf>
    <xf numFmtId="170" fontId="18" fillId="4" borderId="1" xfId="0" applyNumberFormat="1" applyFont="1" applyFill="1" applyBorder="1" applyAlignment="1">
      <alignment horizontal="center" vertical="center" wrapText="1"/>
    </xf>
    <xf numFmtId="170" fontId="17" fillId="4" borderId="1" xfId="0" applyNumberFormat="1" applyFont="1" applyFill="1" applyBorder="1" applyAlignment="1">
      <alignment horizontal="center" vertical="center" wrapText="1"/>
    </xf>
    <xf numFmtId="170" fontId="18" fillId="4" borderId="1" xfId="1" applyNumberFormat="1" applyFont="1" applyFill="1" applyBorder="1" applyAlignment="1">
      <alignment horizontal="center" vertical="center"/>
    </xf>
    <xf numFmtId="170" fontId="17" fillId="0" borderId="1" xfId="1" applyNumberFormat="1" applyFont="1" applyFill="1" applyBorder="1" applyAlignment="1">
      <alignment horizontal="center" vertical="center"/>
    </xf>
    <xf numFmtId="170" fontId="18" fillId="0" borderId="1" xfId="1" applyNumberFormat="1" applyFont="1" applyFill="1" applyBorder="1" applyAlignment="1">
      <alignment horizontal="center" vertical="center"/>
    </xf>
    <xf numFmtId="170" fontId="18" fillId="0" borderId="1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70" fontId="22" fillId="0" borderId="0" xfId="1" applyNumberFormat="1" applyFont="1" applyBorder="1" applyAlignment="1">
      <alignment vertical="center"/>
    </xf>
    <xf numFmtId="0" fontId="10" fillId="0" borderId="1" xfId="3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37" fillId="0" borderId="0" xfId="3" applyFont="1" applyFill="1" applyAlignment="1">
      <alignment horizontal="center" vertical="center"/>
    </xf>
    <xf numFmtId="0" fontId="27" fillId="4" borderId="0" xfId="3" applyFont="1" applyFill="1"/>
    <xf numFmtId="0" fontId="29" fillId="0" borderId="0" xfId="3" applyFont="1" applyFill="1"/>
    <xf numFmtId="0" fontId="27" fillId="0" borderId="0" xfId="3" applyFont="1" applyFill="1" applyAlignment="1">
      <alignment horizontal="center"/>
    </xf>
    <xf numFmtId="0" fontId="27" fillId="2" borderId="0" xfId="3" applyFont="1" applyFill="1" applyAlignment="1">
      <alignment horizontal="center"/>
    </xf>
    <xf numFmtId="0" fontId="27" fillId="0" borderId="0" xfId="3" applyFont="1" applyFill="1" applyBorder="1"/>
    <xf numFmtId="0" fontId="4" fillId="0" borderId="0" xfId="3" applyFont="1" applyFill="1" applyAlignment="1">
      <alignment horizontal="center"/>
    </xf>
    <xf numFmtId="0" fontId="1" fillId="0" borderId="0" xfId="3" applyFont="1" applyFill="1"/>
    <xf numFmtId="0" fontId="37" fillId="6" borderId="19" xfId="3" applyFont="1" applyFill="1" applyBorder="1" applyAlignment="1">
      <alignment horizontal="center" vertical="center" textRotation="90" wrapText="1"/>
    </xf>
    <xf numFmtId="0" fontId="27" fillId="6" borderId="1" xfId="3" applyFont="1" applyFill="1" applyBorder="1" applyAlignment="1">
      <alignment horizontal="center"/>
    </xf>
    <xf numFmtId="0" fontId="27" fillId="6" borderId="1" xfId="3" applyFont="1" applyFill="1" applyBorder="1" applyAlignment="1"/>
    <xf numFmtId="0" fontId="27" fillId="6" borderId="1" xfId="3" applyFont="1" applyFill="1" applyBorder="1"/>
    <xf numFmtId="0" fontId="1" fillId="6" borderId="1" xfId="3" applyFont="1" applyFill="1" applyBorder="1"/>
    <xf numFmtId="0" fontId="1" fillId="6" borderId="4" xfId="3" applyFont="1" applyFill="1" applyBorder="1"/>
    <xf numFmtId="0" fontId="1" fillId="0" borderId="0" xfId="3" applyFont="1" applyFill="1" applyBorder="1"/>
    <xf numFmtId="0" fontId="37" fillId="6" borderId="5" xfId="3" applyFont="1" applyFill="1" applyBorder="1" applyAlignment="1">
      <alignment horizontal="center" vertical="center" textRotation="90" wrapText="1"/>
    </xf>
    <xf numFmtId="0" fontId="37" fillId="6" borderId="6" xfId="3" applyFont="1" applyFill="1" applyBorder="1" applyAlignment="1">
      <alignment horizontal="center" vertical="center" textRotation="90" wrapText="1"/>
    </xf>
    <xf numFmtId="0" fontId="27" fillId="6" borderId="1" xfId="3" applyFont="1" applyFill="1" applyBorder="1" applyAlignment="1">
      <alignment horizontal="center" vertical="center" wrapText="1"/>
    </xf>
    <xf numFmtId="49" fontId="27" fillId="6" borderId="1" xfId="3" applyNumberFormat="1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wrapText="1"/>
    </xf>
    <xf numFmtId="165" fontId="28" fillId="4" borderId="1" xfId="3" applyNumberFormat="1" applyFont="1" applyFill="1" applyBorder="1" applyAlignment="1">
      <alignment horizontal="center"/>
    </xf>
    <xf numFmtId="165" fontId="28" fillId="4" borderId="1" xfId="3" applyNumberFormat="1" applyFont="1" applyFill="1" applyBorder="1"/>
    <xf numFmtId="2" fontId="28" fillId="4" borderId="1" xfId="3" applyNumberFormat="1" applyFont="1" applyFill="1" applyBorder="1"/>
    <xf numFmtId="0" fontId="7" fillId="0" borderId="1" xfId="3" applyFont="1" applyFill="1" applyBorder="1"/>
    <xf numFmtId="3" fontId="7" fillId="0" borderId="1" xfId="3" applyNumberFormat="1" applyFont="1" applyFill="1" applyBorder="1"/>
    <xf numFmtId="2" fontId="7" fillId="0" borderId="1" xfId="3" applyNumberFormat="1" applyFont="1" applyFill="1" applyBorder="1"/>
    <xf numFmtId="165" fontId="7" fillId="0" borderId="1" xfId="3" applyNumberFormat="1" applyFont="1" applyFill="1" applyBorder="1" applyAlignment="1">
      <alignment horizontal="center"/>
    </xf>
    <xf numFmtId="0" fontId="26" fillId="0" borderId="0" xfId="3" applyFont="1" applyFill="1"/>
    <xf numFmtId="0" fontId="26" fillId="0" borderId="1" xfId="3" applyFont="1" applyFill="1" applyBorder="1"/>
    <xf numFmtId="0" fontId="26" fillId="0" borderId="4" xfId="3" applyFont="1" applyFill="1" applyBorder="1"/>
    <xf numFmtId="0" fontId="26" fillId="0" borderId="0" xfId="3" applyFont="1" applyFill="1" applyBorder="1"/>
    <xf numFmtId="0" fontId="27" fillId="4" borderId="1" xfId="3" applyFont="1" applyFill="1" applyBorder="1"/>
    <xf numFmtId="0" fontId="37" fillId="4" borderId="1" xfId="3" applyFont="1" applyFill="1" applyBorder="1" applyAlignment="1">
      <alignment horizontal="center" vertical="center"/>
    </xf>
    <xf numFmtId="0" fontId="27" fillId="4" borderId="1" xfId="3" applyFont="1" applyFill="1" applyBorder="1" applyAlignment="1">
      <alignment horizontal="center"/>
    </xf>
    <xf numFmtId="2" fontId="27" fillId="4" borderId="1" xfId="3" applyNumberFormat="1" applyFont="1" applyFill="1" applyBorder="1"/>
    <xf numFmtId="165" fontId="27" fillId="4" borderId="1" xfId="3" applyNumberFormat="1" applyFont="1" applyFill="1" applyBorder="1"/>
    <xf numFmtId="165" fontId="27" fillId="0" borderId="1" xfId="3" applyNumberFormat="1" applyFont="1" applyFill="1" applyBorder="1"/>
    <xf numFmtId="3" fontId="4" fillId="0" borderId="1" xfId="3" applyNumberFormat="1" applyFont="1" applyFill="1" applyBorder="1"/>
    <xf numFmtId="2" fontId="4" fillId="0" borderId="1" xfId="3" applyNumberFormat="1" applyFont="1" applyFill="1" applyBorder="1"/>
    <xf numFmtId="0" fontId="1" fillId="0" borderId="1" xfId="3" applyFont="1" applyFill="1" applyBorder="1"/>
    <xf numFmtId="0" fontId="1" fillId="0" borderId="4" xfId="3" applyFont="1" applyFill="1" applyBorder="1"/>
    <xf numFmtId="0" fontId="4" fillId="4" borderId="1" xfId="3" applyFont="1" applyFill="1" applyBorder="1" applyAlignment="1">
      <alignment horizontal="center"/>
    </xf>
    <xf numFmtId="2" fontId="4" fillId="4" borderId="1" xfId="3" applyNumberFormat="1" applyFont="1" applyFill="1" applyBorder="1"/>
    <xf numFmtId="165" fontId="4" fillId="4" borderId="1" xfId="3" applyNumberFormat="1" applyFont="1" applyFill="1" applyBorder="1"/>
    <xf numFmtId="165" fontId="4" fillId="0" borderId="1" xfId="3" applyNumberFormat="1" applyFont="1" applyFill="1" applyBorder="1"/>
    <xf numFmtId="0" fontId="27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165" fontId="7" fillId="4" borderId="1" xfId="3" applyNumberFormat="1" applyFont="1" applyFill="1" applyBorder="1" applyAlignment="1">
      <alignment horizontal="center"/>
    </xf>
    <xf numFmtId="2" fontId="7" fillId="4" borderId="1" xfId="3" applyNumberFormat="1" applyFont="1" applyFill="1" applyBorder="1"/>
    <xf numFmtId="165" fontId="7" fillId="4" borderId="1" xfId="3" applyNumberFormat="1" applyFont="1" applyFill="1" applyBorder="1"/>
    <xf numFmtId="165" fontId="7" fillId="0" borderId="1" xfId="3" applyNumberFormat="1" applyFont="1" applyFill="1" applyBorder="1"/>
    <xf numFmtId="0" fontId="7" fillId="0" borderId="1" xfId="3" applyFont="1" applyFill="1" applyBorder="1" applyAlignment="1">
      <alignment horizontal="center"/>
    </xf>
    <xf numFmtId="0" fontId="10" fillId="0" borderId="1" xfId="3" applyNumberFormat="1" applyFont="1" applyFill="1" applyBorder="1" applyAlignment="1">
      <alignment horizontal="center" vertical="center"/>
    </xf>
    <xf numFmtId="165" fontId="7" fillId="4" borderId="1" xfId="3" applyNumberFormat="1" applyFont="1" applyFill="1" applyBorder="1" applyAlignment="1">
      <alignment horizontal="center" wrapText="1"/>
    </xf>
    <xf numFmtId="2" fontId="7" fillId="4" borderId="1" xfId="3" applyNumberFormat="1" applyFont="1" applyFill="1" applyBorder="1" applyAlignment="1">
      <alignment horizontal="center"/>
    </xf>
    <xf numFmtId="3" fontId="7" fillId="0" borderId="1" xfId="3" applyNumberFormat="1" applyFont="1" applyFill="1" applyBorder="1" applyAlignment="1">
      <alignment horizontal="center"/>
    </xf>
    <xf numFmtId="2" fontId="7" fillId="0" borderId="1" xfId="3" applyNumberFormat="1" applyFont="1" applyFill="1" applyBorder="1" applyAlignment="1">
      <alignment horizontal="center"/>
    </xf>
    <xf numFmtId="0" fontId="26" fillId="0" borderId="0" xfId="3" applyFont="1" applyFill="1" applyAlignment="1">
      <alignment horizontal="center"/>
    </xf>
    <xf numFmtId="0" fontId="26" fillId="0" borderId="1" xfId="3" applyFont="1" applyFill="1" applyBorder="1" applyAlignment="1">
      <alignment horizontal="center"/>
    </xf>
    <xf numFmtId="0" fontId="26" fillId="0" borderId="4" xfId="3" applyFont="1" applyFill="1" applyBorder="1" applyAlignment="1">
      <alignment horizontal="center"/>
    </xf>
    <xf numFmtId="0" fontId="26" fillId="0" borderId="0" xfId="3" applyFont="1" applyFill="1" applyBorder="1" applyAlignment="1">
      <alignment horizontal="center"/>
    </xf>
    <xf numFmtId="0" fontId="27" fillId="4" borderId="1" xfId="3" applyFont="1" applyFill="1" applyBorder="1" applyAlignment="1">
      <alignment horizontal="left"/>
    </xf>
    <xf numFmtId="0" fontId="10" fillId="0" borderId="1" xfId="3" applyNumberFormat="1" applyFont="1" applyBorder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0" fontId="28" fillId="4" borderId="1" xfId="3" applyFont="1" applyFill="1" applyBorder="1"/>
    <xf numFmtId="0" fontId="28" fillId="4" borderId="1" xfId="3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1" fontId="7" fillId="4" borderId="1" xfId="3" applyNumberFormat="1" applyFont="1" applyFill="1" applyBorder="1" applyAlignment="1">
      <alignment horizontal="center"/>
    </xf>
    <xf numFmtId="1" fontId="7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1" fontId="7" fillId="4" borderId="1" xfId="3" applyNumberFormat="1" applyFont="1" applyFill="1" applyBorder="1" applyAlignment="1">
      <alignment horizontal="center" wrapText="1"/>
    </xf>
    <xf numFmtId="1" fontId="7" fillId="4" borderId="1" xfId="3" applyNumberFormat="1" applyFont="1" applyFill="1" applyBorder="1"/>
    <xf numFmtId="165" fontId="4" fillId="4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wrapText="1"/>
    </xf>
    <xf numFmtId="0" fontId="27" fillId="4" borderId="1" xfId="3" applyFont="1" applyFill="1" applyBorder="1" applyAlignment="1">
      <alignment horizontal="center" vertical="center"/>
    </xf>
    <xf numFmtId="166" fontId="4" fillId="0" borderId="1" xfId="3" applyNumberFormat="1" applyFont="1" applyFill="1" applyBorder="1" applyAlignment="1">
      <alignment horizontal="center"/>
    </xf>
    <xf numFmtId="0" fontId="37" fillId="0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42" fillId="0" borderId="1" xfId="3" applyNumberFormat="1" applyFont="1" applyBorder="1"/>
    <xf numFmtId="0" fontId="10" fillId="0" borderId="1" xfId="3" applyNumberFormat="1" applyFont="1" applyBorder="1"/>
    <xf numFmtId="0" fontId="28" fillId="6" borderId="1" xfId="3" applyFont="1" applyFill="1" applyBorder="1"/>
    <xf numFmtId="0" fontId="38" fillId="6" borderId="1" xfId="3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/>
    </xf>
    <xf numFmtId="165" fontId="7" fillId="6" borderId="1" xfId="3" applyNumberFormat="1" applyFont="1" applyFill="1" applyBorder="1" applyAlignment="1">
      <alignment horizontal="center"/>
    </xf>
    <xf numFmtId="165" fontId="7" fillId="6" borderId="1" xfId="3" applyNumberFormat="1" applyFont="1" applyFill="1" applyBorder="1"/>
    <xf numFmtId="2" fontId="7" fillId="6" borderId="1" xfId="3" applyNumberFormat="1" applyFont="1" applyFill="1" applyBorder="1"/>
    <xf numFmtId="0" fontId="7" fillId="6" borderId="1" xfId="3" applyFont="1" applyFill="1" applyBorder="1" applyAlignment="1">
      <alignment horizontal="center"/>
    </xf>
    <xf numFmtId="3" fontId="7" fillId="6" borderId="1" xfId="3" applyNumberFormat="1" applyFont="1" applyFill="1" applyBorder="1"/>
    <xf numFmtId="167" fontId="7" fillId="6" borderId="1" xfId="3" applyNumberFormat="1" applyFont="1" applyFill="1" applyBorder="1"/>
    <xf numFmtId="0" fontId="26" fillId="6" borderId="0" xfId="3" applyFont="1" applyFill="1"/>
    <xf numFmtId="0" fontId="26" fillId="6" borderId="1" xfId="3" applyFont="1" applyFill="1" applyBorder="1"/>
    <xf numFmtId="0" fontId="26" fillId="6" borderId="4" xfId="3" applyFont="1" applyFill="1" applyBorder="1"/>
    <xf numFmtId="0" fontId="26" fillId="6" borderId="0" xfId="3" applyFont="1" applyFill="1" applyBorder="1"/>
    <xf numFmtId="165" fontId="4" fillId="2" borderId="1" xfId="3" applyNumberFormat="1" applyFont="1" applyFill="1" applyBorder="1" applyAlignment="1">
      <alignment horizontal="center"/>
    </xf>
    <xf numFmtId="0" fontId="28" fillId="6" borderId="1" xfId="3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vertical="center" wrapText="1"/>
    </xf>
    <xf numFmtId="165" fontId="7" fillId="6" borderId="1" xfId="3" applyNumberFormat="1" applyFont="1" applyFill="1" applyBorder="1" applyAlignment="1">
      <alignment horizontal="center" vertical="center"/>
    </xf>
    <xf numFmtId="165" fontId="4" fillId="6" borderId="1" xfId="3" applyNumberFormat="1" applyFont="1" applyFill="1" applyBorder="1"/>
    <xf numFmtId="1" fontId="7" fillId="6" borderId="1" xfId="3" applyNumberFormat="1" applyFont="1" applyFill="1" applyBorder="1" applyAlignment="1">
      <alignment horizontal="center"/>
    </xf>
    <xf numFmtId="0" fontId="10" fillId="0" borderId="0" xfId="3" applyFont="1" applyFill="1" applyAlignment="1">
      <alignment horizontal="center" vertical="center"/>
    </xf>
    <xf numFmtId="0" fontId="33" fillId="0" borderId="0" xfId="3" applyFont="1" applyFill="1"/>
    <xf numFmtId="0" fontId="33" fillId="4" borderId="0" xfId="3" applyFont="1" applyFill="1"/>
    <xf numFmtId="0" fontId="1" fillId="0" borderId="0" xfId="3" applyFont="1" applyFill="1" applyAlignment="1">
      <alignment horizontal="center"/>
    </xf>
    <xf numFmtId="0" fontId="1" fillId="2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166" fontId="1" fillId="0" borderId="0" xfId="3" applyNumberFormat="1" applyFont="1" applyFill="1" applyAlignment="1">
      <alignment horizontal="center"/>
    </xf>
    <xf numFmtId="0" fontId="1" fillId="0" borderId="0" xfId="3" applyNumberFormat="1" applyFont="1" applyFill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42" fillId="0" borderId="0" xfId="0" applyNumberFormat="1" applyFont="1" applyAlignment="1">
      <alignment horizontal="center"/>
    </xf>
    <xf numFmtId="165" fontId="27" fillId="7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left"/>
    </xf>
    <xf numFmtId="165" fontId="10" fillId="7" borderId="1" xfId="0" applyNumberFormat="1" applyFont="1" applyFill="1" applyBorder="1" applyAlignment="1">
      <alignment horizontal="center" vertical="center" wrapText="1"/>
    </xf>
    <xf numFmtId="165" fontId="37" fillId="7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166" fontId="27" fillId="0" borderId="1" xfId="3" applyNumberFormat="1" applyFont="1" applyFill="1" applyBorder="1" applyAlignment="1">
      <alignment horizontal="center"/>
    </xf>
    <xf numFmtId="166" fontId="4" fillId="4" borderId="1" xfId="3" applyNumberFormat="1" applyFont="1" applyFill="1" applyBorder="1" applyAlignment="1">
      <alignment horizontal="center"/>
    </xf>
    <xf numFmtId="170" fontId="7" fillId="0" borderId="1" xfId="3" applyNumberFormat="1" applyFont="1" applyFill="1" applyBorder="1" applyAlignment="1">
      <alignment horizontal="center"/>
    </xf>
    <xf numFmtId="0" fontId="31" fillId="0" borderId="3" xfId="3" applyFont="1" applyFill="1" applyBorder="1" applyAlignment="1">
      <alignment horizontal="center" wrapText="1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9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20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2" fontId="30" fillId="3" borderId="19" xfId="3" applyNumberFormat="1" applyFont="1" applyFill="1" applyBorder="1" applyAlignment="1">
      <alignment horizontal="center" vertical="center" textRotation="90" wrapText="1"/>
    </xf>
    <xf numFmtId="2" fontId="30" fillId="3" borderId="5" xfId="3" applyNumberFormat="1" applyFont="1" applyFill="1" applyBorder="1" applyAlignment="1">
      <alignment horizontal="center" vertical="center" textRotation="90" wrapText="1"/>
    </xf>
    <xf numFmtId="2" fontId="30" fillId="3" borderId="6" xfId="3" applyNumberFormat="1" applyFont="1" applyFill="1" applyBorder="1" applyAlignment="1">
      <alignment horizontal="center" vertical="center" textRotation="90" wrapText="1"/>
    </xf>
    <xf numFmtId="2" fontId="27" fillId="3" borderId="19" xfId="3" applyNumberFormat="1" applyFont="1" applyFill="1" applyBorder="1" applyAlignment="1">
      <alignment horizontal="center" vertical="center" wrapText="1"/>
    </xf>
    <xf numFmtId="2" fontId="27" fillId="3" borderId="5" xfId="3" applyNumberFormat="1" applyFont="1" applyFill="1" applyBorder="1" applyAlignment="1">
      <alignment horizontal="center" vertical="center" wrapText="1"/>
    </xf>
    <xf numFmtId="2" fontId="27" fillId="3" borderId="6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3" xfId="3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2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21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7" fillId="17" borderId="4" xfId="0" applyNumberFormat="1" applyFont="1" applyFill="1" applyBorder="1" applyAlignment="1">
      <alignment horizontal="left" vertical="center" wrapText="1"/>
    </xf>
    <xf numFmtId="1" fontId="7" fillId="17" borderId="8" xfId="0" applyNumberFormat="1" applyFont="1" applyFill="1" applyBorder="1" applyAlignment="1">
      <alignment horizontal="left" vertical="center" wrapText="1"/>
    </xf>
    <xf numFmtId="1" fontId="7" fillId="17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" fontId="7" fillId="4" borderId="4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7" fillId="17" borderId="4" xfId="0" applyNumberFormat="1" applyFont="1" applyFill="1" applyBorder="1" applyAlignment="1">
      <alignment horizontal="left"/>
    </xf>
    <xf numFmtId="1" fontId="7" fillId="17" borderId="8" xfId="0" applyNumberFormat="1" applyFont="1" applyFill="1" applyBorder="1" applyAlignment="1">
      <alignment horizontal="left"/>
    </xf>
    <xf numFmtId="1" fontId="7" fillId="17" borderId="9" xfId="0" applyNumberFormat="1" applyFont="1" applyFill="1" applyBorder="1" applyAlignment="1">
      <alignment horizontal="left"/>
    </xf>
    <xf numFmtId="0" fontId="4" fillId="0" borderId="2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65" fontId="17" fillId="0" borderId="22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7" fillId="6" borderId="9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right"/>
    </xf>
    <xf numFmtId="0" fontId="27" fillId="6" borderId="19" xfId="3" applyFont="1" applyFill="1" applyBorder="1" applyAlignment="1">
      <alignment horizontal="center" vertical="center" textRotation="90" wrapText="1"/>
    </xf>
    <xf numFmtId="0" fontId="27" fillId="6" borderId="5" xfId="3" applyFont="1" applyFill="1" applyBorder="1" applyAlignment="1">
      <alignment horizontal="center" vertical="center" textRotation="90" wrapText="1"/>
    </xf>
    <xf numFmtId="0" fontId="27" fillId="6" borderId="6" xfId="3" applyFont="1" applyFill="1" applyBorder="1" applyAlignment="1">
      <alignment horizontal="center" vertical="center" textRotation="90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5" xfId="3" applyFont="1" applyFill="1" applyBorder="1" applyAlignment="1">
      <alignment horizontal="center" vertical="center" wrapText="1"/>
    </xf>
    <xf numFmtId="0" fontId="27" fillId="6" borderId="6" xfId="3" applyFont="1" applyFill="1" applyBorder="1" applyAlignment="1">
      <alignment horizontal="center" vertical="center" wrapText="1"/>
    </xf>
    <xf numFmtId="0" fontId="27" fillId="6" borderId="13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7" fillId="6" borderId="14" xfId="3" applyFont="1" applyFill="1" applyBorder="1" applyAlignment="1">
      <alignment horizontal="center" vertical="center" wrapText="1"/>
    </xf>
    <xf numFmtId="0" fontId="27" fillId="6" borderId="15" xfId="3" applyFont="1" applyFill="1" applyBorder="1" applyAlignment="1">
      <alignment horizontal="center" vertical="center" wrapText="1"/>
    </xf>
    <xf numFmtId="0" fontId="27" fillId="6" borderId="0" xfId="3" applyFont="1" applyFill="1" applyBorder="1" applyAlignment="1">
      <alignment horizontal="center" vertical="center" wrapText="1"/>
    </xf>
    <xf numFmtId="0" fontId="27" fillId="6" borderId="16" xfId="3" applyFont="1" applyFill="1" applyBorder="1" applyAlignment="1">
      <alignment horizontal="center" vertical="center" wrapText="1"/>
    </xf>
    <xf numFmtId="2" fontId="27" fillId="6" borderId="19" xfId="3" applyNumberFormat="1" applyFont="1" applyFill="1" applyBorder="1" applyAlignment="1">
      <alignment horizontal="center" vertical="center" textRotation="90" wrapText="1"/>
    </xf>
    <xf numFmtId="2" fontId="27" fillId="6" borderId="5" xfId="3" applyNumberFormat="1" applyFont="1" applyFill="1" applyBorder="1" applyAlignment="1">
      <alignment horizontal="center" vertical="center" textRotation="90" wrapText="1"/>
    </xf>
    <xf numFmtId="2" fontId="27" fillId="6" borderId="6" xfId="3" applyNumberFormat="1" applyFont="1" applyFill="1" applyBorder="1" applyAlignment="1">
      <alignment horizontal="center" vertical="center" textRotation="90" wrapText="1"/>
    </xf>
    <xf numFmtId="0" fontId="4" fillId="0" borderId="19" xfId="3" applyFont="1" applyFill="1" applyBorder="1" applyAlignment="1">
      <alignment horizontal="center" vertical="center" textRotation="90" wrapText="1"/>
    </xf>
    <xf numFmtId="0" fontId="4" fillId="0" borderId="6" xfId="3" applyFont="1" applyFill="1" applyBorder="1" applyAlignment="1">
      <alignment horizontal="center" vertical="center" textRotation="90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27" fillId="6" borderId="13" xfId="3" applyFont="1" applyFill="1" applyBorder="1" applyAlignment="1">
      <alignment horizontal="center" vertical="center" textRotation="90" wrapText="1"/>
    </xf>
    <xf numFmtId="0" fontId="27" fillId="6" borderId="17" xfId="3" applyFont="1" applyFill="1" applyBorder="1" applyAlignment="1">
      <alignment horizontal="center" vertical="center" textRotation="90" wrapText="1"/>
    </xf>
    <xf numFmtId="0" fontId="26" fillId="6" borderId="4" xfId="3" applyFont="1" applyFill="1" applyBorder="1" applyAlignment="1">
      <alignment horizontal="center" vertical="center"/>
    </xf>
    <xf numFmtId="0" fontId="26" fillId="6" borderId="9" xfId="3" applyFont="1" applyFill="1" applyBorder="1" applyAlignment="1">
      <alignment horizontal="center" vertical="center"/>
    </xf>
    <xf numFmtId="165" fontId="37" fillId="4" borderId="1" xfId="0" applyNumberFormat="1" applyFont="1" applyFill="1" applyBorder="1" applyAlignment="1">
      <alignment horizontal="center" vertical="center"/>
    </xf>
    <xf numFmtId="165" fontId="45" fillId="3" borderId="1" xfId="3" applyNumberFormat="1" applyFont="1" applyFill="1" applyBorder="1" applyAlignment="1">
      <alignment horizontal="center" vertical="center" wrapText="1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E6">
            <v>0</v>
          </cell>
          <cell r="F6">
            <v>0</v>
          </cell>
          <cell r="I6">
            <v>0</v>
          </cell>
          <cell r="M6">
            <v>0</v>
          </cell>
          <cell r="P6">
            <v>0</v>
          </cell>
        </row>
        <row r="8">
          <cell r="E8">
            <v>0</v>
          </cell>
          <cell r="F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T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</row>
        <row r="10">
          <cell r="D10">
            <v>0</v>
          </cell>
          <cell r="L10">
            <v>0</v>
          </cell>
          <cell r="M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I12">
            <v>0</v>
          </cell>
          <cell r="M12">
            <v>0</v>
          </cell>
        </row>
        <row r="14">
          <cell r="D14">
            <v>0</v>
          </cell>
          <cell r="E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R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0</v>
          </cell>
          <cell r="R29">
            <v>0</v>
          </cell>
          <cell r="S29">
            <v>0</v>
          </cell>
        </row>
        <row r="31">
          <cell r="E31">
            <v>0</v>
          </cell>
          <cell r="F31">
            <v>0</v>
          </cell>
          <cell r="I31">
            <v>0</v>
          </cell>
          <cell r="L31">
            <v>0</v>
          </cell>
          <cell r="M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F32">
            <v>0</v>
          </cell>
          <cell r="G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  <cell r="L33">
            <v>0</v>
          </cell>
          <cell r="M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S36">
            <v>0</v>
          </cell>
        </row>
        <row r="38">
          <cell r="E38">
            <v>0</v>
          </cell>
          <cell r="F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</row>
        <row r="40">
          <cell r="F40">
            <v>0</v>
          </cell>
        </row>
        <row r="41">
          <cell r="H41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S43">
            <v>0</v>
          </cell>
          <cell r="T43">
            <v>0</v>
          </cell>
        </row>
        <row r="45">
          <cell r="E45">
            <v>0</v>
          </cell>
          <cell r="F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</row>
        <row r="52">
          <cell r="E52">
            <v>0</v>
          </cell>
          <cell r="F52">
            <v>0</v>
          </cell>
          <cell r="I52">
            <v>0</v>
          </cell>
          <cell r="L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</row>
        <row r="54">
          <cell r="E54">
            <v>0</v>
          </cell>
          <cell r="F54">
            <v>0</v>
          </cell>
          <cell r="I54">
            <v>0</v>
          </cell>
          <cell r="M54">
            <v>0</v>
          </cell>
          <cell r="R54">
            <v>0</v>
          </cell>
        </row>
        <row r="55">
          <cell r="E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E57">
            <v>0</v>
          </cell>
          <cell r="F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H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E62">
            <v>0</v>
          </cell>
          <cell r="F62">
            <v>0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G63">
            <v>0</v>
          </cell>
        </row>
        <row r="65">
          <cell r="E65">
            <v>0</v>
          </cell>
          <cell r="F65">
            <v>0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</row>
        <row r="67">
          <cell r="E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R77">
            <v>0</v>
          </cell>
        </row>
        <row r="80">
          <cell r="E80">
            <v>0</v>
          </cell>
          <cell r="F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E81">
            <v>0</v>
          </cell>
          <cell r="F81">
            <v>0</v>
          </cell>
          <cell r="H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S81">
            <v>0</v>
          </cell>
        </row>
        <row r="82">
          <cell r="N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6">
          <cell r="E86">
            <v>0</v>
          </cell>
          <cell r="F86">
            <v>0</v>
          </cell>
          <cell r="I86">
            <v>0</v>
          </cell>
          <cell r="M86">
            <v>0</v>
          </cell>
          <cell r="P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L88">
            <v>0</v>
          </cell>
          <cell r="P88">
            <v>0</v>
          </cell>
          <cell r="R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  <cell r="L90">
            <v>0</v>
          </cell>
          <cell r="M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I91">
            <v>0</v>
          </cell>
          <cell r="L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P93">
            <v>0</v>
          </cell>
        </row>
        <row r="95">
          <cell r="N95">
            <v>0</v>
          </cell>
          <cell r="P95">
            <v>0</v>
          </cell>
          <cell r="S95">
            <v>0</v>
          </cell>
        </row>
        <row r="96">
          <cell r="E96">
            <v>0</v>
          </cell>
          <cell r="I96">
            <v>0</v>
          </cell>
          <cell r="L96">
            <v>0</v>
          </cell>
          <cell r="P96">
            <v>0</v>
          </cell>
        </row>
        <row r="99">
          <cell r="O99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  <cell r="P101">
            <v>0</v>
          </cell>
          <cell r="R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  <cell r="L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</row>
        <row r="106">
          <cell r="E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R106">
            <v>0</v>
          </cell>
          <cell r="S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  <cell r="L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E109">
            <v>0</v>
          </cell>
          <cell r="I109">
            <v>0</v>
          </cell>
          <cell r="R109">
            <v>0</v>
          </cell>
          <cell r="S109">
            <v>0</v>
          </cell>
        </row>
        <row r="110">
          <cell r="M110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  <cell r="L112">
            <v>0</v>
          </cell>
          <cell r="M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  <cell r="L113">
            <v>0</v>
          </cell>
          <cell r="P113">
            <v>0</v>
          </cell>
          <cell r="R113">
            <v>0</v>
          </cell>
          <cell r="S113">
            <v>0</v>
          </cell>
        </row>
        <row r="115">
          <cell r="C115">
            <v>1482146.3499999999</v>
          </cell>
          <cell r="D115">
            <v>1482146.3499999999</v>
          </cell>
          <cell r="E115">
            <v>0</v>
          </cell>
          <cell r="G115">
            <v>226000</v>
          </cell>
          <cell r="H115">
            <v>136463.26</v>
          </cell>
          <cell r="I115">
            <v>0</v>
          </cell>
          <cell r="L115">
            <v>46605.11</v>
          </cell>
          <cell r="M115">
            <v>922758.51</v>
          </cell>
          <cell r="N115">
            <v>2195933.6999999997</v>
          </cell>
          <cell r="O115">
            <v>1422080.5</v>
          </cell>
          <cell r="P115">
            <v>8656</v>
          </cell>
          <cell r="Q115">
            <v>3626670.1999999997</v>
          </cell>
          <cell r="R115">
            <v>204745</v>
          </cell>
          <cell r="S115">
            <v>270546.8</v>
          </cell>
          <cell r="T115">
            <v>176488.68</v>
          </cell>
        </row>
      </sheetData>
      <sheetData sheetId="7">
        <row r="30">
          <cell r="M30">
            <v>1290650.1399999999</v>
          </cell>
        </row>
        <row r="111">
          <cell r="C111">
            <v>1482146.3499999999</v>
          </cell>
          <cell r="D111">
            <v>1482146.3499999999</v>
          </cell>
          <cell r="E111">
            <v>0</v>
          </cell>
          <cell r="F111">
            <v>226000</v>
          </cell>
          <cell r="G111">
            <v>136463.26</v>
          </cell>
          <cell r="H111">
            <v>0</v>
          </cell>
          <cell r="I111">
            <v>0</v>
          </cell>
          <cell r="J111">
            <v>46605.11</v>
          </cell>
          <cell r="K111">
            <v>922758.51</v>
          </cell>
          <cell r="L111">
            <v>2195933.6999999997</v>
          </cell>
          <cell r="M111">
            <v>1422080.5</v>
          </cell>
          <cell r="N111">
            <v>8656</v>
          </cell>
          <cell r="O111">
            <v>3626670.1999999997</v>
          </cell>
          <cell r="P111">
            <v>204745</v>
          </cell>
          <cell r="Q111">
            <v>270546.8</v>
          </cell>
          <cell r="S111">
            <v>7092423.9099999992</v>
          </cell>
        </row>
      </sheetData>
      <sheetData sheetId="8"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</sheetData>
      <sheetData sheetId="9"/>
      <sheetData sheetId="10"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E6">
            <v>0</v>
          </cell>
          <cell r="F6">
            <v>0</v>
          </cell>
          <cell r="H6">
            <v>0</v>
          </cell>
          <cell r="K6">
            <v>0</v>
          </cell>
          <cell r="N6">
            <v>0</v>
          </cell>
          <cell r="R6">
            <v>0</v>
          </cell>
        </row>
        <row r="8">
          <cell r="E8">
            <v>0</v>
          </cell>
          <cell r="F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P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K12">
            <v>0</v>
          </cell>
        </row>
        <row r="13">
          <cell r="M13">
            <v>0</v>
          </cell>
          <cell r="N13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N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N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5070.57</v>
          </cell>
          <cell r="N30">
            <v>0</v>
          </cell>
          <cell r="R30">
            <v>0</v>
          </cell>
          <cell r="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P35">
            <v>0</v>
          </cell>
          <cell r="R35">
            <v>0</v>
          </cell>
        </row>
        <row r="37">
          <cell r="E37">
            <v>0</v>
          </cell>
          <cell r="F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0</v>
          </cell>
          <cell r="H38">
            <v>0</v>
          </cell>
          <cell r="J38">
            <v>0</v>
          </cell>
          <cell r="N38">
            <v>0</v>
          </cell>
          <cell r="R38">
            <v>0</v>
          </cell>
        </row>
        <row r="39">
          <cell r="G39">
            <v>0</v>
          </cell>
          <cell r="L39">
            <v>0</v>
          </cell>
          <cell r="N39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R46">
            <v>0</v>
          </cell>
          <cell r="S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N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0</v>
          </cell>
          <cell r="F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E53">
            <v>0</v>
          </cell>
          <cell r="F53">
            <v>0</v>
          </cell>
          <cell r="H53">
            <v>0</v>
          </cell>
          <cell r="J53">
            <v>0</v>
          </cell>
          <cell r="N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K54">
            <v>0</v>
          </cell>
          <cell r="P54">
            <v>0</v>
          </cell>
          <cell r="Q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N55">
            <v>0</v>
          </cell>
          <cell r="R55">
            <v>0</v>
          </cell>
          <cell r="S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P68">
            <v>0</v>
          </cell>
          <cell r="R68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R80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5">
          <cell r="E85">
            <v>0</v>
          </cell>
          <cell r="F85">
            <v>0</v>
          </cell>
          <cell r="H85">
            <v>0</v>
          </cell>
          <cell r="K85">
            <v>0</v>
          </cell>
          <cell r="N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N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J87">
            <v>0</v>
          </cell>
          <cell r="K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0</v>
          </cell>
          <cell r="F88">
            <v>0</v>
          </cell>
          <cell r="H88">
            <v>0</v>
          </cell>
          <cell r="J88">
            <v>0</v>
          </cell>
          <cell r="N88">
            <v>0</v>
          </cell>
          <cell r="P88">
            <v>0</v>
          </cell>
          <cell r="R88">
            <v>0</v>
          </cell>
        </row>
        <row r="89">
          <cell r="E89">
            <v>0</v>
          </cell>
          <cell r="F89">
            <v>0</v>
          </cell>
          <cell r="H89">
            <v>0</v>
          </cell>
          <cell r="J89">
            <v>0</v>
          </cell>
          <cell r="K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0</v>
          </cell>
          <cell r="F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0</v>
          </cell>
          <cell r="F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R92">
            <v>0</v>
          </cell>
          <cell r="S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N93">
            <v>0</v>
          </cell>
          <cell r="P93">
            <v>0</v>
          </cell>
          <cell r="S93">
            <v>0</v>
          </cell>
        </row>
        <row r="94">
          <cell r="E94">
            <v>0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0</v>
          </cell>
          <cell r="F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0</v>
          </cell>
          <cell r="F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S96">
            <v>0</v>
          </cell>
        </row>
        <row r="99">
          <cell r="M99">
            <v>0</v>
          </cell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E102">
            <v>0</v>
          </cell>
          <cell r="H102">
            <v>0</v>
          </cell>
          <cell r="J102">
            <v>0</v>
          </cell>
          <cell r="N102">
            <v>0</v>
          </cell>
        </row>
        <row r="105">
          <cell r="N105">
            <v>0</v>
          </cell>
        </row>
        <row r="107">
          <cell r="E107">
            <v>0</v>
          </cell>
          <cell r="F107">
            <v>0</v>
          </cell>
          <cell r="H107">
            <v>0</v>
          </cell>
          <cell r="J107">
            <v>0</v>
          </cell>
          <cell r="K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0</v>
          </cell>
          <cell r="F108">
            <v>0</v>
          </cell>
          <cell r="H108">
            <v>0</v>
          </cell>
          <cell r="J108">
            <v>0</v>
          </cell>
          <cell r="K108">
            <v>0</v>
          </cell>
          <cell r="N108">
            <v>0</v>
          </cell>
          <cell r="P108">
            <v>0</v>
          </cell>
          <cell r="S108">
            <v>0</v>
          </cell>
        </row>
        <row r="109">
          <cell r="E109">
            <v>0</v>
          </cell>
          <cell r="F109">
            <v>0</v>
          </cell>
          <cell r="H109">
            <v>0</v>
          </cell>
          <cell r="J109">
            <v>0</v>
          </cell>
          <cell r="N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H110">
            <v>0</v>
          </cell>
          <cell r="N110">
            <v>0</v>
          </cell>
          <cell r="P110">
            <v>0</v>
          </cell>
        </row>
        <row r="111">
          <cell r="E111">
            <v>0</v>
          </cell>
          <cell r="F111">
            <v>0</v>
          </cell>
          <cell r="H111">
            <v>0</v>
          </cell>
          <cell r="J111">
            <v>0</v>
          </cell>
          <cell r="N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H112">
            <v>0</v>
          </cell>
          <cell r="J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H113">
            <v>0</v>
          </cell>
          <cell r="K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</row>
        <row r="114">
          <cell r="E114">
            <v>0</v>
          </cell>
          <cell r="H114">
            <v>0</v>
          </cell>
          <cell r="J114">
            <v>0</v>
          </cell>
          <cell r="K114">
            <v>0</v>
          </cell>
          <cell r="N114">
            <v>0</v>
          </cell>
          <cell r="P114">
            <v>0</v>
          </cell>
          <cell r="R114">
            <v>0</v>
          </cell>
        </row>
        <row r="115">
          <cell r="E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</row>
        <row r="116">
          <cell r="E116">
            <v>0</v>
          </cell>
          <cell r="F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0</v>
          </cell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K118">
            <v>0</v>
          </cell>
          <cell r="N118">
            <v>0</v>
          </cell>
        </row>
        <row r="120">
          <cell r="E120">
            <v>0</v>
          </cell>
          <cell r="H120">
            <v>0</v>
          </cell>
          <cell r="P120">
            <v>0</v>
          </cell>
          <cell r="R120">
            <v>0</v>
          </cell>
        </row>
        <row r="121">
          <cell r="E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</row>
        <row r="123">
          <cell r="E123">
            <v>0</v>
          </cell>
          <cell r="F123">
            <v>0</v>
          </cell>
          <cell r="H123">
            <v>0</v>
          </cell>
          <cell r="J123">
            <v>0</v>
          </cell>
          <cell r="N123">
            <v>0</v>
          </cell>
          <cell r="P123">
            <v>0</v>
          </cell>
          <cell r="R123">
            <v>0</v>
          </cell>
        </row>
        <row r="124">
          <cell r="C124">
            <v>4525090.41</v>
          </cell>
          <cell r="D124">
            <v>4525090.41</v>
          </cell>
          <cell r="E124">
            <v>0</v>
          </cell>
          <cell r="F124">
            <v>180395</v>
          </cell>
          <cell r="G124">
            <v>358562.77</v>
          </cell>
          <cell r="I124">
            <v>0</v>
          </cell>
          <cell r="J124">
            <v>122758.48</v>
          </cell>
          <cell r="K124">
            <v>1613946.8</v>
          </cell>
          <cell r="L124">
            <v>7250438.29</v>
          </cell>
          <cell r="M124">
            <v>385470.89</v>
          </cell>
          <cell r="N124">
            <v>58561.46</v>
          </cell>
          <cell r="O124">
            <v>7694470.6399999997</v>
          </cell>
          <cell r="P124">
            <v>2807365</v>
          </cell>
          <cell r="Q124">
            <v>0</v>
          </cell>
          <cell r="R124">
            <v>966428</v>
          </cell>
          <cell r="S124">
            <v>602870.52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5"/>
  <sheetViews>
    <sheetView view="pageBreakPreview" zoomScale="84" zoomScaleSheetLayoutView="84" workbookViewId="0">
      <pane xSplit="3" ySplit="6" topLeftCell="F99" activePane="bottomRight" state="frozen"/>
      <selection pane="topRight" activeCell="C1" sqref="C1"/>
      <selection pane="bottomLeft" activeCell="A7" sqref="A7"/>
      <selection pane="bottomRight" activeCell="F137" sqref="F137"/>
    </sheetView>
  </sheetViews>
  <sheetFormatPr defaultRowHeight="12.75"/>
  <cols>
    <col min="1" max="1" width="4.7109375" style="389" customWidth="1"/>
    <col min="2" max="2" width="15.42578125" style="389" hidden="1" customWidth="1"/>
    <col min="3" max="3" width="39.42578125" style="389" customWidth="1"/>
    <col min="4" max="4" width="9.7109375" style="389" hidden="1" customWidth="1"/>
    <col min="5" max="5" width="10" style="389" hidden="1" customWidth="1"/>
    <col min="6" max="6" width="11.42578125" style="389" customWidth="1"/>
    <col min="7" max="7" width="12.42578125" style="389" customWidth="1"/>
    <col min="8" max="9" width="11.28515625" style="389" customWidth="1"/>
    <col min="10" max="10" width="9.28515625" style="389" hidden="1" customWidth="1"/>
    <col min="11" max="11" width="12.42578125" style="389" customWidth="1"/>
    <col min="12" max="12" width="12" style="389" customWidth="1"/>
    <col min="13" max="16384" width="9.140625" style="389"/>
  </cols>
  <sheetData>
    <row r="1" spans="1:12">
      <c r="J1" s="508" t="s">
        <v>578</v>
      </c>
    </row>
    <row r="2" spans="1:12" ht="37.5" customHeight="1">
      <c r="A2" s="388"/>
      <c r="B2" s="388" t="s">
        <v>816</v>
      </c>
      <c r="C2" s="828" t="s">
        <v>805</v>
      </c>
      <c r="D2" s="828"/>
      <c r="E2" s="828"/>
      <c r="F2" s="828"/>
      <c r="G2" s="828"/>
      <c r="H2" s="828"/>
      <c r="I2" s="828"/>
      <c r="J2" s="828"/>
      <c r="K2" s="828"/>
      <c r="L2" s="828"/>
    </row>
    <row r="3" spans="1:12" ht="5.25" customHeight="1">
      <c r="A3" s="829" t="s">
        <v>303</v>
      </c>
      <c r="B3" s="526"/>
      <c r="C3" s="832" t="s">
        <v>304</v>
      </c>
      <c r="D3" s="835" t="s">
        <v>305</v>
      </c>
      <c r="E3" s="836"/>
      <c r="F3" s="836"/>
      <c r="G3" s="836"/>
      <c r="H3" s="836"/>
      <c r="I3" s="837"/>
      <c r="J3" s="841" t="s">
        <v>648</v>
      </c>
      <c r="K3" s="844" t="s">
        <v>813</v>
      </c>
      <c r="L3" s="844" t="s">
        <v>814</v>
      </c>
    </row>
    <row r="4" spans="1:12" ht="9" customHeight="1">
      <c r="A4" s="830"/>
      <c r="B4" s="527"/>
      <c r="C4" s="833"/>
      <c r="D4" s="838"/>
      <c r="E4" s="839"/>
      <c r="F4" s="839"/>
      <c r="G4" s="839"/>
      <c r="H4" s="839"/>
      <c r="I4" s="840"/>
      <c r="J4" s="842"/>
      <c r="K4" s="845"/>
      <c r="L4" s="845"/>
    </row>
    <row r="5" spans="1:12" ht="39" customHeight="1">
      <c r="A5" s="831"/>
      <c r="B5" s="528"/>
      <c r="C5" s="834"/>
      <c r="D5" s="509" t="s">
        <v>579</v>
      </c>
      <c r="E5" s="510" t="s">
        <v>642</v>
      </c>
      <c r="F5" s="509" t="s">
        <v>643</v>
      </c>
      <c r="G5" s="509" t="s">
        <v>799</v>
      </c>
      <c r="H5" s="509" t="s">
        <v>771</v>
      </c>
      <c r="I5" s="509" t="s">
        <v>806</v>
      </c>
      <c r="J5" s="843"/>
      <c r="K5" s="846"/>
      <c r="L5" s="846"/>
    </row>
    <row r="6" spans="1:12" ht="12.75" customHeight="1">
      <c r="A6" s="511" t="s">
        <v>306</v>
      </c>
      <c r="B6" s="511"/>
      <c r="C6" s="512" t="s">
        <v>307</v>
      </c>
      <c r="D6" s="513">
        <f t="shared" ref="D6" si="0">SUM(D8:D19)</f>
        <v>0</v>
      </c>
      <c r="E6" s="513">
        <f t="shared" ref="E6" si="1">SUM(E8:E19)</f>
        <v>0</v>
      </c>
      <c r="F6" s="513">
        <f t="shared" ref="F6:G6" si="2">SUM(F8:F19)</f>
        <v>0</v>
      </c>
      <c r="G6" s="513">
        <f t="shared" si="2"/>
        <v>0</v>
      </c>
      <c r="H6" s="513">
        <f>SUM(H7:H19)</f>
        <v>0.73736000000000002</v>
      </c>
      <c r="I6" s="513">
        <f>SUM(I7:I19)</f>
        <v>620.80665999999997</v>
      </c>
      <c r="J6" s="514">
        <f>H6-F6</f>
        <v>0.73736000000000002</v>
      </c>
      <c r="K6" s="515">
        <v>0</v>
      </c>
      <c r="L6" s="515">
        <f>I6-H6</f>
        <v>620.0693</v>
      </c>
    </row>
    <row r="7" spans="1:12" ht="12.75" customHeight="1">
      <c r="A7" s="530"/>
      <c r="B7" s="531" t="s">
        <v>817</v>
      </c>
      <c r="C7" s="516" t="s">
        <v>818</v>
      </c>
      <c r="D7" s="532"/>
      <c r="E7" s="532"/>
      <c r="F7" s="532">
        <v>0</v>
      </c>
      <c r="G7" s="532">
        <v>0</v>
      </c>
      <c r="H7" s="532">
        <v>0</v>
      </c>
      <c r="I7" s="383">
        <v>620.80665999999997</v>
      </c>
      <c r="J7" s="386"/>
      <c r="K7" s="525">
        <v>0</v>
      </c>
      <c r="L7" s="525">
        <f>I7-H7</f>
        <v>620.80665999999997</v>
      </c>
    </row>
    <row r="8" spans="1:12" hidden="1">
      <c r="A8" s="380"/>
      <c r="B8" s="380"/>
      <c r="C8" s="380" t="s">
        <v>308</v>
      </c>
      <c r="D8" s="385"/>
      <c r="E8" s="383"/>
      <c r="F8" s="385"/>
      <c r="G8" s="385"/>
      <c r="H8" s="385"/>
      <c r="I8" s="385"/>
      <c r="J8" s="514">
        <f t="shared" ref="J8:J74" si="3">H8-F8</f>
        <v>0</v>
      </c>
      <c r="K8" s="525" t="e">
        <f t="shared" ref="K8:K72" si="4">I8/G8</f>
        <v>#DIV/0!</v>
      </c>
      <c r="L8" s="525">
        <f t="shared" ref="L8:L72" si="5">I8-H8</f>
        <v>0</v>
      </c>
    </row>
    <row r="9" spans="1:12" ht="14.25" hidden="1" customHeight="1">
      <c r="A9" s="380"/>
      <c r="B9" s="380"/>
      <c r="C9" s="380" t="s">
        <v>309</v>
      </c>
      <c r="D9" s="377"/>
      <c r="E9" s="376"/>
      <c r="F9" s="377"/>
      <c r="G9" s="377"/>
      <c r="H9" s="377"/>
      <c r="I9" s="377"/>
      <c r="J9" s="514">
        <f t="shared" si="3"/>
        <v>0</v>
      </c>
      <c r="K9" s="525" t="e">
        <f t="shared" si="4"/>
        <v>#DIV/0!</v>
      </c>
      <c r="L9" s="525">
        <f t="shared" si="5"/>
        <v>0</v>
      </c>
    </row>
    <row r="10" spans="1:12" ht="14.25" hidden="1" customHeight="1">
      <c r="A10" s="380"/>
      <c r="B10" s="380"/>
      <c r="C10" s="516" t="s">
        <v>535</v>
      </c>
      <c r="D10" s="377"/>
      <c r="E10" s="376"/>
      <c r="F10" s="377"/>
      <c r="G10" s="377"/>
      <c r="H10" s="377"/>
      <c r="I10" s="377"/>
      <c r="J10" s="514">
        <f t="shared" si="3"/>
        <v>0</v>
      </c>
      <c r="K10" s="525" t="e">
        <f t="shared" si="4"/>
        <v>#DIV/0!</v>
      </c>
      <c r="L10" s="525">
        <f t="shared" si="5"/>
        <v>0</v>
      </c>
    </row>
    <row r="11" spans="1:12" ht="14.25" hidden="1" customHeight="1">
      <c r="A11" s="380"/>
      <c r="B11" s="380"/>
      <c r="C11" s="516" t="s">
        <v>310</v>
      </c>
      <c r="D11" s="377"/>
      <c r="E11" s="376"/>
      <c r="F11" s="377"/>
      <c r="G11" s="377"/>
      <c r="H11" s="377"/>
      <c r="I11" s="377"/>
      <c r="J11" s="514">
        <f t="shared" si="3"/>
        <v>0</v>
      </c>
      <c r="K11" s="525" t="e">
        <f t="shared" si="4"/>
        <v>#DIV/0!</v>
      </c>
      <c r="L11" s="525">
        <f t="shared" si="5"/>
        <v>0</v>
      </c>
    </row>
    <row r="12" spans="1:12" ht="14.25" hidden="1" customHeight="1">
      <c r="A12" s="380"/>
      <c r="B12" s="380"/>
      <c r="C12" s="516" t="s">
        <v>581</v>
      </c>
      <c r="D12" s="377"/>
      <c r="E12" s="376"/>
      <c r="F12" s="377"/>
      <c r="G12" s="377"/>
      <c r="H12" s="377"/>
      <c r="I12" s="377"/>
      <c r="J12" s="514">
        <f t="shared" si="3"/>
        <v>0</v>
      </c>
      <c r="K12" s="525" t="e">
        <f t="shared" si="4"/>
        <v>#DIV/0!</v>
      </c>
      <c r="L12" s="525">
        <f t="shared" si="5"/>
        <v>0</v>
      </c>
    </row>
    <row r="13" spans="1:12" ht="14.25" customHeight="1">
      <c r="A13" s="380"/>
      <c r="B13" s="380"/>
      <c r="C13" s="516" t="s">
        <v>815</v>
      </c>
      <c r="D13" s="377"/>
      <c r="E13" s="376"/>
      <c r="F13" s="377"/>
      <c r="G13" s="377"/>
      <c r="H13" s="377">
        <v>0.73736000000000002</v>
      </c>
      <c r="I13" s="377"/>
      <c r="J13" s="514">
        <f t="shared" si="3"/>
        <v>0.73736000000000002</v>
      </c>
      <c r="K13" s="525">
        <v>0</v>
      </c>
      <c r="L13" s="525">
        <f t="shared" si="5"/>
        <v>-0.73736000000000002</v>
      </c>
    </row>
    <row r="14" spans="1:12" ht="14.25" hidden="1" customHeight="1">
      <c r="A14" s="380"/>
      <c r="B14" s="380"/>
      <c r="C14" s="516" t="s">
        <v>537</v>
      </c>
      <c r="D14" s="377"/>
      <c r="E14" s="376"/>
      <c r="F14" s="377"/>
      <c r="G14" s="377"/>
      <c r="H14" s="377"/>
      <c r="I14" s="377"/>
      <c r="J14" s="514">
        <f t="shared" si="3"/>
        <v>0</v>
      </c>
      <c r="K14" s="515" t="e">
        <f t="shared" si="4"/>
        <v>#DIV/0!</v>
      </c>
      <c r="L14" s="515">
        <f t="shared" si="5"/>
        <v>0</v>
      </c>
    </row>
    <row r="15" spans="1:12" ht="14.25" hidden="1" customHeight="1">
      <c r="A15" s="380"/>
      <c r="B15" s="380"/>
      <c r="C15" s="517" t="s">
        <v>800</v>
      </c>
      <c r="D15" s="377"/>
      <c r="E15" s="376"/>
      <c r="F15" s="377"/>
      <c r="G15" s="377"/>
      <c r="H15" s="377"/>
      <c r="I15" s="377"/>
      <c r="J15" s="514">
        <f t="shared" si="3"/>
        <v>0</v>
      </c>
      <c r="K15" s="515" t="e">
        <f t="shared" si="4"/>
        <v>#DIV/0!</v>
      </c>
      <c r="L15" s="515">
        <f t="shared" si="5"/>
        <v>0</v>
      </c>
    </row>
    <row r="16" spans="1:12" ht="14.25" hidden="1" customHeight="1">
      <c r="A16" s="380"/>
      <c r="B16" s="380"/>
      <c r="C16" s="516" t="s">
        <v>311</v>
      </c>
      <c r="D16" s="377"/>
      <c r="E16" s="376"/>
      <c r="F16" s="377"/>
      <c r="G16" s="377"/>
      <c r="H16" s="377"/>
      <c r="I16" s="377"/>
      <c r="J16" s="514">
        <f t="shared" si="3"/>
        <v>0</v>
      </c>
      <c r="K16" s="515" t="e">
        <f t="shared" si="4"/>
        <v>#DIV/0!</v>
      </c>
      <c r="L16" s="515">
        <f t="shared" si="5"/>
        <v>0</v>
      </c>
    </row>
    <row r="17" spans="1:17" ht="14.25" hidden="1" customHeight="1">
      <c r="A17" s="380"/>
      <c r="B17" s="380"/>
      <c r="C17" s="516" t="s">
        <v>312</v>
      </c>
      <c r="D17" s="377"/>
      <c r="E17" s="376"/>
      <c r="F17" s="377"/>
      <c r="G17" s="377"/>
      <c r="H17" s="377"/>
      <c r="I17" s="377"/>
      <c r="J17" s="514">
        <f t="shared" si="3"/>
        <v>0</v>
      </c>
      <c r="K17" s="515" t="e">
        <f t="shared" si="4"/>
        <v>#DIV/0!</v>
      </c>
      <c r="L17" s="515">
        <f t="shared" si="5"/>
        <v>0</v>
      </c>
    </row>
    <row r="18" spans="1:17" ht="14.25" hidden="1" customHeight="1">
      <c r="A18" s="380"/>
      <c r="B18" s="380"/>
      <c r="C18" s="516" t="s">
        <v>313</v>
      </c>
      <c r="D18" s="377"/>
      <c r="E18" s="376"/>
      <c r="F18" s="377"/>
      <c r="G18" s="377"/>
      <c r="H18" s="377"/>
      <c r="I18" s="377"/>
      <c r="J18" s="514">
        <f t="shared" si="3"/>
        <v>0</v>
      </c>
      <c r="K18" s="515" t="e">
        <f t="shared" si="4"/>
        <v>#DIV/0!</v>
      </c>
      <c r="L18" s="515">
        <f t="shared" si="5"/>
        <v>0</v>
      </c>
    </row>
    <row r="19" spans="1:17" ht="14.25" hidden="1" customHeight="1">
      <c r="A19" s="380"/>
      <c r="B19" s="380"/>
      <c r="C19" s="516" t="s">
        <v>538</v>
      </c>
      <c r="D19" s="384"/>
      <c r="E19" s="376"/>
      <c r="F19" s="384"/>
      <c r="G19" s="384"/>
      <c r="H19" s="384"/>
      <c r="I19" s="384"/>
      <c r="J19" s="514">
        <f t="shared" si="3"/>
        <v>0</v>
      </c>
      <c r="K19" s="515" t="e">
        <f t="shared" si="4"/>
        <v>#DIV/0!</v>
      </c>
      <c r="L19" s="515">
        <f t="shared" si="5"/>
        <v>0</v>
      </c>
    </row>
    <row r="20" spans="1:17" ht="14.25" customHeight="1">
      <c r="A20" s="511" t="s">
        <v>314</v>
      </c>
      <c r="B20" s="511"/>
      <c r="C20" s="512" t="s">
        <v>315</v>
      </c>
      <c r="D20" s="518">
        <f t="shared" ref="D20:I20" si="6">SUM(D21:D37)</f>
        <v>0.6</v>
      </c>
      <c r="E20" s="518">
        <f t="shared" si="6"/>
        <v>10.52</v>
      </c>
      <c r="F20" s="518">
        <f t="shared" ref="F20:G20" si="7">SUM(F21:F37)</f>
        <v>0</v>
      </c>
      <c r="G20" s="518">
        <f t="shared" si="7"/>
        <v>6.91</v>
      </c>
      <c r="H20" s="518">
        <f t="shared" si="6"/>
        <v>7.4</v>
      </c>
      <c r="I20" s="518">
        <f t="shared" si="6"/>
        <v>41.184449999999998</v>
      </c>
      <c r="J20" s="514">
        <f t="shared" si="3"/>
        <v>7.4</v>
      </c>
      <c r="K20" s="515">
        <f t="shared" si="4"/>
        <v>5.9601230101302454</v>
      </c>
      <c r="L20" s="515">
        <f t="shared" si="5"/>
        <v>33.78445</v>
      </c>
    </row>
    <row r="21" spans="1:17" ht="14.25" customHeight="1">
      <c r="A21" s="380"/>
      <c r="B21" s="529" t="s">
        <v>831</v>
      </c>
      <c r="C21" s="380" t="s">
        <v>316</v>
      </c>
      <c r="D21" s="377"/>
      <c r="E21" s="377"/>
      <c r="F21" s="377"/>
      <c r="G21" s="377"/>
      <c r="H21" s="377"/>
      <c r="I21" s="377">
        <v>3.9630100000000001</v>
      </c>
      <c r="J21" s="514">
        <f t="shared" si="3"/>
        <v>0</v>
      </c>
      <c r="K21" s="525">
        <v>0</v>
      </c>
      <c r="L21" s="525">
        <f t="shared" si="5"/>
        <v>3.9630100000000001</v>
      </c>
      <c r="Q21" s="529" t="s">
        <v>817</v>
      </c>
    </row>
    <row r="22" spans="1:17" ht="14.25" customHeight="1">
      <c r="A22" s="380"/>
      <c r="B22" s="380"/>
      <c r="C22" s="516" t="s">
        <v>317</v>
      </c>
      <c r="D22" s="377"/>
      <c r="E22" s="377"/>
      <c r="F22" s="377"/>
      <c r="G22" s="377">
        <v>4.6900000000000004</v>
      </c>
      <c r="H22" s="377"/>
      <c r="I22" s="377"/>
      <c r="J22" s="514">
        <f t="shared" si="3"/>
        <v>0</v>
      </c>
      <c r="K22" s="525">
        <f t="shared" si="4"/>
        <v>0</v>
      </c>
      <c r="L22" s="525">
        <f t="shared" si="5"/>
        <v>0</v>
      </c>
    </row>
    <row r="23" spans="1:17" ht="14.25" customHeight="1">
      <c r="A23" s="380"/>
      <c r="B23" s="380"/>
      <c r="C23" s="516" t="s">
        <v>582</v>
      </c>
      <c r="D23" s="377"/>
      <c r="E23" s="377"/>
      <c r="F23" s="377"/>
      <c r="G23" s="377">
        <v>2.2200000000000002</v>
      </c>
      <c r="H23" s="377"/>
      <c r="I23" s="377"/>
      <c r="J23" s="514">
        <f t="shared" si="3"/>
        <v>0</v>
      </c>
      <c r="K23" s="525">
        <f t="shared" si="4"/>
        <v>0</v>
      </c>
      <c r="L23" s="525">
        <f t="shared" si="5"/>
        <v>0</v>
      </c>
    </row>
    <row r="24" spans="1:17" ht="14.25" hidden="1" customHeight="1">
      <c r="A24" s="380"/>
      <c r="B24" s="380"/>
      <c r="C24" s="519" t="s">
        <v>318</v>
      </c>
      <c r="D24" s="377">
        <v>0</v>
      </c>
      <c r="E24" s="377">
        <v>10.52</v>
      </c>
      <c r="F24" s="377"/>
      <c r="G24" s="377"/>
      <c r="H24" s="377"/>
      <c r="I24" s="377"/>
      <c r="J24" s="514">
        <f t="shared" si="3"/>
        <v>0</v>
      </c>
      <c r="K24" s="525" t="e">
        <f t="shared" si="4"/>
        <v>#DIV/0!</v>
      </c>
      <c r="L24" s="525">
        <f t="shared" si="5"/>
        <v>0</v>
      </c>
    </row>
    <row r="25" spans="1:17" ht="14.25" customHeight="1">
      <c r="A25" s="380"/>
      <c r="B25" s="380"/>
      <c r="C25" s="380" t="s">
        <v>583</v>
      </c>
      <c r="D25" s="377"/>
      <c r="E25" s="377"/>
      <c r="F25" s="377"/>
      <c r="G25" s="377"/>
      <c r="H25" s="377"/>
      <c r="I25" s="377">
        <v>0.35686000000000001</v>
      </c>
      <c r="J25" s="514">
        <f t="shared" si="3"/>
        <v>0</v>
      </c>
      <c r="K25" s="525">
        <v>0</v>
      </c>
      <c r="L25" s="525">
        <f t="shared" si="5"/>
        <v>0.35686000000000001</v>
      </c>
    </row>
    <row r="26" spans="1:17" ht="14.25" customHeight="1">
      <c r="A26" s="380"/>
      <c r="B26" s="529" t="s">
        <v>834</v>
      </c>
      <c r="C26" s="516" t="s">
        <v>539</v>
      </c>
      <c r="D26" s="377"/>
      <c r="E26" s="377"/>
      <c r="F26" s="377"/>
      <c r="G26" s="377"/>
      <c r="H26" s="377"/>
      <c r="I26" s="377">
        <v>36.864579999999997</v>
      </c>
      <c r="J26" s="514">
        <f t="shared" si="3"/>
        <v>0</v>
      </c>
      <c r="K26" s="525">
        <v>0</v>
      </c>
      <c r="L26" s="525">
        <f t="shared" si="5"/>
        <v>36.864579999999997</v>
      </c>
    </row>
    <row r="27" spans="1:17" ht="14.25" customHeight="1">
      <c r="A27" s="380"/>
      <c r="B27" s="380"/>
      <c r="C27" s="380" t="s">
        <v>616</v>
      </c>
      <c r="D27" s="377"/>
      <c r="E27" s="377"/>
      <c r="F27" s="377"/>
      <c r="G27" s="377"/>
      <c r="H27" s="377"/>
      <c r="I27" s="377"/>
      <c r="J27" s="514">
        <f t="shared" si="3"/>
        <v>0</v>
      </c>
      <c r="K27" s="525">
        <v>0</v>
      </c>
      <c r="L27" s="525">
        <f t="shared" si="5"/>
        <v>0</v>
      </c>
    </row>
    <row r="28" spans="1:17" ht="14.25" customHeight="1">
      <c r="A28" s="380"/>
      <c r="B28" s="380"/>
      <c r="C28" s="516" t="s">
        <v>540</v>
      </c>
      <c r="D28" s="377"/>
      <c r="E28" s="377"/>
      <c r="F28" s="377"/>
      <c r="G28" s="377"/>
      <c r="H28" s="377">
        <v>7.4</v>
      </c>
      <c r="I28" s="377"/>
      <c r="J28" s="514">
        <f t="shared" si="3"/>
        <v>7.4</v>
      </c>
      <c r="K28" s="525">
        <v>0</v>
      </c>
      <c r="L28" s="525">
        <f t="shared" si="5"/>
        <v>-7.4</v>
      </c>
    </row>
    <row r="29" spans="1:17" ht="14.25" hidden="1" customHeight="1">
      <c r="A29" s="380"/>
      <c r="B29" s="380"/>
      <c r="C29" s="516" t="s">
        <v>584</v>
      </c>
      <c r="D29" s="377"/>
      <c r="E29" s="377"/>
      <c r="F29" s="377"/>
      <c r="G29" s="377"/>
      <c r="H29" s="377"/>
      <c r="I29" s="377"/>
      <c r="J29" s="514">
        <f t="shared" si="3"/>
        <v>0</v>
      </c>
      <c r="K29" s="525" t="e">
        <f t="shared" si="4"/>
        <v>#DIV/0!</v>
      </c>
      <c r="L29" s="525">
        <f t="shared" si="5"/>
        <v>0</v>
      </c>
    </row>
    <row r="30" spans="1:17" ht="14.25" hidden="1" customHeight="1">
      <c r="A30" s="380"/>
      <c r="B30" s="380"/>
      <c r="C30" s="516" t="s">
        <v>319</v>
      </c>
      <c r="D30" s="377"/>
      <c r="E30" s="377"/>
      <c r="F30" s="377"/>
      <c r="G30" s="377"/>
      <c r="H30" s="377"/>
      <c r="I30" s="377"/>
      <c r="J30" s="514">
        <f t="shared" si="3"/>
        <v>0</v>
      </c>
      <c r="K30" s="525" t="e">
        <f t="shared" si="4"/>
        <v>#DIV/0!</v>
      </c>
      <c r="L30" s="525">
        <f t="shared" si="5"/>
        <v>0</v>
      </c>
    </row>
    <row r="31" spans="1:17" ht="14.25" hidden="1" customHeight="1">
      <c r="A31" s="380"/>
      <c r="B31" s="380"/>
      <c r="C31" s="516" t="s">
        <v>320</v>
      </c>
      <c r="D31" s="377"/>
      <c r="E31" s="377"/>
      <c r="F31" s="377"/>
      <c r="G31" s="377"/>
      <c r="H31" s="377"/>
      <c r="I31" s="377"/>
      <c r="J31" s="514">
        <f t="shared" si="3"/>
        <v>0</v>
      </c>
      <c r="K31" s="525" t="e">
        <f t="shared" si="4"/>
        <v>#DIV/0!</v>
      </c>
      <c r="L31" s="525">
        <f t="shared" si="5"/>
        <v>0</v>
      </c>
    </row>
    <row r="32" spans="1:17" ht="14.25" hidden="1" customHeight="1">
      <c r="A32" s="380"/>
      <c r="B32" s="380"/>
      <c r="C32" s="516" t="s">
        <v>321</v>
      </c>
      <c r="D32" s="377"/>
      <c r="E32" s="377"/>
      <c r="F32" s="377"/>
      <c r="G32" s="377"/>
      <c r="H32" s="377"/>
      <c r="I32" s="377"/>
      <c r="J32" s="514">
        <f t="shared" si="3"/>
        <v>0</v>
      </c>
      <c r="K32" s="525" t="e">
        <f t="shared" si="4"/>
        <v>#DIV/0!</v>
      </c>
      <c r="L32" s="525">
        <f t="shared" si="5"/>
        <v>0</v>
      </c>
    </row>
    <row r="33" spans="1:12" ht="14.25" hidden="1" customHeight="1">
      <c r="A33" s="380"/>
      <c r="B33" s="380"/>
      <c r="C33" s="516" t="s">
        <v>322</v>
      </c>
      <c r="D33" s="377"/>
      <c r="E33" s="377"/>
      <c r="F33" s="377"/>
      <c r="G33" s="377"/>
      <c r="H33" s="377"/>
      <c r="I33" s="377"/>
      <c r="J33" s="514">
        <f t="shared" si="3"/>
        <v>0</v>
      </c>
      <c r="K33" s="525" t="e">
        <f t="shared" si="4"/>
        <v>#DIV/0!</v>
      </c>
      <c r="L33" s="525">
        <f t="shared" si="5"/>
        <v>0</v>
      </c>
    </row>
    <row r="34" spans="1:12" ht="14.25" hidden="1" customHeight="1">
      <c r="A34" s="380"/>
      <c r="B34" s="380"/>
      <c r="C34" s="516" t="s">
        <v>585</v>
      </c>
      <c r="D34" s="377"/>
      <c r="E34" s="377"/>
      <c r="F34" s="377"/>
      <c r="G34" s="377"/>
      <c r="H34" s="377"/>
      <c r="I34" s="377"/>
      <c r="J34" s="514">
        <f t="shared" si="3"/>
        <v>0</v>
      </c>
      <c r="K34" s="525" t="e">
        <f t="shared" si="4"/>
        <v>#DIV/0!</v>
      </c>
      <c r="L34" s="525">
        <f t="shared" si="5"/>
        <v>0</v>
      </c>
    </row>
    <row r="35" spans="1:12" ht="14.25" hidden="1" customHeight="1">
      <c r="A35" s="380"/>
      <c r="B35" s="380"/>
      <c r="C35" s="380" t="s">
        <v>541</v>
      </c>
      <c r="D35" s="377"/>
      <c r="E35" s="377"/>
      <c r="F35" s="377"/>
      <c r="G35" s="377"/>
      <c r="H35" s="377"/>
      <c r="I35" s="377"/>
      <c r="J35" s="514">
        <f t="shared" si="3"/>
        <v>0</v>
      </c>
      <c r="K35" s="515" t="e">
        <f t="shared" si="4"/>
        <v>#DIV/0!</v>
      </c>
      <c r="L35" s="515">
        <f t="shared" si="5"/>
        <v>0</v>
      </c>
    </row>
    <row r="36" spans="1:12" ht="14.25" hidden="1" customHeight="1">
      <c r="A36" s="380"/>
      <c r="B36" s="380"/>
      <c r="C36" s="380" t="s">
        <v>323</v>
      </c>
      <c r="D36" s="377"/>
      <c r="E36" s="377"/>
      <c r="F36" s="377"/>
      <c r="G36" s="377"/>
      <c r="H36" s="377"/>
      <c r="I36" s="377"/>
      <c r="J36" s="514">
        <f t="shared" si="3"/>
        <v>0</v>
      </c>
      <c r="K36" s="515" t="e">
        <f t="shared" si="4"/>
        <v>#DIV/0!</v>
      </c>
      <c r="L36" s="515">
        <f t="shared" si="5"/>
        <v>0</v>
      </c>
    </row>
    <row r="37" spans="1:12" ht="14.25" hidden="1" customHeight="1">
      <c r="A37" s="380"/>
      <c r="B37" s="380"/>
      <c r="C37" s="380" t="s">
        <v>542</v>
      </c>
      <c r="D37" s="384">
        <v>0.6</v>
      </c>
      <c r="E37" s="377"/>
      <c r="F37" s="384"/>
      <c r="G37" s="384"/>
      <c r="H37" s="384"/>
      <c r="I37" s="384"/>
      <c r="J37" s="514">
        <f t="shared" si="3"/>
        <v>0</v>
      </c>
      <c r="K37" s="515" t="e">
        <f t="shared" si="4"/>
        <v>#DIV/0!</v>
      </c>
      <c r="L37" s="515">
        <f t="shared" si="5"/>
        <v>0</v>
      </c>
    </row>
    <row r="38" spans="1:12" ht="14.25" customHeight="1">
      <c r="A38" s="511" t="s">
        <v>324</v>
      </c>
      <c r="B38" s="511"/>
      <c r="C38" s="512" t="s">
        <v>325</v>
      </c>
      <c r="D38" s="518">
        <f>SUM(D40:D76)</f>
        <v>34.4</v>
      </c>
      <c r="E38" s="518">
        <f>SUM(E40:E76)</f>
        <v>79.360000000000014</v>
      </c>
      <c r="F38" s="518">
        <f t="shared" ref="F38:I38" si="8">SUM(F40:F76)</f>
        <v>147.92000000000002</v>
      </c>
      <c r="G38" s="518">
        <f t="shared" si="8"/>
        <v>171.31</v>
      </c>
      <c r="H38" s="518">
        <f t="shared" si="8"/>
        <v>468.5</v>
      </c>
      <c r="I38" s="518">
        <f t="shared" si="8"/>
        <v>91.502389999999991</v>
      </c>
      <c r="J38" s="514">
        <f t="shared" si="3"/>
        <v>320.58</v>
      </c>
      <c r="K38" s="515">
        <f t="shared" si="4"/>
        <v>0.53413338392388066</v>
      </c>
      <c r="L38" s="515">
        <f t="shared" si="5"/>
        <v>-376.99761000000001</v>
      </c>
    </row>
    <row r="39" spans="1:12" ht="14.25" customHeight="1">
      <c r="A39" s="511"/>
      <c r="B39" s="511"/>
      <c r="C39" s="512" t="s">
        <v>326</v>
      </c>
      <c r="D39" s="520">
        <f t="shared" ref="D39:E39" si="9">SUM(D40:D62)</f>
        <v>0</v>
      </c>
      <c r="E39" s="518">
        <f t="shared" si="9"/>
        <v>3.09</v>
      </c>
      <c r="F39" s="518">
        <f t="shared" ref="F39:I39" si="10">SUM(F40:F62)</f>
        <v>7.98</v>
      </c>
      <c r="G39" s="518">
        <f t="shared" si="10"/>
        <v>3.18</v>
      </c>
      <c r="H39" s="518">
        <f t="shared" si="10"/>
        <v>0</v>
      </c>
      <c r="I39" s="518">
        <f t="shared" si="10"/>
        <v>6.5895099999999998</v>
      </c>
      <c r="J39" s="514">
        <f t="shared" si="3"/>
        <v>-7.98</v>
      </c>
      <c r="K39" s="515">
        <f t="shared" si="4"/>
        <v>2.0721729559748425</v>
      </c>
      <c r="L39" s="515">
        <f t="shared" si="5"/>
        <v>6.5895099999999998</v>
      </c>
    </row>
    <row r="40" spans="1:12" ht="14.25" customHeight="1">
      <c r="A40" s="380"/>
      <c r="B40" s="380"/>
      <c r="C40" s="516" t="s">
        <v>327</v>
      </c>
      <c r="D40" s="521"/>
      <c r="E40" s="377">
        <v>1.46</v>
      </c>
      <c r="F40" s="521">
        <v>0</v>
      </c>
      <c r="G40" s="521">
        <v>0.2</v>
      </c>
      <c r="H40" s="521">
        <v>0</v>
      </c>
      <c r="I40" s="521">
        <v>0</v>
      </c>
      <c r="J40" s="514">
        <f t="shared" si="3"/>
        <v>0</v>
      </c>
      <c r="K40" s="525">
        <f t="shared" si="4"/>
        <v>0</v>
      </c>
      <c r="L40" s="525">
        <f t="shared" si="5"/>
        <v>0</v>
      </c>
    </row>
    <row r="41" spans="1:12" ht="14.25" hidden="1" customHeight="1">
      <c r="A41" s="380"/>
      <c r="B41" s="380"/>
      <c r="C41" s="516" t="s">
        <v>328</v>
      </c>
      <c r="D41" s="521"/>
      <c r="E41" s="377"/>
      <c r="F41" s="521"/>
      <c r="G41" s="521"/>
      <c r="H41" s="521"/>
      <c r="I41" s="521"/>
      <c r="J41" s="514">
        <f t="shared" si="3"/>
        <v>0</v>
      </c>
      <c r="K41" s="525" t="e">
        <f t="shared" si="4"/>
        <v>#DIV/0!</v>
      </c>
      <c r="L41" s="525">
        <f t="shared" si="5"/>
        <v>0</v>
      </c>
    </row>
    <row r="42" spans="1:12" ht="14.25" hidden="1" customHeight="1">
      <c r="A42" s="380"/>
      <c r="B42" s="380"/>
      <c r="C42" s="516" t="s">
        <v>329</v>
      </c>
      <c r="D42" s="521"/>
      <c r="E42" s="377"/>
      <c r="F42" s="521"/>
      <c r="G42" s="521"/>
      <c r="H42" s="521"/>
      <c r="I42" s="521"/>
      <c r="J42" s="514">
        <f t="shared" si="3"/>
        <v>0</v>
      </c>
      <c r="K42" s="525" t="e">
        <f t="shared" si="4"/>
        <v>#DIV/0!</v>
      </c>
      <c r="L42" s="525">
        <f t="shared" si="5"/>
        <v>0</v>
      </c>
    </row>
    <row r="43" spans="1:12" ht="14.25" hidden="1" customHeight="1">
      <c r="A43" s="380"/>
      <c r="B43" s="380"/>
      <c r="C43" s="380" t="s">
        <v>330</v>
      </c>
      <c r="D43" s="521"/>
      <c r="E43" s="377"/>
      <c r="F43" s="521"/>
      <c r="G43" s="521"/>
      <c r="H43" s="521"/>
      <c r="I43" s="521"/>
      <c r="J43" s="514">
        <f t="shared" si="3"/>
        <v>0</v>
      </c>
      <c r="K43" s="525" t="e">
        <f t="shared" si="4"/>
        <v>#DIV/0!</v>
      </c>
      <c r="L43" s="525">
        <f t="shared" si="5"/>
        <v>0</v>
      </c>
    </row>
    <row r="44" spans="1:12" ht="14.25" hidden="1" customHeight="1">
      <c r="A44" s="380"/>
      <c r="B44" s="380"/>
      <c r="C44" s="380" t="s">
        <v>331</v>
      </c>
      <c r="D44" s="521"/>
      <c r="E44" s="377"/>
      <c r="F44" s="521"/>
      <c r="G44" s="521"/>
      <c r="H44" s="521"/>
      <c r="I44" s="521"/>
      <c r="J44" s="514">
        <f t="shared" si="3"/>
        <v>0</v>
      </c>
      <c r="K44" s="525" t="e">
        <f t="shared" si="4"/>
        <v>#DIV/0!</v>
      </c>
      <c r="L44" s="525">
        <f t="shared" si="5"/>
        <v>0</v>
      </c>
    </row>
    <row r="45" spans="1:12" ht="14.25" hidden="1" customHeight="1">
      <c r="A45" s="380"/>
      <c r="B45" s="380"/>
      <c r="C45" s="380" t="s">
        <v>332</v>
      </c>
      <c r="D45" s="521"/>
      <c r="E45" s="377"/>
      <c r="F45" s="521"/>
      <c r="G45" s="521"/>
      <c r="H45" s="521"/>
      <c r="I45" s="521"/>
      <c r="J45" s="514">
        <f t="shared" si="3"/>
        <v>0</v>
      </c>
      <c r="K45" s="525" t="e">
        <f t="shared" si="4"/>
        <v>#DIV/0!</v>
      </c>
      <c r="L45" s="525">
        <f t="shared" si="5"/>
        <v>0</v>
      </c>
    </row>
    <row r="46" spans="1:12" ht="14.25" customHeight="1">
      <c r="A46" s="380"/>
      <c r="B46" s="380"/>
      <c r="C46" s="380" t="s">
        <v>333</v>
      </c>
      <c r="D46" s="521"/>
      <c r="E46" s="377"/>
      <c r="F46" s="521">
        <v>5.7</v>
      </c>
      <c r="G46" s="521"/>
      <c r="H46" s="521">
        <v>0</v>
      </c>
      <c r="I46" s="521">
        <v>0</v>
      </c>
      <c r="J46" s="514">
        <f t="shared" si="3"/>
        <v>-5.7</v>
      </c>
      <c r="K46" s="525">
        <v>0</v>
      </c>
      <c r="L46" s="525">
        <f t="shared" si="5"/>
        <v>0</v>
      </c>
    </row>
    <row r="47" spans="1:12" ht="14.25" customHeight="1">
      <c r="A47" s="380"/>
      <c r="B47" s="529" t="s">
        <v>821</v>
      </c>
      <c r="C47" s="380" t="s">
        <v>334</v>
      </c>
      <c r="D47" s="521"/>
      <c r="E47" s="377"/>
      <c r="F47" s="521">
        <v>0</v>
      </c>
      <c r="G47" s="521">
        <v>0</v>
      </c>
      <c r="H47" s="521">
        <v>0</v>
      </c>
      <c r="I47" s="521">
        <v>5.36259</v>
      </c>
      <c r="J47" s="514">
        <f t="shared" si="3"/>
        <v>0</v>
      </c>
      <c r="K47" s="525">
        <v>0</v>
      </c>
      <c r="L47" s="525">
        <f t="shared" si="5"/>
        <v>5.36259</v>
      </c>
    </row>
    <row r="48" spans="1:12" ht="14.25" hidden="1" customHeight="1">
      <c r="A48" s="380"/>
      <c r="B48" s="380"/>
      <c r="C48" s="380" t="s">
        <v>335</v>
      </c>
      <c r="D48" s="521"/>
      <c r="E48" s="377"/>
      <c r="F48" s="521"/>
      <c r="G48" s="521"/>
      <c r="H48" s="521"/>
      <c r="I48" s="521"/>
      <c r="J48" s="514">
        <f t="shared" si="3"/>
        <v>0</v>
      </c>
      <c r="K48" s="525" t="e">
        <f t="shared" si="4"/>
        <v>#DIV/0!</v>
      </c>
      <c r="L48" s="525">
        <f t="shared" si="5"/>
        <v>0</v>
      </c>
    </row>
    <row r="49" spans="1:12" ht="14.25" customHeight="1">
      <c r="A49" s="380"/>
      <c r="B49" s="380"/>
      <c r="C49" s="380" t="s">
        <v>336</v>
      </c>
      <c r="D49" s="521"/>
      <c r="E49" s="377"/>
      <c r="F49" s="521">
        <v>0.3</v>
      </c>
      <c r="G49" s="521">
        <v>2.98</v>
      </c>
      <c r="H49" s="521">
        <v>0</v>
      </c>
      <c r="I49" s="521">
        <v>0</v>
      </c>
      <c r="J49" s="514">
        <f t="shared" si="3"/>
        <v>-0.3</v>
      </c>
      <c r="K49" s="525">
        <f t="shared" si="4"/>
        <v>0</v>
      </c>
      <c r="L49" s="525">
        <f t="shared" si="5"/>
        <v>0</v>
      </c>
    </row>
    <row r="50" spans="1:12" ht="14.25" hidden="1" customHeight="1">
      <c r="A50" s="380"/>
      <c r="B50" s="380"/>
      <c r="C50" s="380" t="s">
        <v>337</v>
      </c>
      <c r="D50" s="521"/>
      <c r="E50" s="377"/>
      <c r="F50" s="521"/>
      <c r="G50" s="521"/>
      <c r="H50" s="521"/>
      <c r="I50" s="521"/>
      <c r="J50" s="514">
        <f t="shared" si="3"/>
        <v>0</v>
      </c>
      <c r="K50" s="525" t="e">
        <f t="shared" si="4"/>
        <v>#DIV/0!</v>
      </c>
      <c r="L50" s="525">
        <f t="shared" si="5"/>
        <v>0</v>
      </c>
    </row>
    <row r="51" spans="1:12" ht="14.25" hidden="1" customHeight="1">
      <c r="A51" s="380"/>
      <c r="B51" s="380"/>
      <c r="C51" s="522" t="s">
        <v>338</v>
      </c>
      <c r="D51" s="521"/>
      <c r="E51" s="377"/>
      <c r="F51" s="521"/>
      <c r="G51" s="521"/>
      <c r="H51" s="521"/>
      <c r="I51" s="521"/>
      <c r="J51" s="514">
        <f t="shared" si="3"/>
        <v>0</v>
      </c>
      <c r="K51" s="525" t="e">
        <f t="shared" si="4"/>
        <v>#DIV/0!</v>
      </c>
      <c r="L51" s="525">
        <f t="shared" si="5"/>
        <v>0</v>
      </c>
    </row>
    <row r="52" spans="1:12" ht="14.25" hidden="1" customHeight="1">
      <c r="A52" s="380"/>
      <c r="B52" s="380"/>
      <c r="C52" s="380" t="s">
        <v>543</v>
      </c>
      <c r="D52" s="384"/>
      <c r="E52" s="377"/>
      <c r="F52" s="384"/>
      <c r="G52" s="384"/>
      <c r="H52" s="384"/>
      <c r="I52" s="384"/>
      <c r="J52" s="514">
        <f t="shared" si="3"/>
        <v>0</v>
      </c>
      <c r="K52" s="525" t="e">
        <f t="shared" si="4"/>
        <v>#DIV/0!</v>
      </c>
      <c r="L52" s="525">
        <f t="shared" si="5"/>
        <v>0</v>
      </c>
    </row>
    <row r="53" spans="1:12" ht="14.25" customHeight="1">
      <c r="A53" s="380"/>
      <c r="B53" s="380"/>
      <c r="C53" s="380" t="s">
        <v>339</v>
      </c>
      <c r="D53" s="521"/>
      <c r="E53" s="377"/>
      <c r="F53" s="521">
        <v>1.98</v>
      </c>
      <c r="G53" s="521">
        <v>0</v>
      </c>
      <c r="H53" s="521">
        <v>0</v>
      </c>
      <c r="I53" s="521">
        <v>0</v>
      </c>
      <c r="J53" s="514">
        <f t="shared" si="3"/>
        <v>-1.98</v>
      </c>
      <c r="K53" s="525">
        <v>0</v>
      </c>
      <c r="L53" s="525">
        <f t="shared" si="5"/>
        <v>0</v>
      </c>
    </row>
    <row r="54" spans="1:12" ht="14.25" customHeight="1">
      <c r="A54" s="380"/>
      <c r="B54" s="380"/>
      <c r="C54" s="380" t="s">
        <v>696</v>
      </c>
      <c r="D54" s="521"/>
      <c r="E54" s="377"/>
      <c r="F54" s="521">
        <v>0</v>
      </c>
      <c r="G54" s="521">
        <v>0</v>
      </c>
      <c r="H54" s="521">
        <v>0</v>
      </c>
      <c r="I54" s="521">
        <v>1.22692</v>
      </c>
      <c r="J54" s="514"/>
      <c r="K54" s="525">
        <v>0</v>
      </c>
      <c r="L54" s="525">
        <f t="shared" si="5"/>
        <v>1.22692</v>
      </c>
    </row>
    <row r="55" spans="1:12" ht="14.25" hidden="1" customHeight="1">
      <c r="A55" s="380"/>
      <c r="B55" s="380"/>
      <c r="C55" s="380" t="s">
        <v>340</v>
      </c>
      <c r="D55" s="521"/>
      <c r="E55" s="377"/>
      <c r="F55" s="521"/>
      <c r="G55" s="521"/>
      <c r="H55" s="521"/>
      <c r="I55" s="521"/>
      <c r="J55" s="514">
        <f t="shared" si="3"/>
        <v>0</v>
      </c>
      <c r="K55" s="525" t="e">
        <f t="shared" si="4"/>
        <v>#DIV/0!</v>
      </c>
      <c r="L55" s="525">
        <f t="shared" si="5"/>
        <v>0</v>
      </c>
    </row>
    <row r="56" spans="1:12" ht="14.25" hidden="1" customHeight="1">
      <c r="A56" s="380"/>
      <c r="B56" s="380"/>
      <c r="C56" s="380" t="s">
        <v>801</v>
      </c>
      <c r="D56" s="521"/>
      <c r="E56" s="377"/>
      <c r="F56" s="521"/>
      <c r="G56" s="521"/>
      <c r="H56" s="521"/>
      <c r="I56" s="521"/>
      <c r="J56" s="514">
        <f t="shared" si="3"/>
        <v>0</v>
      </c>
      <c r="K56" s="525" t="e">
        <f t="shared" si="4"/>
        <v>#DIV/0!</v>
      </c>
      <c r="L56" s="525">
        <f t="shared" si="5"/>
        <v>0</v>
      </c>
    </row>
    <row r="57" spans="1:12" ht="14.25" hidden="1" customHeight="1">
      <c r="A57" s="380"/>
      <c r="B57" s="380"/>
      <c r="C57" s="380" t="s">
        <v>802</v>
      </c>
      <c r="D57" s="521"/>
      <c r="E57" s="377"/>
      <c r="F57" s="521"/>
      <c r="G57" s="521"/>
      <c r="H57" s="521"/>
      <c r="I57" s="521"/>
      <c r="J57" s="514">
        <f t="shared" si="3"/>
        <v>0</v>
      </c>
      <c r="K57" s="525" t="e">
        <f t="shared" si="4"/>
        <v>#DIV/0!</v>
      </c>
      <c r="L57" s="525">
        <f t="shared" si="5"/>
        <v>0</v>
      </c>
    </row>
    <row r="58" spans="1:12" ht="14.25" hidden="1" customHeight="1">
      <c r="A58" s="380"/>
      <c r="B58" s="380"/>
      <c r="C58" s="522" t="s">
        <v>341</v>
      </c>
      <c r="D58" s="521"/>
      <c r="E58" s="377"/>
      <c r="F58" s="521"/>
      <c r="G58" s="521"/>
      <c r="H58" s="521"/>
      <c r="I58" s="521"/>
      <c r="J58" s="514">
        <f t="shared" si="3"/>
        <v>0</v>
      </c>
      <c r="K58" s="525" t="e">
        <f t="shared" si="4"/>
        <v>#DIV/0!</v>
      </c>
      <c r="L58" s="525">
        <f t="shared" si="5"/>
        <v>0</v>
      </c>
    </row>
    <row r="59" spans="1:12" ht="14.25" hidden="1" customHeight="1">
      <c r="A59" s="380"/>
      <c r="B59" s="380"/>
      <c r="C59" s="380" t="s">
        <v>342</v>
      </c>
      <c r="D59" s="521"/>
      <c r="E59" s="377">
        <v>1.63</v>
      </c>
      <c r="F59" s="521"/>
      <c r="G59" s="521"/>
      <c r="H59" s="521"/>
      <c r="I59" s="521"/>
      <c r="J59" s="514">
        <f t="shared" si="3"/>
        <v>0</v>
      </c>
      <c r="K59" s="525" t="e">
        <f t="shared" si="4"/>
        <v>#DIV/0!</v>
      </c>
      <c r="L59" s="525">
        <f t="shared" si="5"/>
        <v>0</v>
      </c>
    </row>
    <row r="60" spans="1:12" ht="14.25" hidden="1" customHeight="1">
      <c r="A60" s="380"/>
      <c r="B60" s="380"/>
      <c r="C60" s="380" t="s">
        <v>343</v>
      </c>
      <c r="D60" s="521"/>
      <c r="E60" s="377"/>
      <c r="F60" s="521"/>
      <c r="G60" s="521"/>
      <c r="H60" s="521"/>
      <c r="I60" s="521"/>
      <c r="J60" s="514">
        <f t="shared" si="3"/>
        <v>0</v>
      </c>
      <c r="K60" s="525" t="e">
        <f t="shared" si="4"/>
        <v>#DIV/0!</v>
      </c>
      <c r="L60" s="525">
        <f t="shared" si="5"/>
        <v>0</v>
      </c>
    </row>
    <row r="61" spans="1:12" ht="14.25" hidden="1" customHeight="1">
      <c r="A61" s="380"/>
      <c r="B61" s="380"/>
      <c r="C61" s="522" t="s">
        <v>344</v>
      </c>
      <c r="D61" s="521"/>
      <c r="E61" s="377"/>
      <c r="F61" s="521"/>
      <c r="G61" s="521"/>
      <c r="H61" s="521"/>
      <c r="I61" s="521"/>
      <c r="J61" s="514">
        <f t="shared" si="3"/>
        <v>0</v>
      </c>
      <c r="K61" s="525" t="e">
        <f t="shared" si="4"/>
        <v>#DIV/0!</v>
      </c>
      <c r="L61" s="525">
        <f t="shared" si="5"/>
        <v>0</v>
      </c>
    </row>
    <row r="62" spans="1:12" ht="14.25" hidden="1" customHeight="1">
      <c r="A62" s="380"/>
      <c r="B62" s="380"/>
      <c r="C62" s="380" t="s">
        <v>72</v>
      </c>
      <c r="D62" s="521"/>
      <c r="E62" s="377"/>
      <c r="F62" s="521"/>
      <c r="G62" s="521"/>
      <c r="H62" s="521"/>
      <c r="I62" s="521"/>
      <c r="J62" s="514">
        <f t="shared" si="3"/>
        <v>0</v>
      </c>
      <c r="K62" s="525" t="e">
        <f t="shared" si="4"/>
        <v>#DIV/0!</v>
      </c>
      <c r="L62" s="525">
        <f t="shared" si="5"/>
        <v>0</v>
      </c>
    </row>
    <row r="63" spans="1:12" ht="14.25" customHeight="1">
      <c r="A63" s="380"/>
      <c r="B63" s="380"/>
      <c r="C63" s="380" t="s">
        <v>586</v>
      </c>
      <c r="D63" s="377"/>
      <c r="E63" s="377"/>
      <c r="F63" s="377">
        <v>9.43</v>
      </c>
      <c r="G63" s="377">
        <v>9.4</v>
      </c>
      <c r="H63" s="377">
        <v>45.6</v>
      </c>
      <c r="I63" s="377">
        <v>9.8070699999999995</v>
      </c>
      <c r="J63" s="514">
        <f t="shared" si="3"/>
        <v>36.17</v>
      </c>
      <c r="K63" s="525">
        <f t="shared" si="4"/>
        <v>1.0433053191489361</v>
      </c>
      <c r="L63" s="525">
        <f t="shared" si="5"/>
        <v>-35.792929999999998</v>
      </c>
    </row>
    <row r="64" spans="1:12" ht="14.25" customHeight="1">
      <c r="A64" s="380"/>
      <c r="B64" s="380"/>
      <c r="C64" s="380" t="s">
        <v>587</v>
      </c>
      <c r="D64" s="377"/>
      <c r="E64" s="377">
        <v>4.0599999999999996</v>
      </c>
      <c r="F64" s="377">
        <v>0</v>
      </c>
      <c r="G64" s="377">
        <v>19.11</v>
      </c>
      <c r="H64" s="377">
        <v>262.89999999999998</v>
      </c>
      <c r="I64" s="377">
        <v>0</v>
      </c>
      <c r="J64" s="514">
        <f t="shared" si="3"/>
        <v>262.89999999999998</v>
      </c>
      <c r="K64" s="525">
        <f t="shared" si="4"/>
        <v>0</v>
      </c>
      <c r="L64" s="525">
        <f t="shared" si="5"/>
        <v>-262.89999999999998</v>
      </c>
    </row>
    <row r="65" spans="1:12" ht="14.25" customHeight="1">
      <c r="A65" s="380"/>
      <c r="B65" s="380"/>
      <c r="C65" s="380" t="s">
        <v>588</v>
      </c>
      <c r="D65" s="377"/>
      <c r="E65" s="377"/>
      <c r="F65" s="377">
        <v>0</v>
      </c>
      <c r="G65" s="377">
        <v>0</v>
      </c>
      <c r="H65" s="377">
        <v>0</v>
      </c>
      <c r="I65" s="377">
        <v>0</v>
      </c>
      <c r="J65" s="514">
        <f t="shared" si="3"/>
        <v>0</v>
      </c>
      <c r="K65" s="525">
        <v>0</v>
      </c>
      <c r="L65" s="525">
        <f t="shared" si="5"/>
        <v>0</v>
      </c>
    </row>
    <row r="66" spans="1:12" ht="14.25" customHeight="1">
      <c r="A66" s="380"/>
      <c r="B66" s="529" t="s">
        <v>836</v>
      </c>
      <c r="C66" s="380" t="s">
        <v>589</v>
      </c>
      <c r="D66" s="377"/>
      <c r="E66" s="377">
        <v>9.86</v>
      </c>
      <c r="F66" s="377">
        <v>19.3</v>
      </c>
      <c r="G66" s="377">
        <v>18.62</v>
      </c>
      <c r="H66" s="377">
        <v>40</v>
      </c>
      <c r="I66" s="377">
        <v>21.711919999999999</v>
      </c>
      <c r="J66" s="514">
        <f t="shared" si="3"/>
        <v>20.7</v>
      </c>
      <c r="K66" s="525">
        <f t="shared" si="4"/>
        <v>1.1660537056928033</v>
      </c>
      <c r="L66" s="525">
        <f t="shared" si="5"/>
        <v>-18.288080000000001</v>
      </c>
    </row>
    <row r="67" spans="1:12" ht="14.25" customHeight="1">
      <c r="A67" s="380"/>
      <c r="B67" s="380"/>
      <c r="C67" s="380" t="s">
        <v>807</v>
      </c>
      <c r="D67" s="377"/>
      <c r="E67" s="377"/>
      <c r="F67" s="377"/>
      <c r="G67" s="377"/>
      <c r="H67" s="377">
        <v>1</v>
      </c>
      <c r="I67" s="377"/>
      <c r="J67" s="514"/>
      <c r="K67" s="525">
        <v>0</v>
      </c>
      <c r="L67" s="525">
        <f t="shared" si="5"/>
        <v>-1</v>
      </c>
    </row>
    <row r="68" spans="1:12" ht="14.25" customHeight="1">
      <c r="A68" s="380"/>
      <c r="B68" s="529" t="s">
        <v>828</v>
      </c>
      <c r="C68" s="380" t="s">
        <v>546</v>
      </c>
      <c r="D68" s="521"/>
      <c r="E68" s="377"/>
      <c r="F68" s="521">
        <v>23.4</v>
      </c>
      <c r="G68" s="521">
        <v>26.24</v>
      </c>
      <c r="H68" s="521">
        <v>22.8</v>
      </c>
      <c r="I68" s="521">
        <v>28.788139999999999</v>
      </c>
      <c r="J68" s="514">
        <f t="shared" si="3"/>
        <v>-0.59999999999999787</v>
      </c>
      <c r="K68" s="525">
        <f t="shared" si="4"/>
        <v>1.097108993902439</v>
      </c>
      <c r="L68" s="525">
        <f t="shared" si="5"/>
        <v>5.9881399999999978</v>
      </c>
    </row>
    <row r="69" spans="1:12" ht="14.25" customHeight="1">
      <c r="A69" s="380"/>
      <c r="B69" s="529" t="s">
        <v>822</v>
      </c>
      <c r="C69" s="516" t="s">
        <v>590</v>
      </c>
      <c r="D69" s="377"/>
      <c r="E69" s="377">
        <v>9.86</v>
      </c>
      <c r="F69" s="377">
        <v>5.73</v>
      </c>
      <c r="G69" s="377">
        <v>5.73</v>
      </c>
      <c r="H69" s="377">
        <v>42.9</v>
      </c>
      <c r="I69" s="377">
        <v>5.6600700000000002</v>
      </c>
      <c r="J69" s="514">
        <f t="shared" si="3"/>
        <v>37.17</v>
      </c>
      <c r="K69" s="525">
        <f t="shared" si="4"/>
        <v>0.98779581151832452</v>
      </c>
      <c r="L69" s="525">
        <f t="shared" si="5"/>
        <v>-37.239930000000001</v>
      </c>
    </row>
    <row r="70" spans="1:12" ht="14.25" customHeight="1">
      <c r="A70" s="380"/>
      <c r="B70" s="529" t="s">
        <v>823</v>
      </c>
      <c r="C70" s="516" t="s">
        <v>345</v>
      </c>
      <c r="D70" s="377">
        <v>3.7</v>
      </c>
      <c r="E70" s="377">
        <v>7.6</v>
      </c>
      <c r="F70" s="377">
        <v>30.93</v>
      </c>
      <c r="G70" s="377">
        <v>29.67</v>
      </c>
      <c r="H70" s="377">
        <v>14</v>
      </c>
      <c r="I70" s="377">
        <v>11.165139999999999</v>
      </c>
      <c r="J70" s="514">
        <f t="shared" si="3"/>
        <v>-16.93</v>
      </c>
      <c r="K70" s="525">
        <f t="shared" si="4"/>
        <v>0.37631075160094368</v>
      </c>
      <c r="L70" s="525">
        <f t="shared" si="5"/>
        <v>-2.8348600000000008</v>
      </c>
    </row>
    <row r="71" spans="1:12" ht="14.25" customHeight="1">
      <c r="A71" s="380"/>
      <c r="B71" s="380"/>
      <c r="C71" s="516" t="s">
        <v>591</v>
      </c>
      <c r="D71" s="521"/>
      <c r="E71" s="377">
        <v>2.4900000000000002</v>
      </c>
      <c r="F71" s="521">
        <v>4.1500000000000004</v>
      </c>
      <c r="G71" s="521">
        <v>4.1500000000000004</v>
      </c>
      <c r="H71" s="521">
        <v>0</v>
      </c>
      <c r="I71" s="521">
        <v>0</v>
      </c>
      <c r="J71" s="514">
        <f t="shared" si="3"/>
        <v>-4.1500000000000004</v>
      </c>
      <c r="K71" s="525">
        <f t="shared" si="4"/>
        <v>0</v>
      </c>
      <c r="L71" s="525">
        <f t="shared" si="5"/>
        <v>0</v>
      </c>
    </row>
    <row r="72" spans="1:12" ht="14.25" hidden="1" customHeight="1">
      <c r="A72" s="380"/>
      <c r="B72" s="380"/>
      <c r="C72" s="516" t="s">
        <v>592</v>
      </c>
      <c r="D72" s="521"/>
      <c r="E72" s="377"/>
      <c r="F72" s="521"/>
      <c r="G72" s="521"/>
      <c r="H72" s="521"/>
      <c r="I72" s="521"/>
      <c r="J72" s="514">
        <f t="shared" si="3"/>
        <v>0</v>
      </c>
      <c r="K72" s="525" t="e">
        <f t="shared" si="4"/>
        <v>#DIV/0!</v>
      </c>
      <c r="L72" s="525">
        <f t="shared" si="5"/>
        <v>0</v>
      </c>
    </row>
    <row r="73" spans="1:12" ht="14.25" hidden="1" customHeight="1">
      <c r="A73" s="380"/>
      <c r="B73" s="380"/>
      <c r="C73" s="516" t="s">
        <v>346</v>
      </c>
      <c r="D73" s="377">
        <v>3.7</v>
      </c>
      <c r="E73" s="377"/>
      <c r="F73" s="521"/>
      <c r="G73" s="521"/>
      <c r="H73" s="521"/>
      <c r="I73" s="521"/>
      <c r="J73" s="514">
        <f t="shared" si="3"/>
        <v>0</v>
      </c>
      <c r="K73" s="525" t="e">
        <f t="shared" ref="K73:K138" si="11">I73/G73</f>
        <v>#DIV/0!</v>
      </c>
      <c r="L73" s="525">
        <f t="shared" ref="L73:L138" si="12">I73-H73</f>
        <v>0</v>
      </c>
    </row>
    <row r="74" spans="1:12" ht="14.25" hidden="1" customHeight="1">
      <c r="A74" s="380"/>
      <c r="B74" s="380"/>
      <c r="C74" s="516" t="s">
        <v>549</v>
      </c>
      <c r="D74" s="521"/>
      <c r="E74" s="377"/>
      <c r="F74" s="521"/>
      <c r="G74" s="521"/>
      <c r="H74" s="521"/>
      <c r="I74" s="521"/>
      <c r="J74" s="514">
        <f t="shared" si="3"/>
        <v>0</v>
      </c>
      <c r="K74" s="525" t="e">
        <f t="shared" si="11"/>
        <v>#DIV/0!</v>
      </c>
      <c r="L74" s="525">
        <f t="shared" si="12"/>
        <v>0</v>
      </c>
    </row>
    <row r="75" spans="1:12" ht="14.25" customHeight="1">
      <c r="A75" s="380"/>
      <c r="B75" s="529" t="s">
        <v>827</v>
      </c>
      <c r="C75" s="516" t="s">
        <v>390</v>
      </c>
      <c r="D75" s="521">
        <v>27</v>
      </c>
      <c r="E75" s="377">
        <v>28.5</v>
      </c>
      <c r="F75" s="521">
        <v>38.9</v>
      </c>
      <c r="G75" s="521">
        <v>47.14</v>
      </c>
      <c r="H75" s="521">
        <v>39.299999999999997</v>
      </c>
      <c r="I75" s="521">
        <v>0.20230999999999999</v>
      </c>
      <c r="J75" s="514">
        <f t="shared" ref="J75:J143" si="13">H75-F75</f>
        <v>0.39999999999999858</v>
      </c>
      <c r="K75" s="525">
        <f t="shared" si="11"/>
        <v>4.2916843445057274E-3</v>
      </c>
      <c r="L75" s="525">
        <f t="shared" si="12"/>
        <v>-39.09769</v>
      </c>
    </row>
    <row r="76" spans="1:12" ht="14.25" customHeight="1">
      <c r="A76" s="380"/>
      <c r="B76" s="529" t="s">
        <v>826</v>
      </c>
      <c r="C76" s="516" t="s">
        <v>347</v>
      </c>
      <c r="D76" s="521"/>
      <c r="E76" s="377">
        <v>13.9</v>
      </c>
      <c r="F76" s="521">
        <v>8.1</v>
      </c>
      <c r="G76" s="521">
        <v>8.07</v>
      </c>
      <c r="H76" s="521"/>
      <c r="I76" s="521">
        <v>7.5782299999999996</v>
      </c>
      <c r="J76" s="514">
        <f t="shared" si="13"/>
        <v>-8.1</v>
      </c>
      <c r="K76" s="525">
        <f t="shared" si="11"/>
        <v>0.93906195786864921</v>
      </c>
      <c r="L76" s="525">
        <f t="shared" si="12"/>
        <v>7.5782299999999996</v>
      </c>
    </row>
    <row r="77" spans="1:12" ht="14.25" hidden="1" customHeight="1">
      <c r="A77" s="523"/>
      <c r="B77" s="523"/>
      <c r="C77" s="524" t="s">
        <v>348</v>
      </c>
      <c r="D77" s="520">
        <f>SUM(D78:D84)</f>
        <v>0</v>
      </c>
      <c r="E77" s="520">
        <f>SUM(E78:E84)</f>
        <v>0</v>
      </c>
      <c r="F77" s="520">
        <f>SUM(F78:F84)</f>
        <v>0</v>
      </c>
      <c r="G77" s="520"/>
      <c r="H77" s="520">
        <f>SUM(H78:H84)</f>
        <v>0</v>
      </c>
      <c r="I77" s="520"/>
      <c r="J77" s="514">
        <f t="shared" si="13"/>
        <v>0</v>
      </c>
      <c r="K77" s="515" t="e">
        <f t="shared" si="11"/>
        <v>#DIV/0!</v>
      </c>
      <c r="L77" s="515">
        <f t="shared" si="12"/>
        <v>0</v>
      </c>
    </row>
    <row r="78" spans="1:12" ht="14.25" hidden="1" customHeight="1">
      <c r="A78" s="380"/>
      <c r="B78" s="380"/>
      <c r="C78" s="380" t="s">
        <v>349</v>
      </c>
      <c r="D78" s="384"/>
      <c r="E78" s="376"/>
      <c r="F78" s="384">
        <f>L78+P78+T78+X78+AB78+AM78+AQ78+AU78+AY78+BG78+BK78+CA78+CI78+CM78+CQ78+CU78+CY78+DC78+BC78+BO78+BW78</f>
        <v>0</v>
      </c>
      <c r="G78" s="384"/>
      <c r="H78" s="384">
        <f>N78+R78+V78+Z78+AD78+AO78+AS78+AW78+BA78+BI78+BM78+CC78+CK78+CO78+CS78+CW78+DA78+DE78+BE78+BQ78+BY78</f>
        <v>0</v>
      </c>
      <c r="I78" s="384"/>
      <c r="J78" s="514">
        <f t="shared" si="13"/>
        <v>0</v>
      </c>
      <c r="K78" s="515" t="e">
        <f t="shared" si="11"/>
        <v>#DIV/0!</v>
      </c>
      <c r="L78" s="515">
        <f t="shared" si="12"/>
        <v>0</v>
      </c>
    </row>
    <row r="79" spans="1:12" ht="14.25" hidden="1" customHeight="1">
      <c r="A79" s="380"/>
      <c r="B79" s="380"/>
      <c r="C79" s="380" t="s">
        <v>593</v>
      </c>
      <c r="D79" s="384"/>
      <c r="E79" s="376"/>
      <c r="F79" s="384">
        <f t="shared" ref="F79:H84" si="14">L79+P79+T79+X79+AB79+AM79+AQ79+AU79+AY79+BG79+BK79+CA79+CI79+CM79+CQ79+CU79+CY79+DC79+BO79+BW79</f>
        <v>0</v>
      </c>
      <c r="G79" s="384"/>
      <c r="H79" s="384">
        <f t="shared" si="14"/>
        <v>0</v>
      </c>
      <c r="I79" s="384"/>
      <c r="J79" s="514">
        <f t="shared" si="13"/>
        <v>0</v>
      </c>
      <c r="K79" s="515" t="e">
        <f t="shared" si="11"/>
        <v>#DIV/0!</v>
      </c>
      <c r="L79" s="515">
        <f t="shared" si="12"/>
        <v>0</v>
      </c>
    </row>
    <row r="80" spans="1:12" ht="14.25" hidden="1" customHeight="1">
      <c r="A80" s="380"/>
      <c r="B80" s="380"/>
      <c r="C80" s="380" t="s">
        <v>350</v>
      </c>
      <c r="D80" s="384"/>
      <c r="E80" s="376"/>
      <c r="F80" s="384">
        <f t="shared" si="14"/>
        <v>0</v>
      </c>
      <c r="G80" s="384"/>
      <c r="H80" s="384">
        <f t="shared" si="14"/>
        <v>0</v>
      </c>
      <c r="I80" s="384"/>
      <c r="J80" s="514">
        <f t="shared" si="13"/>
        <v>0</v>
      </c>
      <c r="K80" s="515" t="e">
        <f t="shared" si="11"/>
        <v>#DIV/0!</v>
      </c>
      <c r="L80" s="515">
        <f t="shared" si="12"/>
        <v>0</v>
      </c>
    </row>
    <row r="81" spans="1:12" ht="14.25" hidden="1" customHeight="1">
      <c r="A81" s="380"/>
      <c r="B81" s="380"/>
      <c r="C81" s="380" t="s">
        <v>351</v>
      </c>
      <c r="D81" s="384"/>
      <c r="E81" s="376"/>
      <c r="F81" s="384">
        <f t="shared" si="14"/>
        <v>0</v>
      </c>
      <c r="G81" s="384"/>
      <c r="H81" s="384">
        <f t="shared" si="14"/>
        <v>0</v>
      </c>
      <c r="I81" s="384"/>
      <c r="J81" s="514">
        <f t="shared" si="13"/>
        <v>0</v>
      </c>
      <c r="K81" s="515" t="e">
        <f t="shared" si="11"/>
        <v>#DIV/0!</v>
      </c>
      <c r="L81" s="515">
        <f t="shared" si="12"/>
        <v>0</v>
      </c>
    </row>
    <row r="82" spans="1:12" ht="14.25" hidden="1" customHeight="1">
      <c r="A82" s="380"/>
      <c r="B82" s="380"/>
      <c r="C82" s="380" t="s">
        <v>352</v>
      </c>
      <c r="D82" s="384"/>
      <c r="E82" s="376"/>
      <c r="F82" s="384">
        <f t="shared" si="14"/>
        <v>0</v>
      </c>
      <c r="G82" s="384"/>
      <c r="H82" s="384">
        <f t="shared" si="14"/>
        <v>0</v>
      </c>
      <c r="I82" s="384"/>
      <c r="J82" s="514">
        <f t="shared" si="13"/>
        <v>0</v>
      </c>
      <c r="K82" s="515" t="e">
        <f t="shared" si="11"/>
        <v>#DIV/0!</v>
      </c>
      <c r="L82" s="515">
        <f t="shared" si="12"/>
        <v>0</v>
      </c>
    </row>
    <row r="83" spans="1:12" ht="14.25" hidden="1" customHeight="1">
      <c r="A83" s="380"/>
      <c r="B83" s="380"/>
      <c r="C83" s="380" t="s">
        <v>353</v>
      </c>
      <c r="D83" s="384"/>
      <c r="E83" s="376"/>
      <c r="F83" s="384">
        <f t="shared" si="14"/>
        <v>0</v>
      </c>
      <c r="G83" s="384"/>
      <c r="H83" s="384">
        <f t="shared" si="14"/>
        <v>0</v>
      </c>
      <c r="I83" s="384"/>
      <c r="J83" s="514">
        <f t="shared" si="13"/>
        <v>0</v>
      </c>
      <c r="K83" s="515" t="e">
        <f t="shared" si="11"/>
        <v>#DIV/0!</v>
      </c>
      <c r="L83" s="515">
        <f t="shared" si="12"/>
        <v>0</v>
      </c>
    </row>
    <row r="84" spans="1:12" ht="14.25" hidden="1" customHeight="1">
      <c r="A84" s="380"/>
      <c r="B84" s="380"/>
      <c r="C84" s="380" t="s">
        <v>354</v>
      </c>
      <c r="D84" s="384"/>
      <c r="E84" s="376"/>
      <c r="F84" s="384">
        <f t="shared" si="14"/>
        <v>0</v>
      </c>
      <c r="G84" s="384"/>
      <c r="H84" s="384">
        <f t="shared" si="14"/>
        <v>0</v>
      </c>
      <c r="I84" s="384"/>
      <c r="J84" s="514">
        <f t="shared" si="13"/>
        <v>0</v>
      </c>
      <c r="K84" s="515" t="e">
        <f t="shared" si="11"/>
        <v>#DIV/0!</v>
      </c>
      <c r="L84" s="515">
        <f t="shared" si="12"/>
        <v>0</v>
      </c>
    </row>
    <row r="85" spans="1:12" ht="14.25" customHeight="1">
      <c r="A85" s="511" t="s">
        <v>355</v>
      </c>
      <c r="B85" s="511"/>
      <c r="C85" s="512" t="s">
        <v>356</v>
      </c>
      <c r="D85" s="520">
        <f>SUM(D86:D95)</f>
        <v>2687.25</v>
      </c>
      <c r="E85" s="518">
        <f>SUM(E86:E95)</f>
        <v>3676.66</v>
      </c>
      <c r="F85" s="518">
        <f t="shared" ref="F85:G85" si="15">SUM(F86:F95)</f>
        <v>2632.8</v>
      </c>
      <c r="G85" s="518">
        <f t="shared" si="15"/>
        <v>2605.87</v>
      </c>
      <c r="H85" s="518">
        <f>SUM(H86:H95)</f>
        <v>181.64000000000001</v>
      </c>
      <c r="I85" s="518">
        <f>SUM(I86:I95)</f>
        <v>2.1188099999999999</v>
      </c>
      <c r="J85" s="514">
        <f t="shared" si="13"/>
        <v>-2451.1600000000003</v>
      </c>
      <c r="K85" s="515">
        <f t="shared" si="11"/>
        <v>8.1309121329920528E-4</v>
      </c>
      <c r="L85" s="515">
        <f t="shared" si="12"/>
        <v>-179.52119000000002</v>
      </c>
    </row>
    <row r="86" spans="1:12" ht="14.25" hidden="1" customHeight="1">
      <c r="A86" s="380"/>
      <c r="B86" s="380"/>
      <c r="C86" s="380" t="s">
        <v>357</v>
      </c>
      <c r="D86" s="384"/>
      <c r="E86" s="376"/>
      <c r="F86" s="377"/>
      <c r="G86" s="384"/>
      <c r="H86" s="377"/>
      <c r="I86" s="384"/>
      <c r="J86" s="514">
        <f t="shared" si="13"/>
        <v>0</v>
      </c>
      <c r="K86" s="515" t="e">
        <f t="shared" si="11"/>
        <v>#DIV/0!</v>
      </c>
      <c r="L86" s="515">
        <f t="shared" si="12"/>
        <v>0</v>
      </c>
    </row>
    <row r="87" spans="1:12" ht="14.25" hidden="1" customHeight="1">
      <c r="A87" s="380"/>
      <c r="B87" s="380"/>
      <c r="C87" s="380" t="s">
        <v>358</v>
      </c>
      <c r="D87" s="384">
        <v>0.25</v>
      </c>
      <c r="E87" s="384"/>
      <c r="F87" s="377"/>
      <c r="G87" s="384"/>
      <c r="H87" s="377"/>
      <c r="I87" s="384"/>
      <c r="J87" s="514">
        <f t="shared" si="13"/>
        <v>0</v>
      </c>
      <c r="K87" s="515" t="e">
        <f t="shared" si="11"/>
        <v>#DIV/0!</v>
      </c>
      <c r="L87" s="515">
        <f t="shared" si="12"/>
        <v>0</v>
      </c>
    </row>
    <row r="88" spans="1:12" ht="14.25" customHeight="1">
      <c r="A88" s="380"/>
      <c r="B88" s="380"/>
      <c r="C88" s="380" t="s">
        <v>594</v>
      </c>
      <c r="D88" s="521">
        <v>2687</v>
      </c>
      <c r="E88" s="377">
        <v>2703.33</v>
      </c>
      <c r="F88" s="377">
        <v>2439</v>
      </c>
      <c r="G88" s="377">
        <v>2438.6</v>
      </c>
      <c r="H88" s="377">
        <v>0</v>
      </c>
      <c r="I88" s="377">
        <v>0</v>
      </c>
      <c r="J88" s="514">
        <f t="shared" si="13"/>
        <v>-2439</v>
      </c>
      <c r="K88" s="525">
        <f t="shared" si="11"/>
        <v>0</v>
      </c>
      <c r="L88" s="525">
        <f t="shared" si="12"/>
        <v>0</v>
      </c>
    </row>
    <row r="89" spans="1:12" ht="14.25" hidden="1" customHeight="1">
      <c r="A89" s="380"/>
      <c r="B89" s="380"/>
      <c r="C89" s="516" t="s">
        <v>359</v>
      </c>
      <c r="D89" s="384"/>
      <c r="E89" s="377"/>
      <c r="F89" s="377"/>
      <c r="G89" s="377"/>
      <c r="H89" s="377"/>
      <c r="I89" s="377"/>
      <c r="J89" s="514">
        <f t="shared" si="13"/>
        <v>0</v>
      </c>
      <c r="K89" s="525" t="e">
        <f t="shared" si="11"/>
        <v>#DIV/0!</v>
      </c>
      <c r="L89" s="525">
        <f t="shared" si="12"/>
        <v>0</v>
      </c>
    </row>
    <row r="90" spans="1:12" ht="14.25" customHeight="1">
      <c r="A90" s="380"/>
      <c r="B90" s="380"/>
      <c r="C90" s="516" t="s">
        <v>552</v>
      </c>
      <c r="D90" s="377"/>
      <c r="E90" s="377"/>
      <c r="F90" s="377">
        <v>54.7</v>
      </c>
      <c r="G90" s="377">
        <v>0</v>
      </c>
      <c r="H90" s="377">
        <v>0.01</v>
      </c>
      <c r="I90" s="377">
        <v>0</v>
      </c>
      <c r="J90" s="514">
        <f t="shared" si="13"/>
        <v>-54.690000000000005</v>
      </c>
      <c r="K90" s="525">
        <v>0</v>
      </c>
      <c r="L90" s="525">
        <f t="shared" si="12"/>
        <v>-0.01</v>
      </c>
    </row>
    <row r="91" spans="1:12" ht="14.25" customHeight="1">
      <c r="A91" s="380"/>
      <c r="B91" s="529" t="s">
        <v>820</v>
      </c>
      <c r="C91" s="516" t="s">
        <v>360</v>
      </c>
      <c r="D91" s="377"/>
      <c r="E91" s="377"/>
      <c r="F91" s="377">
        <v>21.07</v>
      </c>
      <c r="G91" s="377">
        <v>21.07</v>
      </c>
      <c r="H91" s="377">
        <v>10.9</v>
      </c>
      <c r="I91" s="377">
        <v>0.10796</v>
      </c>
      <c r="J91" s="514">
        <f t="shared" si="13"/>
        <v>-10.17</v>
      </c>
      <c r="K91" s="525">
        <f t="shared" si="11"/>
        <v>5.1238728049359276E-3</v>
      </c>
      <c r="L91" s="525">
        <f t="shared" si="12"/>
        <v>-10.79204</v>
      </c>
    </row>
    <row r="92" spans="1:12" ht="14.25" hidden="1" customHeight="1">
      <c r="A92" s="380"/>
      <c r="B92" s="380"/>
      <c r="C92" s="380" t="s">
        <v>553</v>
      </c>
      <c r="D92" s="377"/>
      <c r="E92" s="377"/>
      <c r="F92" s="377"/>
      <c r="G92" s="377"/>
      <c r="H92" s="377"/>
      <c r="I92" s="377"/>
      <c r="J92" s="514">
        <f t="shared" si="13"/>
        <v>0</v>
      </c>
      <c r="K92" s="525" t="e">
        <f t="shared" si="11"/>
        <v>#DIV/0!</v>
      </c>
      <c r="L92" s="525">
        <f t="shared" si="12"/>
        <v>0</v>
      </c>
    </row>
    <row r="93" spans="1:12" ht="14.25" customHeight="1">
      <c r="A93" s="380"/>
      <c r="B93" s="380"/>
      <c r="C93" s="380" t="s">
        <v>808</v>
      </c>
      <c r="D93" s="377"/>
      <c r="E93" s="377"/>
      <c r="F93" s="377">
        <v>0</v>
      </c>
      <c r="G93" s="377">
        <v>0</v>
      </c>
      <c r="H93" s="377">
        <v>168</v>
      </c>
      <c r="I93" s="377">
        <v>2</v>
      </c>
      <c r="J93" s="514"/>
      <c r="K93" s="525">
        <v>0</v>
      </c>
      <c r="L93" s="525">
        <f t="shared" si="12"/>
        <v>-166</v>
      </c>
    </row>
    <row r="94" spans="1:12" ht="14.25" customHeight="1">
      <c r="A94" s="380"/>
      <c r="B94" s="380"/>
      <c r="C94" s="380" t="s">
        <v>595</v>
      </c>
      <c r="D94" s="377"/>
      <c r="E94" s="377"/>
      <c r="F94" s="377">
        <v>115.15</v>
      </c>
      <c r="G94" s="377">
        <v>146.19999999999999</v>
      </c>
      <c r="H94" s="377">
        <v>0.11</v>
      </c>
      <c r="I94" s="377">
        <v>0</v>
      </c>
      <c r="J94" s="514">
        <f t="shared" si="13"/>
        <v>-115.04</v>
      </c>
      <c r="K94" s="525">
        <f t="shared" si="11"/>
        <v>0</v>
      </c>
      <c r="L94" s="525">
        <f t="shared" si="12"/>
        <v>-0.11</v>
      </c>
    </row>
    <row r="95" spans="1:12" ht="14.25" customHeight="1">
      <c r="A95" s="380"/>
      <c r="B95" s="380"/>
      <c r="C95" s="380" t="s">
        <v>361</v>
      </c>
      <c r="D95" s="377">
        <v>0</v>
      </c>
      <c r="E95" s="377">
        <v>973.33</v>
      </c>
      <c r="F95" s="377">
        <v>2.88</v>
      </c>
      <c r="G95" s="377">
        <v>0</v>
      </c>
      <c r="H95" s="377">
        <v>2.62</v>
      </c>
      <c r="I95" s="377">
        <v>1.085E-2</v>
      </c>
      <c r="J95" s="514">
        <f t="shared" si="13"/>
        <v>-0.25999999999999979</v>
      </c>
      <c r="K95" s="525">
        <v>0</v>
      </c>
      <c r="L95" s="525">
        <f t="shared" si="12"/>
        <v>-2.6091500000000001</v>
      </c>
    </row>
    <row r="96" spans="1:12" ht="14.25" customHeight="1">
      <c r="A96" s="511" t="s">
        <v>362</v>
      </c>
      <c r="B96" s="511"/>
      <c r="C96" s="512" t="s">
        <v>363</v>
      </c>
      <c r="D96" s="520">
        <f>SUM(D99:D151)</f>
        <v>3125.0399999999995</v>
      </c>
      <c r="E96" s="518">
        <f>SUM(E99:E151)</f>
        <v>5973.329999999999</v>
      </c>
      <c r="F96" s="518">
        <f>SUM(F97:F151)</f>
        <v>6251.03</v>
      </c>
      <c r="G96" s="518">
        <f>SUM(G97:G151)</f>
        <v>6363.2400000000007</v>
      </c>
      <c r="H96" s="518">
        <f>SUM(H97:H150)</f>
        <v>2854.9999999999995</v>
      </c>
      <c r="I96" s="518">
        <f>SUM(I97:I151)</f>
        <v>1531.0511100000001</v>
      </c>
      <c r="J96" s="514">
        <f t="shared" si="13"/>
        <v>-3396.03</v>
      </c>
      <c r="K96" s="515">
        <f t="shared" si="11"/>
        <v>0.24060873234390026</v>
      </c>
      <c r="L96" s="515">
        <f t="shared" si="12"/>
        <v>-1323.9488899999994</v>
      </c>
    </row>
    <row r="97" spans="1:12" ht="14.25" hidden="1" customHeight="1">
      <c r="A97" s="379"/>
      <c r="B97" s="379"/>
      <c r="C97" s="516" t="s">
        <v>364</v>
      </c>
      <c r="D97" s="384"/>
      <c r="E97" s="376"/>
      <c r="F97" s="384"/>
      <c r="G97" s="384"/>
      <c r="H97" s="384"/>
      <c r="I97" s="384"/>
      <c r="J97" s="514">
        <f t="shared" si="13"/>
        <v>0</v>
      </c>
      <c r="K97" s="515" t="e">
        <f t="shared" si="11"/>
        <v>#DIV/0!</v>
      </c>
      <c r="L97" s="515">
        <f t="shared" si="12"/>
        <v>0</v>
      </c>
    </row>
    <row r="98" spans="1:12" ht="14.25" hidden="1" customHeight="1">
      <c r="A98" s="379"/>
      <c r="B98" s="379"/>
      <c r="C98" s="516" t="s">
        <v>596</v>
      </c>
      <c r="D98" s="384"/>
      <c r="E98" s="376"/>
      <c r="F98" s="384"/>
      <c r="G98" s="384"/>
      <c r="H98" s="384"/>
      <c r="I98" s="384"/>
      <c r="J98" s="514">
        <f t="shared" si="13"/>
        <v>0</v>
      </c>
      <c r="K98" s="515" t="e">
        <f t="shared" si="11"/>
        <v>#DIV/0!</v>
      </c>
      <c r="L98" s="515">
        <f t="shared" si="12"/>
        <v>0</v>
      </c>
    </row>
    <row r="99" spans="1:12" ht="14.25" customHeight="1">
      <c r="A99" s="379"/>
      <c r="B99" s="379"/>
      <c r="C99" s="516" t="s">
        <v>809</v>
      </c>
      <c r="D99" s="384"/>
      <c r="E99" s="377"/>
      <c r="F99" s="384">
        <v>778.19</v>
      </c>
      <c r="G99" s="384">
        <v>778.19</v>
      </c>
      <c r="H99" s="384">
        <v>1.6</v>
      </c>
      <c r="I99" s="384">
        <v>60.844749999999998</v>
      </c>
      <c r="J99" s="514">
        <f t="shared" si="13"/>
        <v>-776.59</v>
      </c>
      <c r="K99" s="525">
        <f t="shared" si="11"/>
        <v>7.8187524897518595E-2</v>
      </c>
      <c r="L99" s="525">
        <f t="shared" si="12"/>
        <v>59.244749999999996</v>
      </c>
    </row>
    <row r="100" spans="1:12" ht="14.25" hidden="1" customHeight="1">
      <c r="A100" s="380"/>
      <c r="B100" s="380"/>
      <c r="C100" s="380" t="s">
        <v>365</v>
      </c>
      <c r="D100" s="384"/>
      <c r="E100" s="377"/>
      <c r="F100" s="384"/>
      <c r="G100" s="384"/>
      <c r="H100" s="384"/>
      <c r="I100" s="384"/>
      <c r="J100" s="514">
        <f t="shared" si="13"/>
        <v>0</v>
      </c>
      <c r="K100" s="525" t="e">
        <f t="shared" si="11"/>
        <v>#DIV/0!</v>
      </c>
      <c r="L100" s="525">
        <f t="shared" si="12"/>
        <v>0</v>
      </c>
    </row>
    <row r="101" spans="1:12" ht="14.25" customHeight="1">
      <c r="A101" s="380"/>
      <c r="B101" s="529" t="s">
        <v>829</v>
      </c>
      <c r="C101" s="380" t="s">
        <v>366</v>
      </c>
      <c r="D101" s="384"/>
      <c r="E101" s="377">
        <v>29.35</v>
      </c>
      <c r="F101" s="384"/>
      <c r="G101" s="384">
        <v>33.270000000000003</v>
      </c>
      <c r="H101" s="384">
        <v>2.7</v>
      </c>
      <c r="I101" s="384">
        <v>86.405439999999999</v>
      </c>
      <c r="J101" s="514">
        <f t="shared" si="13"/>
        <v>2.7</v>
      </c>
      <c r="K101" s="525">
        <f t="shared" si="11"/>
        <v>2.5970976856026446</v>
      </c>
      <c r="L101" s="525">
        <f t="shared" si="12"/>
        <v>83.705439999999996</v>
      </c>
    </row>
    <row r="102" spans="1:12" ht="14.25" customHeight="1">
      <c r="A102" s="380"/>
      <c r="B102" s="529" t="s">
        <v>830</v>
      </c>
      <c r="C102" s="380" t="s">
        <v>367</v>
      </c>
      <c r="D102" s="377">
        <v>9.1999999999999993</v>
      </c>
      <c r="E102" s="377">
        <v>42.1</v>
      </c>
      <c r="F102" s="377">
        <v>73.06</v>
      </c>
      <c r="G102" s="377">
        <v>90.6</v>
      </c>
      <c r="H102" s="377">
        <v>766.3</v>
      </c>
      <c r="I102" s="377">
        <v>66.543310000000005</v>
      </c>
      <c r="J102" s="514">
        <f t="shared" si="13"/>
        <v>693.24</v>
      </c>
      <c r="K102" s="525">
        <f t="shared" si="11"/>
        <v>0.73447362030905083</v>
      </c>
      <c r="L102" s="525">
        <f t="shared" si="12"/>
        <v>-699.75668999999994</v>
      </c>
    </row>
    <row r="103" spans="1:12" ht="14.25" customHeight="1">
      <c r="A103" s="380"/>
      <c r="B103" s="529" t="s">
        <v>825</v>
      </c>
      <c r="C103" s="380" t="s">
        <v>373</v>
      </c>
      <c r="D103" s="377"/>
      <c r="E103" s="377"/>
      <c r="F103" s="377">
        <v>0</v>
      </c>
      <c r="G103" s="377">
        <v>0</v>
      </c>
      <c r="H103" s="377">
        <v>0.9</v>
      </c>
      <c r="I103" s="377">
        <v>2.6929599999999998</v>
      </c>
      <c r="J103" s="514">
        <f t="shared" si="13"/>
        <v>0.9</v>
      </c>
      <c r="K103" s="525" t="e">
        <f t="shared" si="11"/>
        <v>#DIV/0!</v>
      </c>
      <c r="L103" s="525">
        <f t="shared" si="12"/>
        <v>1.7929599999999999</v>
      </c>
    </row>
    <row r="104" spans="1:12" ht="14.25" customHeight="1">
      <c r="A104" s="380"/>
      <c r="B104" s="380"/>
      <c r="C104" s="380" t="s">
        <v>368</v>
      </c>
      <c r="D104" s="377">
        <v>2918.9</v>
      </c>
      <c r="E104" s="377">
        <v>2742.87</v>
      </c>
      <c r="F104" s="377">
        <v>2925.43</v>
      </c>
      <c r="G104" s="377">
        <v>2925.43</v>
      </c>
      <c r="H104" s="377">
        <v>0.5</v>
      </c>
      <c r="I104" s="377">
        <v>0.48908000000000001</v>
      </c>
      <c r="J104" s="514">
        <f t="shared" si="13"/>
        <v>-2924.93</v>
      </c>
      <c r="K104" s="525">
        <f t="shared" si="11"/>
        <v>1.6718226038565272E-4</v>
      </c>
      <c r="L104" s="525">
        <f t="shared" si="12"/>
        <v>-1.0919999999999985E-2</v>
      </c>
    </row>
    <row r="105" spans="1:12" ht="14.25" customHeight="1">
      <c r="A105" s="380"/>
      <c r="B105" s="380"/>
      <c r="C105" s="380" t="s">
        <v>598</v>
      </c>
      <c r="D105" s="384"/>
      <c r="E105" s="377"/>
      <c r="F105" s="384">
        <v>1.96</v>
      </c>
      <c r="G105" s="384">
        <v>0</v>
      </c>
      <c r="H105" s="384">
        <v>0</v>
      </c>
      <c r="I105" s="384">
        <v>0</v>
      </c>
      <c r="J105" s="514">
        <f t="shared" si="13"/>
        <v>-1.96</v>
      </c>
      <c r="K105" s="525" t="e">
        <f t="shared" si="11"/>
        <v>#DIV/0!</v>
      </c>
      <c r="L105" s="525">
        <f t="shared" si="12"/>
        <v>0</v>
      </c>
    </row>
    <row r="106" spans="1:12" ht="14.25" hidden="1" customHeight="1">
      <c r="A106" s="380"/>
      <c r="B106" s="380"/>
      <c r="C106" s="380" t="s">
        <v>803</v>
      </c>
      <c r="D106" s="384"/>
      <c r="E106" s="377"/>
      <c r="F106" s="384"/>
      <c r="G106" s="384"/>
      <c r="H106" s="384"/>
      <c r="I106" s="384"/>
      <c r="J106" s="514">
        <f t="shared" si="13"/>
        <v>0</v>
      </c>
      <c r="K106" s="525" t="e">
        <f t="shared" si="11"/>
        <v>#DIV/0!</v>
      </c>
      <c r="L106" s="525">
        <f t="shared" si="12"/>
        <v>0</v>
      </c>
    </row>
    <row r="107" spans="1:12" ht="14.25" hidden="1" customHeight="1">
      <c r="A107" s="380"/>
      <c r="B107" s="380"/>
      <c r="C107" s="380" t="s">
        <v>369</v>
      </c>
      <c r="D107" s="384"/>
      <c r="E107" s="377"/>
      <c r="F107" s="384"/>
      <c r="G107" s="384"/>
      <c r="H107" s="384"/>
      <c r="I107" s="384"/>
      <c r="J107" s="514">
        <f t="shared" si="13"/>
        <v>0</v>
      </c>
      <c r="K107" s="525" t="e">
        <f t="shared" si="11"/>
        <v>#DIV/0!</v>
      </c>
      <c r="L107" s="525">
        <f t="shared" si="12"/>
        <v>0</v>
      </c>
    </row>
    <row r="108" spans="1:12" ht="14.25" hidden="1" customHeight="1">
      <c r="A108" s="380"/>
      <c r="B108" s="380"/>
      <c r="C108" s="380" t="s">
        <v>370</v>
      </c>
      <c r="D108" s="384"/>
      <c r="E108" s="377"/>
      <c r="F108" s="384"/>
      <c r="G108" s="384"/>
      <c r="H108" s="384"/>
      <c r="I108" s="384"/>
      <c r="J108" s="514">
        <f t="shared" si="13"/>
        <v>0</v>
      </c>
      <c r="K108" s="525" t="e">
        <f t="shared" si="11"/>
        <v>#DIV/0!</v>
      </c>
      <c r="L108" s="525">
        <f t="shared" si="12"/>
        <v>0</v>
      </c>
    </row>
    <row r="109" spans="1:12" ht="14.25" hidden="1" customHeight="1">
      <c r="A109" s="380"/>
      <c r="B109" s="380"/>
      <c r="C109" s="380" t="s">
        <v>371</v>
      </c>
      <c r="D109" s="384"/>
      <c r="E109" s="377"/>
      <c r="F109" s="384"/>
      <c r="G109" s="384"/>
      <c r="H109" s="384"/>
      <c r="I109" s="384"/>
      <c r="J109" s="514">
        <f t="shared" si="13"/>
        <v>0</v>
      </c>
      <c r="K109" s="525" t="e">
        <f t="shared" si="11"/>
        <v>#DIV/0!</v>
      </c>
      <c r="L109" s="525">
        <f t="shared" si="12"/>
        <v>0</v>
      </c>
    </row>
    <row r="110" spans="1:12" ht="14.25" hidden="1" customHeight="1">
      <c r="A110" s="380"/>
      <c r="B110" s="380"/>
      <c r="C110" s="380" t="s">
        <v>372</v>
      </c>
      <c r="D110" s="384"/>
      <c r="E110" s="377"/>
      <c r="F110" s="384"/>
      <c r="G110" s="384"/>
      <c r="H110" s="384"/>
      <c r="I110" s="384"/>
      <c r="J110" s="514">
        <f t="shared" si="13"/>
        <v>0</v>
      </c>
      <c r="K110" s="525" t="e">
        <f t="shared" si="11"/>
        <v>#DIV/0!</v>
      </c>
      <c r="L110" s="525">
        <f t="shared" si="12"/>
        <v>0</v>
      </c>
    </row>
    <row r="111" spans="1:12" ht="14.25" hidden="1" customHeight="1">
      <c r="A111" s="380"/>
      <c r="B111" s="380"/>
      <c r="C111" s="380" t="s">
        <v>373</v>
      </c>
      <c r="D111" s="384"/>
      <c r="E111" s="377"/>
      <c r="F111" s="384"/>
      <c r="G111" s="384"/>
      <c r="H111" s="384"/>
      <c r="I111" s="384"/>
      <c r="J111" s="514">
        <f t="shared" si="13"/>
        <v>0</v>
      </c>
      <c r="K111" s="525" t="e">
        <f t="shared" si="11"/>
        <v>#DIV/0!</v>
      </c>
      <c r="L111" s="525">
        <f t="shared" si="12"/>
        <v>0</v>
      </c>
    </row>
    <row r="112" spans="1:12" ht="14.25" customHeight="1">
      <c r="A112" s="380"/>
      <c r="B112" s="380"/>
      <c r="C112" s="380" t="s">
        <v>599</v>
      </c>
      <c r="D112" s="377">
        <v>57</v>
      </c>
      <c r="E112" s="377"/>
      <c r="F112" s="377">
        <v>123.7</v>
      </c>
      <c r="G112" s="377">
        <v>123.7</v>
      </c>
      <c r="H112" s="377">
        <v>298</v>
      </c>
      <c r="I112" s="377">
        <v>13.89673</v>
      </c>
      <c r="J112" s="514">
        <f t="shared" si="13"/>
        <v>174.3</v>
      </c>
      <c r="K112" s="525">
        <f t="shared" si="11"/>
        <v>0.11234219886822959</v>
      </c>
      <c r="L112" s="525">
        <f t="shared" si="12"/>
        <v>-284.10327000000001</v>
      </c>
    </row>
    <row r="113" spans="1:12" ht="14.25" customHeight="1">
      <c r="A113" s="380"/>
      <c r="B113" s="529" t="s">
        <v>835</v>
      </c>
      <c r="C113" s="380" t="s">
        <v>557</v>
      </c>
      <c r="D113" s="384"/>
      <c r="E113" s="377">
        <v>3.01</v>
      </c>
      <c r="F113" s="384">
        <v>3</v>
      </c>
      <c r="G113" s="384">
        <v>3</v>
      </c>
      <c r="H113" s="384">
        <v>727.6</v>
      </c>
      <c r="I113" s="384">
        <v>2.2906599999999999</v>
      </c>
      <c r="J113" s="514">
        <f t="shared" si="13"/>
        <v>724.6</v>
      </c>
      <c r="K113" s="525">
        <f t="shared" si="11"/>
        <v>0.76355333333333331</v>
      </c>
      <c r="L113" s="525">
        <f t="shared" si="12"/>
        <v>-725.30934000000002</v>
      </c>
    </row>
    <row r="114" spans="1:12" ht="14.25" customHeight="1">
      <c r="A114" s="380"/>
      <c r="B114" s="380"/>
      <c r="C114" s="380" t="s">
        <v>647</v>
      </c>
      <c r="D114" s="377"/>
      <c r="E114" s="377"/>
      <c r="F114" s="377"/>
      <c r="G114" s="377">
        <v>26.48</v>
      </c>
      <c r="H114" s="377"/>
      <c r="I114" s="377">
        <v>2.4954299999999998</v>
      </c>
      <c r="J114" s="514">
        <f t="shared" si="13"/>
        <v>0</v>
      </c>
      <c r="K114" s="525">
        <f t="shared" si="11"/>
        <v>9.4238293051359515E-2</v>
      </c>
      <c r="L114" s="525">
        <f t="shared" si="12"/>
        <v>2.4954299999999998</v>
      </c>
    </row>
    <row r="115" spans="1:12" ht="14.25" hidden="1" customHeight="1">
      <c r="A115" s="380"/>
      <c r="B115" s="380"/>
      <c r="C115" s="380" t="s">
        <v>374</v>
      </c>
      <c r="D115" s="384"/>
      <c r="E115" s="377"/>
      <c r="F115" s="384"/>
      <c r="G115" s="384"/>
      <c r="H115" s="384"/>
      <c r="I115" s="384"/>
      <c r="J115" s="514">
        <f t="shared" si="13"/>
        <v>0</v>
      </c>
      <c r="K115" s="525" t="e">
        <f t="shared" si="11"/>
        <v>#DIV/0!</v>
      </c>
      <c r="L115" s="525">
        <f t="shared" si="12"/>
        <v>0</v>
      </c>
    </row>
    <row r="116" spans="1:12" ht="14.25" customHeight="1">
      <c r="A116" s="380"/>
      <c r="B116" s="380"/>
      <c r="C116" s="380" t="s">
        <v>375</v>
      </c>
      <c r="D116" s="384"/>
      <c r="E116" s="377"/>
      <c r="F116" s="384">
        <v>1.68</v>
      </c>
      <c r="G116" s="384">
        <v>0</v>
      </c>
      <c r="H116" s="384">
        <v>835</v>
      </c>
      <c r="I116" s="384">
        <v>0</v>
      </c>
      <c r="J116" s="514">
        <f t="shared" si="13"/>
        <v>833.32</v>
      </c>
      <c r="K116" s="525">
        <v>0</v>
      </c>
      <c r="L116" s="525">
        <f t="shared" si="12"/>
        <v>-835</v>
      </c>
    </row>
    <row r="117" spans="1:12" ht="15.75" hidden="1" customHeight="1">
      <c r="A117" s="380"/>
      <c r="B117" s="380"/>
      <c r="C117" s="380" t="s">
        <v>376</v>
      </c>
      <c r="D117" s="384">
        <v>9.0399999999999991</v>
      </c>
      <c r="E117" s="384">
        <v>9.0399999999999991</v>
      </c>
      <c r="F117" s="384"/>
      <c r="G117" s="384"/>
      <c r="H117" s="384"/>
      <c r="I117" s="384"/>
      <c r="J117" s="514">
        <f t="shared" si="13"/>
        <v>0</v>
      </c>
      <c r="K117" s="525" t="e">
        <f t="shared" si="11"/>
        <v>#DIV/0!</v>
      </c>
      <c r="L117" s="525">
        <f t="shared" si="12"/>
        <v>0</v>
      </c>
    </row>
    <row r="118" spans="1:12" ht="14.25" hidden="1" customHeight="1">
      <c r="A118" s="380"/>
      <c r="B118" s="380"/>
      <c r="C118" s="380" t="s">
        <v>377</v>
      </c>
      <c r="D118" s="377"/>
      <c r="E118" s="377"/>
      <c r="F118" s="377"/>
      <c r="G118" s="377"/>
      <c r="H118" s="377"/>
      <c r="I118" s="377"/>
      <c r="J118" s="514">
        <f t="shared" si="13"/>
        <v>0</v>
      </c>
      <c r="K118" s="525" t="e">
        <f t="shared" si="11"/>
        <v>#DIV/0!</v>
      </c>
      <c r="L118" s="525">
        <f t="shared" si="12"/>
        <v>0</v>
      </c>
    </row>
    <row r="119" spans="1:12" ht="14.25" hidden="1" customHeight="1">
      <c r="A119" s="380"/>
      <c r="B119" s="380"/>
      <c r="C119" s="380" t="s">
        <v>644</v>
      </c>
      <c r="D119" s="384"/>
      <c r="E119" s="377">
        <v>12.2</v>
      </c>
      <c r="F119" s="384"/>
      <c r="G119" s="384"/>
      <c r="H119" s="384"/>
      <c r="I119" s="384"/>
      <c r="J119" s="514">
        <f t="shared" si="13"/>
        <v>0</v>
      </c>
      <c r="K119" s="525" t="e">
        <f t="shared" si="11"/>
        <v>#DIV/0!</v>
      </c>
      <c r="L119" s="525">
        <f t="shared" si="12"/>
        <v>0</v>
      </c>
    </row>
    <row r="120" spans="1:12" ht="14.25" customHeight="1">
      <c r="A120" s="380"/>
      <c r="B120" s="380"/>
      <c r="C120" s="380" t="s">
        <v>646</v>
      </c>
      <c r="D120" s="384"/>
      <c r="E120" s="377"/>
      <c r="F120" s="384"/>
      <c r="G120" s="384">
        <v>27.71</v>
      </c>
      <c r="H120" s="384">
        <v>0</v>
      </c>
      <c r="I120" s="384">
        <v>0</v>
      </c>
      <c r="J120" s="514">
        <f t="shared" si="13"/>
        <v>0</v>
      </c>
      <c r="K120" s="525">
        <f t="shared" si="11"/>
        <v>0</v>
      </c>
      <c r="L120" s="525">
        <f t="shared" si="12"/>
        <v>0</v>
      </c>
    </row>
    <row r="121" spans="1:12" ht="14.25" customHeight="1">
      <c r="A121" s="380"/>
      <c r="B121" s="380"/>
      <c r="C121" s="380" t="s">
        <v>562</v>
      </c>
      <c r="D121" s="384"/>
      <c r="E121" s="377">
        <v>1.1399999999999999</v>
      </c>
      <c r="F121" s="384">
        <v>9.6</v>
      </c>
      <c r="G121" s="377">
        <v>9.6</v>
      </c>
      <c r="H121" s="384">
        <v>53</v>
      </c>
      <c r="I121" s="377">
        <v>68.517049999999998</v>
      </c>
      <c r="J121" s="514">
        <f t="shared" si="13"/>
        <v>43.4</v>
      </c>
      <c r="K121" s="525">
        <f t="shared" si="11"/>
        <v>7.1371927083333331</v>
      </c>
      <c r="L121" s="525">
        <f t="shared" si="12"/>
        <v>15.517049999999998</v>
      </c>
    </row>
    <row r="122" spans="1:12" ht="14.25" customHeight="1">
      <c r="A122" s="380"/>
      <c r="B122" s="380"/>
      <c r="C122" s="380" t="s">
        <v>600</v>
      </c>
      <c r="D122" s="384"/>
      <c r="E122" s="377"/>
      <c r="F122" s="384">
        <v>0</v>
      </c>
      <c r="G122" s="521">
        <v>0</v>
      </c>
      <c r="H122" s="384">
        <v>10.5</v>
      </c>
      <c r="I122" s="521">
        <v>1.5910000000000001E-2</v>
      </c>
      <c r="J122" s="514">
        <f t="shared" si="13"/>
        <v>10.5</v>
      </c>
      <c r="K122" s="525">
        <v>0</v>
      </c>
      <c r="L122" s="525">
        <f t="shared" si="12"/>
        <v>-10.48409</v>
      </c>
    </row>
    <row r="123" spans="1:12" ht="14.25" customHeight="1">
      <c r="A123" s="380"/>
      <c r="B123" s="529" t="s">
        <v>832</v>
      </c>
      <c r="C123" s="380" t="s">
        <v>561</v>
      </c>
      <c r="D123" s="521"/>
      <c r="E123" s="377">
        <v>2.59</v>
      </c>
      <c r="F123" s="521">
        <v>0</v>
      </c>
      <c r="G123" s="521">
        <v>335.55</v>
      </c>
      <c r="H123" s="521">
        <v>44.6</v>
      </c>
      <c r="I123" s="521">
        <v>116.47197</v>
      </c>
      <c r="J123" s="514">
        <f t="shared" si="13"/>
        <v>44.6</v>
      </c>
      <c r="K123" s="525">
        <f t="shared" si="11"/>
        <v>0.34710764416629414</v>
      </c>
      <c r="L123" s="525">
        <f t="shared" si="12"/>
        <v>71.871970000000005</v>
      </c>
    </row>
    <row r="124" spans="1:12" ht="14.25" customHeight="1">
      <c r="A124" s="380"/>
      <c r="B124" s="380"/>
      <c r="C124" s="380" t="s">
        <v>601</v>
      </c>
      <c r="D124" s="377"/>
      <c r="E124" s="377">
        <v>107.4</v>
      </c>
      <c r="F124" s="377">
        <v>0</v>
      </c>
      <c r="G124" s="377">
        <v>0</v>
      </c>
      <c r="H124" s="377">
        <v>0</v>
      </c>
      <c r="I124" s="377">
        <v>0</v>
      </c>
      <c r="J124" s="514">
        <f t="shared" si="13"/>
        <v>0</v>
      </c>
      <c r="K124" s="525">
        <v>0</v>
      </c>
      <c r="L124" s="525">
        <f t="shared" si="12"/>
        <v>0</v>
      </c>
    </row>
    <row r="125" spans="1:12" ht="14.25" customHeight="1">
      <c r="A125" s="380"/>
      <c r="B125" s="380"/>
      <c r="C125" s="380" t="s">
        <v>645</v>
      </c>
      <c r="D125" s="384"/>
      <c r="E125" s="377"/>
      <c r="F125" s="384">
        <v>0</v>
      </c>
      <c r="G125" s="384">
        <v>3.59</v>
      </c>
      <c r="H125" s="384">
        <v>0</v>
      </c>
      <c r="I125" s="384">
        <v>0</v>
      </c>
      <c r="J125" s="514">
        <f t="shared" si="13"/>
        <v>0</v>
      </c>
      <c r="K125" s="525">
        <f t="shared" si="11"/>
        <v>0</v>
      </c>
      <c r="L125" s="525">
        <f t="shared" si="12"/>
        <v>0</v>
      </c>
    </row>
    <row r="126" spans="1:12" ht="14.25" customHeight="1">
      <c r="A126" s="380"/>
      <c r="B126" s="529" t="s">
        <v>819</v>
      </c>
      <c r="C126" s="380" t="s">
        <v>810</v>
      </c>
      <c r="D126" s="384"/>
      <c r="E126" s="377"/>
      <c r="F126" s="384">
        <v>0</v>
      </c>
      <c r="G126" s="384">
        <v>0</v>
      </c>
      <c r="H126" s="384">
        <v>0.2</v>
      </c>
      <c r="I126" s="384">
        <v>5.6639999999999997</v>
      </c>
      <c r="J126" s="514"/>
      <c r="K126" s="525">
        <v>0</v>
      </c>
      <c r="L126" s="525">
        <f t="shared" si="12"/>
        <v>5.4639999999999995</v>
      </c>
    </row>
    <row r="127" spans="1:12" ht="14.25" customHeight="1">
      <c r="A127" s="380"/>
      <c r="B127" s="380"/>
      <c r="C127" s="380" t="s">
        <v>602</v>
      </c>
      <c r="D127" s="384"/>
      <c r="E127" s="377"/>
      <c r="F127" s="384">
        <v>0</v>
      </c>
      <c r="G127" s="384">
        <v>2.16</v>
      </c>
      <c r="H127" s="384">
        <v>0</v>
      </c>
      <c r="I127" s="384">
        <v>0</v>
      </c>
      <c r="J127" s="514">
        <f t="shared" si="13"/>
        <v>0</v>
      </c>
      <c r="K127" s="525">
        <f t="shared" si="11"/>
        <v>0</v>
      </c>
      <c r="L127" s="525">
        <f t="shared" si="12"/>
        <v>0</v>
      </c>
    </row>
    <row r="128" spans="1:12" ht="14.25" hidden="1" customHeight="1">
      <c r="A128" s="380"/>
      <c r="B128" s="380"/>
      <c r="C128" s="380" t="s">
        <v>564</v>
      </c>
      <c r="D128" s="384"/>
      <c r="E128" s="377"/>
      <c r="F128" s="384"/>
      <c r="G128" s="384"/>
      <c r="H128" s="384"/>
      <c r="I128" s="384"/>
      <c r="J128" s="514">
        <f t="shared" si="13"/>
        <v>0</v>
      </c>
      <c r="K128" s="525" t="e">
        <f t="shared" si="11"/>
        <v>#DIV/0!</v>
      </c>
      <c r="L128" s="525">
        <f t="shared" si="12"/>
        <v>0</v>
      </c>
    </row>
    <row r="129" spans="1:12" ht="14.25" customHeight="1">
      <c r="A129" s="380"/>
      <c r="B129" s="380"/>
      <c r="C129" s="380" t="s">
        <v>838</v>
      </c>
      <c r="D129" s="384"/>
      <c r="E129" s="377"/>
      <c r="F129" s="384">
        <v>0</v>
      </c>
      <c r="G129" s="384">
        <v>0</v>
      </c>
      <c r="H129" s="384">
        <v>0</v>
      </c>
      <c r="I129" s="384">
        <v>1.49953</v>
      </c>
      <c r="J129" s="514"/>
      <c r="K129" s="525">
        <v>0</v>
      </c>
      <c r="L129" s="525">
        <f t="shared" si="12"/>
        <v>1.49953</v>
      </c>
    </row>
    <row r="130" spans="1:12" ht="14.25" hidden="1" customHeight="1">
      <c r="A130" s="380"/>
      <c r="B130" s="380"/>
      <c r="C130" s="380" t="s">
        <v>378</v>
      </c>
      <c r="D130" s="377">
        <v>79.2</v>
      </c>
      <c r="E130" s="377">
        <v>82.3</v>
      </c>
      <c r="F130" s="377"/>
      <c r="G130" s="377"/>
      <c r="H130" s="377">
        <v>0</v>
      </c>
      <c r="I130" s="377">
        <v>0</v>
      </c>
      <c r="J130" s="514">
        <f t="shared" si="13"/>
        <v>0</v>
      </c>
      <c r="K130" s="525" t="e">
        <f t="shared" si="11"/>
        <v>#DIV/0!</v>
      </c>
      <c r="L130" s="525">
        <f t="shared" si="12"/>
        <v>0</v>
      </c>
    </row>
    <row r="131" spans="1:12" ht="14.25" customHeight="1">
      <c r="A131" s="380"/>
      <c r="B131" s="380"/>
      <c r="C131" s="380" t="s">
        <v>603</v>
      </c>
      <c r="D131" s="384"/>
      <c r="E131" s="377"/>
      <c r="F131" s="384">
        <v>0</v>
      </c>
      <c r="G131" s="521">
        <v>0</v>
      </c>
      <c r="H131" s="384">
        <v>1</v>
      </c>
      <c r="I131" s="521">
        <v>0</v>
      </c>
      <c r="J131" s="514">
        <f t="shared" si="13"/>
        <v>1</v>
      </c>
      <c r="K131" s="525">
        <v>0</v>
      </c>
      <c r="L131" s="525">
        <f t="shared" si="12"/>
        <v>-1</v>
      </c>
    </row>
    <row r="132" spans="1:12" ht="14.25" hidden="1" customHeight="1">
      <c r="A132" s="380"/>
      <c r="B132" s="380"/>
      <c r="C132" s="380" t="s">
        <v>804</v>
      </c>
      <c r="D132" s="384"/>
      <c r="E132" s="377"/>
      <c r="F132" s="384"/>
      <c r="G132" s="384"/>
      <c r="H132" s="384"/>
      <c r="I132" s="384"/>
      <c r="J132" s="514">
        <f t="shared" si="13"/>
        <v>0</v>
      </c>
      <c r="K132" s="525" t="e">
        <f t="shared" si="11"/>
        <v>#DIV/0!</v>
      </c>
      <c r="L132" s="525">
        <f t="shared" si="12"/>
        <v>0</v>
      </c>
    </row>
    <row r="133" spans="1:12" ht="14.25" hidden="1" customHeight="1">
      <c r="A133" s="380"/>
      <c r="B133" s="380"/>
      <c r="C133" s="380" t="s">
        <v>379</v>
      </c>
      <c r="D133" s="384"/>
      <c r="E133" s="377"/>
      <c r="F133" s="384"/>
      <c r="G133" s="384"/>
      <c r="H133" s="384"/>
      <c r="I133" s="384"/>
      <c r="J133" s="514">
        <f t="shared" si="13"/>
        <v>0</v>
      </c>
      <c r="K133" s="525" t="e">
        <f t="shared" si="11"/>
        <v>#DIV/0!</v>
      </c>
      <c r="L133" s="525">
        <f t="shared" si="12"/>
        <v>0</v>
      </c>
    </row>
    <row r="134" spans="1:12" ht="14.25" customHeight="1">
      <c r="A134" s="380"/>
      <c r="B134" s="380"/>
      <c r="C134" s="380" t="s">
        <v>839</v>
      </c>
      <c r="D134" s="384"/>
      <c r="E134" s="377"/>
      <c r="F134" s="384">
        <v>0</v>
      </c>
      <c r="G134" s="384">
        <v>0</v>
      </c>
      <c r="H134" s="384">
        <v>0</v>
      </c>
      <c r="I134" s="384">
        <v>5.1607900000000004</v>
      </c>
      <c r="J134" s="514"/>
      <c r="K134" s="525">
        <v>0</v>
      </c>
      <c r="L134" s="525">
        <f t="shared" si="12"/>
        <v>5.1607900000000004</v>
      </c>
    </row>
    <row r="135" spans="1:12" ht="14.25" customHeight="1">
      <c r="A135" s="380"/>
      <c r="B135" s="529" t="s">
        <v>824</v>
      </c>
      <c r="C135" s="380" t="s">
        <v>380</v>
      </c>
      <c r="D135" s="384">
        <v>24.4</v>
      </c>
      <c r="E135" s="377">
        <v>2237.08</v>
      </c>
      <c r="F135" s="384">
        <v>1197.24</v>
      </c>
      <c r="G135" s="377">
        <v>768.4</v>
      </c>
      <c r="H135" s="384">
        <v>66.099999999999994</v>
      </c>
      <c r="I135" s="377">
        <v>949.93574999999998</v>
      </c>
      <c r="J135" s="514">
        <f t="shared" si="13"/>
        <v>-1131.1400000000001</v>
      </c>
      <c r="K135" s="525">
        <f t="shared" si="11"/>
        <v>1.2362516267568975</v>
      </c>
      <c r="L135" s="525">
        <f t="shared" si="12"/>
        <v>883.83574999999996</v>
      </c>
    </row>
    <row r="136" spans="1:12" ht="14.25" hidden="1" customHeight="1">
      <c r="A136" s="380"/>
      <c r="B136" s="380"/>
      <c r="C136" s="374" t="s">
        <v>381</v>
      </c>
      <c r="D136" s="384">
        <v>12.2</v>
      </c>
      <c r="E136" s="377">
        <v>0.11</v>
      </c>
      <c r="F136" s="384"/>
      <c r="G136" s="384"/>
      <c r="H136" s="384"/>
      <c r="I136" s="384"/>
      <c r="J136" s="514">
        <f t="shared" si="13"/>
        <v>0</v>
      </c>
      <c r="K136" s="525" t="e">
        <f t="shared" si="11"/>
        <v>#DIV/0!</v>
      </c>
      <c r="L136" s="525">
        <f t="shared" si="12"/>
        <v>0</v>
      </c>
    </row>
    <row r="137" spans="1:12" ht="14.25" customHeight="1">
      <c r="A137" s="380"/>
      <c r="B137" s="380"/>
      <c r="C137" s="374" t="s">
        <v>565</v>
      </c>
      <c r="D137" s="384"/>
      <c r="E137" s="377"/>
      <c r="F137" s="384">
        <v>0</v>
      </c>
      <c r="G137" s="384">
        <v>0</v>
      </c>
      <c r="H137" s="384">
        <v>0</v>
      </c>
      <c r="I137" s="384">
        <v>0</v>
      </c>
      <c r="J137" s="514">
        <f t="shared" si="13"/>
        <v>0</v>
      </c>
      <c r="K137" s="525">
        <v>0</v>
      </c>
      <c r="L137" s="525">
        <f t="shared" si="12"/>
        <v>0</v>
      </c>
    </row>
    <row r="138" spans="1:12" ht="14.25" customHeight="1">
      <c r="A138" s="380"/>
      <c r="B138" s="529" t="s">
        <v>833</v>
      </c>
      <c r="C138" s="374" t="s">
        <v>566</v>
      </c>
      <c r="D138" s="377"/>
      <c r="E138" s="377">
        <v>46</v>
      </c>
      <c r="F138" s="377">
        <v>0</v>
      </c>
      <c r="G138" s="377">
        <v>99.04</v>
      </c>
      <c r="H138" s="377">
        <v>0</v>
      </c>
      <c r="I138" s="377">
        <v>90.680019999999999</v>
      </c>
      <c r="J138" s="514">
        <f t="shared" si="13"/>
        <v>0</v>
      </c>
      <c r="K138" s="525">
        <f t="shared" si="11"/>
        <v>0.91558986268174469</v>
      </c>
      <c r="L138" s="525">
        <f t="shared" si="12"/>
        <v>90.680019999999999</v>
      </c>
    </row>
    <row r="139" spans="1:12" ht="14.25" hidden="1" customHeight="1">
      <c r="A139" s="380"/>
      <c r="B139" s="380"/>
      <c r="C139" s="374" t="s">
        <v>382</v>
      </c>
      <c r="D139" s="384"/>
      <c r="E139" s="377"/>
      <c r="F139" s="384"/>
      <c r="G139" s="384"/>
      <c r="H139" s="384"/>
      <c r="I139" s="384"/>
      <c r="J139" s="514">
        <f t="shared" si="13"/>
        <v>0</v>
      </c>
      <c r="K139" s="525" t="e">
        <f t="shared" ref="K139:K155" si="16">I139/G139</f>
        <v>#DIV/0!</v>
      </c>
      <c r="L139" s="525">
        <f t="shared" ref="L139:L155" si="17">I139-H139</f>
        <v>0</v>
      </c>
    </row>
    <row r="140" spans="1:12" ht="14.25" hidden="1" customHeight="1">
      <c r="A140" s="380"/>
      <c r="B140" s="380"/>
      <c r="C140" s="374" t="s">
        <v>567</v>
      </c>
      <c r="D140" s="384"/>
      <c r="E140" s="377"/>
      <c r="F140" s="384"/>
      <c r="G140" s="384">
        <v>0.55000000000000004</v>
      </c>
      <c r="H140" s="384"/>
      <c r="I140" s="384"/>
      <c r="J140" s="514">
        <f t="shared" si="13"/>
        <v>0</v>
      </c>
      <c r="K140" s="525">
        <f t="shared" si="16"/>
        <v>0</v>
      </c>
      <c r="L140" s="525">
        <f t="shared" si="17"/>
        <v>0</v>
      </c>
    </row>
    <row r="141" spans="1:12" ht="14.25" customHeight="1">
      <c r="A141" s="380"/>
      <c r="B141" s="380"/>
      <c r="C141" s="380" t="s">
        <v>604</v>
      </c>
      <c r="D141" s="384"/>
      <c r="E141" s="377">
        <v>7.29</v>
      </c>
      <c r="F141" s="384">
        <v>2.2000000000000002</v>
      </c>
      <c r="G141" s="384">
        <v>0.27</v>
      </c>
      <c r="H141" s="384">
        <v>0</v>
      </c>
      <c r="I141" s="384">
        <v>0</v>
      </c>
      <c r="J141" s="514">
        <f t="shared" si="13"/>
        <v>-2.2000000000000002</v>
      </c>
      <c r="K141" s="525">
        <f t="shared" si="16"/>
        <v>0</v>
      </c>
      <c r="L141" s="525">
        <f t="shared" si="17"/>
        <v>0</v>
      </c>
    </row>
    <row r="142" spans="1:12" ht="14.25" hidden="1" customHeight="1">
      <c r="A142" s="380"/>
      <c r="B142" s="380"/>
      <c r="C142" s="380" t="s">
        <v>568</v>
      </c>
      <c r="D142" s="384"/>
      <c r="E142" s="377"/>
      <c r="F142" s="384"/>
      <c r="G142" s="384"/>
      <c r="H142" s="384"/>
      <c r="I142" s="384"/>
      <c r="J142" s="514">
        <f t="shared" si="13"/>
        <v>0</v>
      </c>
      <c r="K142" s="525" t="e">
        <f t="shared" si="16"/>
        <v>#DIV/0!</v>
      </c>
      <c r="L142" s="525">
        <f t="shared" si="17"/>
        <v>0</v>
      </c>
    </row>
    <row r="143" spans="1:12" hidden="1">
      <c r="A143" s="380"/>
      <c r="B143" s="380"/>
      <c r="C143" s="380" t="s">
        <v>605</v>
      </c>
      <c r="D143" s="384"/>
      <c r="E143" s="377"/>
      <c r="F143" s="384"/>
      <c r="G143" s="384"/>
      <c r="H143" s="384"/>
      <c r="I143" s="384"/>
      <c r="J143" s="514">
        <f t="shared" si="13"/>
        <v>0</v>
      </c>
      <c r="K143" s="525" t="e">
        <f t="shared" si="16"/>
        <v>#DIV/0!</v>
      </c>
      <c r="L143" s="525">
        <f t="shared" si="17"/>
        <v>0</v>
      </c>
    </row>
    <row r="144" spans="1:12" ht="14.25" hidden="1" customHeight="1">
      <c r="A144" s="380"/>
      <c r="B144" s="380"/>
      <c r="C144" s="380" t="s">
        <v>383</v>
      </c>
      <c r="D144" s="384"/>
      <c r="E144" s="377">
        <v>29.19</v>
      </c>
      <c r="F144" s="384"/>
      <c r="G144" s="384"/>
      <c r="H144" s="384"/>
      <c r="I144" s="384"/>
      <c r="J144" s="514">
        <f t="shared" ref="J144:J155" si="18">H144-F144</f>
        <v>0</v>
      </c>
      <c r="K144" s="525" t="e">
        <f t="shared" si="16"/>
        <v>#DIV/0!</v>
      </c>
      <c r="L144" s="525">
        <f t="shared" si="17"/>
        <v>0</v>
      </c>
    </row>
    <row r="145" spans="1:12" ht="14.25" customHeight="1">
      <c r="A145" s="380"/>
      <c r="B145" s="380"/>
      <c r="C145" s="380" t="s">
        <v>556</v>
      </c>
      <c r="D145" s="384"/>
      <c r="E145" s="377">
        <v>606.52</v>
      </c>
      <c r="F145" s="384">
        <v>1131.67</v>
      </c>
      <c r="G145" s="377">
        <v>1132.4000000000001</v>
      </c>
      <c r="H145" s="384">
        <v>41.1</v>
      </c>
      <c r="I145" s="377">
        <v>11.914300000000001</v>
      </c>
      <c r="J145" s="514">
        <f t="shared" si="18"/>
        <v>-1090.5700000000002</v>
      </c>
      <c r="K145" s="525">
        <f t="shared" si="16"/>
        <v>1.0521282232426704E-2</v>
      </c>
      <c r="L145" s="525">
        <f t="shared" si="17"/>
        <v>-29.185700000000001</v>
      </c>
    </row>
    <row r="146" spans="1:12" ht="14.25" customHeight="1">
      <c r="A146" s="380"/>
      <c r="B146" s="380"/>
      <c r="C146" s="380" t="s">
        <v>811</v>
      </c>
      <c r="D146" s="384"/>
      <c r="E146" s="377"/>
      <c r="F146" s="384">
        <v>0</v>
      </c>
      <c r="G146" s="377">
        <v>0</v>
      </c>
      <c r="H146" s="384">
        <v>0.2</v>
      </c>
      <c r="I146" s="377">
        <v>0</v>
      </c>
      <c r="J146" s="514"/>
      <c r="K146" s="525">
        <v>0</v>
      </c>
      <c r="L146" s="525">
        <f t="shared" si="17"/>
        <v>-0.2</v>
      </c>
    </row>
    <row r="147" spans="1:12" ht="14.25" customHeight="1">
      <c r="A147" s="380"/>
      <c r="B147" s="380"/>
      <c r="C147" s="533" t="s">
        <v>841</v>
      </c>
      <c r="D147" s="384"/>
      <c r="E147" s="377"/>
      <c r="F147" s="384">
        <v>0</v>
      </c>
      <c r="G147" s="377">
        <v>0</v>
      </c>
      <c r="H147" s="384">
        <v>0</v>
      </c>
      <c r="I147" s="377">
        <v>40.078000000000003</v>
      </c>
      <c r="J147" s="514"/>
      <c r="K147" s="525">
        <v>0</v>
      </c>
      <c r="L147" s="525">
        <f t="shared" si="17"/>
        <v>40.078000000000003</v>
      </c>
    </row>
    <row r="148" spans="1:12" ht="14.25" customHeight="1">
      <c r="A148" s="380"/>
      <c r="B148" s="380"/>
      <c r="C148" s="380" t="s">
        <v>840</v>
      </c>
      <c r="D148" s="384"/>
      <c r="E148" s="377"/>
      <c r="F148" s="384">
        <v>0</v>
      </c>
      <c r="G148" s="377">
        <v>0</v>
      </c>
      <c r="H148" s="384">
        <v>0</v>
      </c>
      <c r="I148" s="377">
        <v>0.91142999999999996</v>
      </c>
      <c r="J148" s="514"/>
      <c r="K148" s="525">
        <v>0</v>
      </c>
      <c r="L148" s="525">
        <f t="shared" si="17"/>
        <v>0.91142999999999996</v>
      </c>
    </row>
    <row r="149" spans="1:12" ht="14.25" customHeight="1">
      <c r="A149" s="380"/>
      <c r="B149" s="380"/>
      <c r="C149" s="380" t="s">
        <v>812</v>
      </c>
      <c r="D149" s="384"/>
      <c r="E149" s="377"/>
      <c r="F149" s="384">
        <v>0</v>
      </c>
      <c r="G149" s="377">
        <v>0</v>
      </c>
      <c r="H149" s="384">
        <v>3.3</v>
      </c>
      <c r="I149" s="377">
        <v>0</v>
      </c>
      <c r="J149" s="514"/>
      <c r="K149" s="525">
        <v>0</v>
      </c>
      <c r="L149" s="525">
        <f t="shared" si="17"/>
        <v>-3.3</v>
      </c>
    </row>
    <row r="150" spans="1:12" ht="14.25" customHeight="1">
      <c r="A150" s="380"/>
      <c r="B150" s="529" t="s">
        <v>837</v>
      </c>
      <c r="C150" s="380" t="s">
        <v>570</v>
      </c>
      <c r="D150" s="377">
        <v>4.0999999999999996</v>
      </c>
      <c r="E150" s="377">
        <v>4.0999999999999996</v>
      </c>
      <c r="F150" s="377">
        <v>3.3</v>
      </c>
      <c r="G150" s="377">
        <v>3.3</v>
      </c>
      <c r="H150" s="377">
        <f>2.7-0.3</f>
        <v>2.4000000000000004</v>
      </c>
      <c r="I150" s="377">
        <v>4.5439999999999996</v>
      </c>
      <c r="J150" s="514">
        <f t="shared" si="18"/>
        <v>-0.89999999999999947</v>
      </c>
      <c r="K150" s="525">
        <f t="shared" si="16"/>
        <v>1.376969696969697</v>
      </c>
      <c r="L150" s="525">
        <f t="shared" si="17"/>
        <v>2.1439999999999992</v>
      </c>
    </row>
    <row r="151" spans="1:12" ht="14.25" hidden="1" customHeight="1">
      <c r="A151" s="380"/>
      <c r="B151" s="380"/>
      <c r="C151" s="380" t="s">
        <v>410</v>
      </c>
      <c r="D151" s="377">
        <v>11</v>
      </c>
      <c r="E151" s="377">
        <v>11.04</v>
      </c>
      <c r="F151" s="384"/>
      <c r="G151" s="384"/>
      <c r="H151" s="384"/>
      <c r="I151" s="384"/>
      <c r="J151" s="514">
        <f t="shared" si="18"/>
        <v>0</v>
      </c>
      <c r="K151" s="515" t="e">
        <f t="shared" si="16"/>
        <v>#DIV/0!</v>
      </c>
      <c r="L151" s="515">
        <f t="shared" si="17"/>
        <v>0</v>
      </c>
    </row>
    <row r="152" spans="1:12" ht="14.25" customHeight="1">
      <c r="A152" s="523"/>
      <c r="B152" s="523"/>
      <c r="C152" s="524" t="s">
        <v>384</v>
      </c>
      <c r="D152" s="520">
        <f>D6+D20+D38+D77+D85+D96</f>
        <v>5847.2899999999991</v>
      </c>
      <c r="E152" s="520">
        <f>E6+E20+E38+E77+E85+E96</f>
        <v>9739.869999999999</v>
      </c>
      <c r="F152" s="518">
        <f t="shared" ref="F152:G152" si="19">F6+F20+F38+F77+F85+F96</f>
        <v>9031.75</v>
      </c>
      <c r="G152" s="518">
        <f t="shared" si="19"/>
        <v>9147.33</v>
      </c>
      <c r="H152" s="518">
        <f>H6+H20+H38+H77+H85+H96</f>
        <v>3513.2773599999996</v>
      </c>
      <c r="I152" s="518">
        <f>I6+I20+I38+I77+I85+I96</f>
        <v>2286.6634199999999</v>
      </c>
      <c r="J152" s="514">
        <f t="shared" si="18"/>
        <v>-5518.47264</v>
      </c>
      <c r="K152" s="515">
        <f t="shared" si="16"/>
        <v>0.24998151591775961</v>
      </c>
      <c r="L152" s="515">
        <f t="shared" si="17"/>
        <v>-1226.6139399999997</v>
      </c>
    </row>
    <row r="153" spans="1:12" ht="14.25" customHeight="1">
      <c r="A153" s="379" t="s">
        <v>385</v>
      </c>
      <c r="B153" s="379"/>
      <c r="C153" s="378" t="s">
        <v>386</v>
      </c>
      <c r="D153" s="376">
        <v>359.5</v>
      </c>
      <c r="E153" s="376">
        <v>722.74</v>
      </c>
      <c r="F153" s="376">
        <v>4013.8</v>
      </c>
      <c r="G153" s="376">
        <v>3202.6</v>
      </c>
      <c r="H153" s="376">
        <v>373.4</v>
      </c>
      <c r="I153" s="376">
        <v>212.34638000000001</v>
      </c>
      <c r="J153" s="514">
        <f t="shared" si="18"/>
        <v>-3640.4</v>
      </c>
      <c r="K153" s="525">
        <f t="shared" si="16"/>
        <v>6.630437144819834E-2</v>
      </c>
      <c r="L153" s="525">
        <f t="shared" si="17"/>
        <v>-161.05361999999997</v>
      </c>
    </row>
    <row r="154" spans="1:12" ht="14.25" customHeight="1">
      <c r="A154" s="379" t="s">
        <v>387</v>
      </c>
      <c r="B154" s="379"/>
      <c r="C154" s="378" t="s">
        <v>388</v>
      </c>
      <c r="D154" s="376">
        <v>3647.7</v>
      </c>
      <c r="E154" s="376">
        <v>3730.44</v>
      </c>
      <c r="F154" s="376">
        <v>4676.6000000000004</v>
      </c>
      <c r="G154" s="376">
        <v>4375.5</v>
      </c>
      <c r="H154" s="376">
        <v>4986.2</v>
      </c>
      <c r="I154" s="376">
        <v>4396.4389700000002</v>
      </c>
      <c r="J154" s="514">
        <f t="shared" si="18"/>
        <v>309.59999999999945</v>
      </c>
      <c r="K154" s="525">
        <f t="shared" si="16"/>
        <v>1.0047855033710433</v>
      </c>
      <c r="L154" s="525">
        <f t="shared" si="17"/>
        <v>-589.76102999999966</v>
      </c>
    </row>
    <row r="155" spans="1:12" ht="14.25" customHeight="1">
      <c r="A155" s="511"/>
      <c r="B155" s="511"/>
      <c r="C155" s="512" t="s">
        <v>389</v>
      </c>
      <c r="D155" s="520">
        <f>D152+D154+D153</f>
        <v>9854.489999999998</v>
      </c>
      <c r="E155" s="518">
        <f>E154+E153+E152</f>
        <v>14193.05</v>
      </c>
      <c r="F155" s="518">
        <f>F152+F154+F153</f>
        <v>17722.150000000001</v>
      </c>
      <c r="G155" s="518">
        <f>G152+G154+G153</f>
        <v>16725.43</v>
      </c>
      <c r="H155" s="518">
        <f>H152+H154+H153</f>
        <v>8872.8773599999986</v>
      </c>
      <c r="I155" s="518">
        <f>I152+I154+I153</f>
        <v>6895.44877</v>
      </c>
      <c r="J155" s="514">
        <f t="shared" si="18"/>
        <v>-8849.2726400000029</v>
      </c>
      <c r="K155" s="515">
        <f t="shared" si="16"/>
        <v>0.4122733328829214</v>
      </c>
      <c r="L155" s="515">
        <f t="shared" si="17"/>
        <v>-1977.4285899999986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4"/>
  <sheetViews>
    <sheetView tabSelected="1" view="pageBreakPreview" zoomScale="93" zoomScaleSheetLayoutView="9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99" sqref="E99"/>
    </sheetView>
  </sheetViews>
  <sheetFormatPr defaultRowHeight="12.75"/>
  <cols>
    <col min="1" max="1" width="21.140625" style="397" customWidth="1"/>
    <col min="2" max="2" width="49.140625" style="396" customWidth="1"/>
    <col min="3" max="4" width="10.42578125" style="396" customWidth="1"/>
    <col min="5" max="5" width="12.42578125" style="395" customWidth="1"/>
    <col min="6" max="6" width="12" style="395" customWidth="1"/>
    <col min="7" max="7" width="11.5703125" style="395" customWidth="1"/>
    <col min="8" max="8" width="7.42578125" style="395" customWidth="1"/>
    <col min="9" max="16384" width="9.140625" style="395"/>
  </cols>
  <sheetData>
    <row r="1" spans="1:8" ht="15.75">
      <c r="B1" s="847" t="s">
        <v>264</v>
      </c>
      <c r="C1" s="847"/>
      <c r="D1" s="847"/>
      <c r="E1" s="847"/>
      <c r="F1" s="848" t="s">
        <v>496</v>
      </c>
      <c r="G1" s="848"/>
      <c r="H1" s="848"/>
    </row>
    <row r="2" spans="1:8" ht="15.75">
      <c r="A2" s="847" t="s">
        <v>649</v>
      </c>
      <c r="B2" s="847"/>
      <c r="C2" s="847"/>
      <c r="D2" s="847"/>
      <c r="E2" s="847"/>
      <c r="F2" s="847"/>
      <c r="G2" s="847"/>
    </row>
    <row r="3" spans="1:8" ht="14.25">
      <c r="B3" s="849" t="s">
        <v>945</v>
      </c>
      <c r="C3" s="849"/>
      <c r="D3" s="849"/>
      <c r="E3" s="849"/>
      <c r="F3" s="849"/>
      <c r="G3" s="444" t="s">
        <v>265</v>
      </c>
      <c r="H3" s="444"/>
    </row>
    <row r="4" spans="1:8" ht="56.25" customHeight="1">
      <c r="A4" s="443" t="s">
        <v>0</v>
      </c>
      <c r="B4" s="442" t="s">
        <v>1</v>
      </c>
      <c r="C4" s="441" t="s">
        <v>911</v>
      </c>
      <c r="D4" s="441" t="s">
        <v>484</v>
      </c>
      <c r="E4" s="440" t="s">
        <v>483</v>
      </c>
      <c r="F4" s="440" t="s">
        <v>948</v>
      </c>
      <c r="G4" s="440" t="s">
        <v>2</v>
      </c>
      <c r="H4" s="440" t="s">
        <v>3</v>
      </c>
    </row>
    <row r="5" spans="1:8">
      <c r="A5" s="436"/>
      <c r="B5" s="435" t="s">
        <v>4</v>
      </c>
      <c r="C5" s="434">
        <f>SUM(C6+C11+C15+C20+C23+C10)</f>
        <v>33345</v>
      </c>
      <c r="D5" s="434">
        <f t="shared" ref="D5:D14" si="0">E5-C5</f>
        <v>0</v>
      </c>
      <c r="E5" s="434">
        <f>SUM(E6+E11+E15+E20+E23+E10)</f>
        <v>33345</v>
      </c>
      <c r="F5" s="433">
        <f>SUM(F8+F11+F15+F20+F10)</f>
        <v>21232.0291</v>
      </c>
      <c r="G5" s="432">
        <f t="shared" ref="G5:G70" si="1">SUM(F5/E5%)</f>
        <v>63.673801469485682</v>
      </c>
      <c r="H5" s="432">
        <f t="shared" ref="H5:H16" si="2">SUM(F5-E5)</f>
        <v>-12112.9709</v>
      </c>
    </row>
    <row r="6" spans="1:8" ht="48" hidden="1" customHeight="1">
      <c r="A6" s="438" t="s">
        <v>5</v>
      </c>
      <c r="B6" s="437" t="s">
        <v>6</v>
      </c>
      <c r="C6" s="405">
        <f>SUM(C7+C8)</f>
        <v>21185</v>
      </c>
      <c r="D6" s="405">
        <f t="shared" si="0"/>
        <v>0</v>
      </c>
      <c r="E6" s="405">
        <f>SUM(E7+E8)</f>
        <v>21185</v>
      </c>
      <c r="F6" s="431">
        <f>SUM(F7+F8)</f>
        <v>14247.4403</v>
      </c>
      <c r="G6" s="432">
        <f t="shared" si="1"/>
        <v>67.252491385414217</v>
      </c>
      <c r="H6" s="414">
        <f t="shared" si="2"/>
        <v>-6937.5596999999998</v>
      </c>
    </row>
    <row r="7" spans="1:8" ht="36" hidden="1" customHeight="1">
      <c r="A7" s="408" t="s">
        <v>7</v>
      </c>
      <c r="B7" s="406" t="s">
        <v>8</v>
      </c>
      <c r="C7" s="415"/>
      <c r="D7" s="405">
        <f t="shared" si="0"/>
        <v>0</v>
      </c>
      <c r="E7" s="415"/>
      <c r="F7" s="375"/>
      <c r="G7" s="432" t="e">
        <f t="shared" si="1"/>
        <v>#DIV/0!</v>
      </c>
      <c r="H7" s="414">
        <f t="shared" si="2"/>
        <v>0</v>
      </c>
    </row>
    <row r="8" spans="1:8">
      <c r="A8" s="438" t="s">
        <v>9</v>
      </c>
      <c r="B8" s="437" t="s">
        <v>10</v>
      </c>
      <c r="C8" s="405">
        <f>C9</f>
        <v>21185</v>
      </c>
      <c r="D8" s="405">
        <f t="shared" si="0"/>
        <v>0</v>
      </c>
      <c r="E8" s="431">
        <f>E9</f>
        <v>21185</v>
      </c>
      <c r="F8" s="431">
        <f>F9</f>
        <v>14247.4403</v>
      </c>
      <c r="G8" s="595">
        <f t="shared" si="1"/>
        <v>67.252491385414217</v>
      </c>
      <c r="H8" s="404">
        <f t="shared" si="2"/>
        <v>-6937.5596999999998</v>
      </c>
    </row>
    <row r="9" spans="1:8">
      <c r="A9" s="408" t="s">
        <v>9</v>
      </c>
      <c r="B9" s="406" t="s">
        <v>430</v>
      </c>
      <c r="C9" s="412">
        <v>21185</v>
      </c>
      <c r="D9" s="405">
        <f t="shared" si="0"/>
        <v>0</v>
      </c>
      <c r="E9" s="381">
        <v>21185</v>
      </c>
      <c r="F9" s="381">
        <v>14247.4403</v>
      </c>
      <c r="G9" s="595">
        <f t="shared" si="1"/>
        <v>67.252491385414217</v>
      </c>
      <c r="H9" s="404">
        <f t="shared" si="2"/>
        <v>-6937.5596999999998</v>
      </c>
    </row>
    <row r="10" spans="1:8">
      <c r="A10" s="438" t="s">
        <v>301</v>
      </c>
      <c r="B10" s="437" t="s">
        <v>302</v>
      </c>
      <c r="C10" s="412">
        <v>1546</v>
      </c>
      <c r="D10" s="405">
        <f t="shared" si="0"/>
        <v>0</v>
      </c>
      <c r="E10" s="431">
        <v>1546</v>
      </c>
      <c r="F10" s="431">
        <v>1019.7879</v>
      </c>
      <c r="G10" s="595">
        <f t="shared" si="1"/>
        <v>65.96299482535575</v>
      </c>
      <c r="H10" s="404">
        <f t="shared" si="2"/>
        <v>-526.21209999999996</v>
      </c>
    </row>
    <row r="11" spans="1:8">
      <c r="A11" s="438" t="s">
        <v>11</v>
      </c>
      <c r="B11" s="437" t="s">
        <v>12</v>
      </c>
      <c r="C11" s="405">
        <f>SUM(C12+C14+C13)</f>
        <v>6715</v>
      </c>
      <c r="D11" s="405">
        <f t="shared" si="0"/>
        <v>0</v>
      </c>
      <c r="E11" s="431">
        <f>SUM(E12+E14+E13)</f>
        <v>6715</v>
      </c>
      <c r="F11" s="431">
        <f>SUM(F12+F14+F13)</f>
        <v>3811.9287999999997</v>
      </c>
      <c r="G11" s="595">
        <f t="shared" si="1"/>
        <v>56.767368577810863</v>
      </c>
      <c r="H11" s="414">
        <f t="shared" si="2"/>
        <v>-2903.0712000000003</v>
      </c>
    </row>
    <row r="12" spans="1:8" ht="15" customHeight="1">
      <c r="A12" s="408" t="s">
        <v>13</v>
      </c>
      <c r="B12" s="406" t="s">
        <v>14</v>
      </c>
      <c r="C12" s="412">
        <v>5974</v>
      </c>
      <c r="D12" s="405">
        <f t="shared" si="0"/>
        <v>0</v>
      </c>
      <c r="E12" s="381">
        <v>5974</v>
      </c>
      <c r="F12" s="381">
        <v>3329.6133</v>
      </c>
      <c r="G12" s="595">
        <f t="shared" si="1"/>
        <v>55.735073652494137</v>
      </c>
      <c r="H12" s="404">
        <f t="shared" si="2"/>
        <v>-2644.3867</v>
      </c>
    </row>
    <row r="13" spans="1:8" ht="15" customHeight="1">
      <c r="A13" s="408" t="s">
        <v>247</v>
      </c>
      <c r="B13" s="406" t="s">
        <v>248</v>
      </c>
      <c r="C13" s="412">
        <v>23</v>
      </c>
      <c r="D13" s="405">
        <f t="shared" si="0"/>
        <v>0</v>
      </c>
      <c r="E13" s="381">
        <v>23</v>
      </c>
      <c r="F13" s="381">
        <v>9.9771999999999998</v>
      </c>
      <c r="G13" s="595">
        <f t="shared" si="1"/>
        <v>43.379130434782603</v>
      </c>
      <c r="H13" s="404">
        <f t="shared" si="2"/>
        <v>-13.0228</v>
      </c>
    </row>
    <row r="14" spans="1:8">
      <c r="A14" s="407" t="s">
        <v>258</v>
      </c>
      <c r="B14" s="439" t="s">
        <v>259</v>
      </c>
      <c r="C14" s="373">
        <v>718</v>
      </c>
      <c r="D14" s="405">
        <f t="shared" si="0"/>
        <v>0</v>
      </c>
      <c r="E14" s="376">
        <v>718</v>
      </c>
      <c r="F14" s="376">
        <v>472.3383</v>
      </c>
      <c r="G14" s="595">
        <f t="shared" si="1"/>
        <v>65.785278551532031</v>
      </c>
      <c r="H14" s="404">
        <f t="shared" si="2"/>
        <v>-245.6617</v>
      </c>
    </row>
    <row r="15" spans="1:8">
      <c r="A15" s="438" t="s">
        <v>15</v>
      </c>
      <c r="B15" s="437" t="s">
        <v>16</v>
      </c>
      <c r="C15" s="405">
        <f>C16+C17</f>
        <v>3399</v>
      </c>
      <c r="D15" s="405">
        <f>D16+D17</f>
        <v>0</v>
      </c>
      <c r="E15" s="431">
        <f>E16+E17</f>
        <v>3399</v>
      </c>
      <c r="F15" s="431">
        <f>F16+F17</f>
        <v>1905.6076</v>
      </c>
      <c r="G15" s="595">
        <f t="shared" si="1"/>
        <v>56.063771697558103</v>
      </c>
      <c r="H15" s="404">
        <f t="shared" si="2"/>
        <v>-1493.3924</v>
      </c>
    </row>
    <row r="16" spans="1:8">
      <c r="A16" s="408" t="s">
        <v>17</v>
      </c>
      <c r="B16" s="406" t="s">
        <v>18</v>
      </c>
      <c r="C16" s="412">
        <v>1659</v>
      </c>
      <c r="D16" s="405">
        <f>E16-C16</f>
        <v>0</v>
      </c>
      <c r="E16" s="381">
        <v>1659</v>
      </c>
      <c r="F16" s="381">
        <v>578.46749999999997</v>
      </c>
      <c r="G16" s="595">
        <f t="shared" si="1"/>
        <v>34.868444846292945</v>
      </c>
      <c r="H16" s="404">
        <f t="shared" si="2"/>
        <v>-1080.5325</v>
      </c>
    </row>
    <row r="17" spans="1:8">
      <c r="A17" s="438" t="s">
        <v>19</v>
      </c>
      <c r="B17" s="437" t="s">
        <v>631</v>
      </c>
      <c r="C17" s="405">
        <f>C18+C19</f>
        <v>1740</v>
      </c>
      <c r="D17" s="405">
        <f>D18+D19</f>
        <v>0</v>
      </c>
      <c r="E17" s="431">
        <f>E18+E19</f>
        <v>1740</v>
      </c>
      <c r="F17" s="431">
        <f>F18+F19</f>
        <v>1327.1401000000001</v>
      </c>
      <c r="G17" s="595">
        <f t="shared" si="1"/>
        <v>76.27241954022989</v>
      </c>
      <c r="H17" s="405">
        <f>F17-E17</f>
        <v>-412.85989999999993</v>
      </c>
    </row>
    <row r="18" spans="1:8" ht="36" customHeight="1">
      <c r="A18" s="408" t="s">
        <v>639</v>
      </c>
      <c r="B18" s="406" t="s">
        <v>793</v>
      </c>
      <c r="C18" s="412">
        <v>900</v>
      </c>
      <c r="D18" s="405">
        <f t="shared" ref="D18:D53" si="3">E18-C18</f>
        <v>0</v>
      </c>
      <c r="E18" s="381">
        <v>900</v>
      </c>
      <c r="F18" s="381">
        <v>358.98919999999998</v>
      </c>
      <c r="G18" s="595">
        <f t="shared" si="1"/>
        <v>39.887688888888889</v>
      </c>
      <c r="H18" s="404">
        <f t="shared" ref="H18:H68" si="4">SUM(F18-E18)</f>
        <v>-541.01080000000002</v>
      </c>
    </row>
    <row r="19" spans="1:8">
      <c r="A19" s="408" t="s">
        <v>640</v>
      </c>
      <c r="B19" s="406" t="s">
        <v>794</v>
      </c>
      <c r="C19" s="412">
        <v>840</v>
      </c>
      <c r="D19" s="405">
        <f t="shared" si="3"/>
        <v>0</v>
      </c>
      <c r="E19" s="381">
        <v>840</v>
      </c>
      <c r="F19" s="381">
        <v>968.15089999999998</v>
      </c>
      <c r="G19" s="595">
        <f t="shared" si="1"/>
        <v>115.25605952380951</v>
      </c>
      <c r="H19" s="404">
        <f t="shared" si="4"/>
        <v>128.15089999999998</v>
      </c>
    </row>
    <row r="20" spans="1:8">
      <c r="A20" s="438" t="s">
        <v>20</v>
      </c>
      <c r="B20" s="437" t="s">
        <v>21</v>
      </c>
      <c r="C20" s="405">
        <f>SUM(C21)</f>
        <v>500</v>
      </c>
      <c r="D20" s="405">
        <f t="shared" si="3"/>
        <v>0</v>
      </c>
      <c r="E20" s="431">
        <f>+E22</f>
        <v>500</v>
      </c>
      <c r="F20" s="405">
        <f>+F22</f>
        <v>247.2645</v>
      </c>
      <c r="G20" s="595">
        <f t="shared" si="1"/>
        <v>49.4529</v>
      </c>
      <c r="H20" s="414">
        <f t="shared" si="4"/>
        <v>-252.7355</v>
      </c>
    </row>
    <row r="21" spans="1:8" ht="96" hidden="1" customHeight="1">
      <c r="A21" s="408" t="s">
        <v>22</v>
      </c>
      <c r="B21" s="406" t="s">
        <v>23</v>
      </c>
      <c r="C21" s="412">
        <f>C22</f>
        <v>500</v>
      </c>
      <c r="D21" s="405">
        <f t="shared" si="3"/>
        <v>0</v>
      </c>
      <c r="E21" s="381">
        <f>E22</f>
        <v>500</v>
      </c>
      <c r="F21" s="381">
        <f>F22</f>
        <v>247.2645</v>
      </c>
      <c r="G21" s="595">
        <f t="shared" si="1"/>
        <v>49.4529</v>
      </c>
      <c r="H21" s="414">
        <f t="shared" si="4"/>
        <v>-252.7355</v>
      </c>
    </row>
    <row r="22" spans="1:8" ht="43.5" customHeight="1">
      <c r="A22" s="408" t="s">
        <v>24</v>
      </c>
      <c r="B22" s="406" t="s">
        <v>795</v>
      </c>
      <c r="C22" s="412">
        <v>500</v>
      </c>
      <c r="D22" s="405">
        <f t="shared" si="3"/>
        <v>0</v>
      </c>
      <c r="E22" s="381">
        <v>500</v>
      </c>
      <c r="F22" s="381">
        <v>247.2645</v>
      </c>
      <c r="G22" s="595">
        <f t="shared" si="1"/>
        <v>49.4529</v>
      </c>
      <c r="H22" s="404">
        <f t="shared" si="4"/>
        <v>-252.7355</v>
      </c>
    </row>
    <row r="23" spans="1:8" s="399" customFormat="1" ht="84" hidden="1" customHeight="1">
      <c r="A23" s="438" t="s">
        <v>156</v>
      </c>
      <c r="B23" s="437" t="s">
        <v>158</v>
      </c>
      <c r="C23" s="405"/>
      <c r="D23" s="405">
        <f t="shared" si="3"/>
        <v>0</v>
      </c>
      <c r="E23" s="431"/>
      <c r="F23" s="431"/>
      <c r="G23" s="432" t="e">
        <f t="shared" si="1"/>
        <v>#DIV/0!</v>
      </c>
      <c r="H23" s="414">
        <f t="shared" si="4"/>
        <v>0</v>
      </c>
    </row>
    <row r="24" spans="1:8" ht="72" hidden="1" customHeight="1">
      <c r="A24" s="408" t="s">
        <v>157</v>
      </c>
      <c r="B24" s="406" t="s">
        <v>159</v>
      </c>
      <c r="C24" s="412">
        <v>6</v>
      </c>
      <c r="D24" s="405">
        <f t="shared" si="3"/>
        <v>0</v>
      </c>
      <c r="E24" s="381">
        <v>6</v>
      </c>
      <c r="F24" s="381">
        <v>6.2149999999999999</v>
      </c>
      <c r="G24" s="432">
        <f t="shared" si="1"/>
        <v>103.58333333333333</v>
      </c>
      <c r="H24" s="414">
        <f t="shared" si="4"/>
        <v>0.21499999999999986</v>
      </c>
    </row>
    <row r="25" spans="1:8">
      <c r="A25" s="436" t="s">
        <v>0</v>
      </c>
      <c r="B25" s="435" t="s">
        <v>26</v>
      </c>
      <c r="C25" s="434">
        <f>SUM(C26+C31+C38+C52+C33+C35+C51)</f>
        <v>3579</v>
      </c>
      <c r="D25" s="434">
        <f t="shared" si="3"/>
        <v>0</v>
      </c>
      <c r="E25" s="433">
        <f>SUM(E26+E31+E38+E52+E33+E35+E51)</f>
        <v>3579</v>
      </c>
      <c r="F25" s="433">
        <f>SUM(F26+F31+F38+F52+F33+F35+F51)</f>
        <v>1846.3788000000002</v>
      </c>
      <c r="G25" s="432">
        <f t="shared" si="1"/>
        <v>51.589237217099758</v>
      </c>
      <c r="H25" s="432">
        <f t="shared" si="4"/>
        <v>-1732.6211999999998</v>
      </c>
    </row>
    <row r="26" spans="1:8" ht="36">
      <c r="A26" s="438" t="s">
        <v>27</v>
      </c>
      <c r="B26" s="437" t="s">
        <v>28</v>
      </c>
      <c r="C26" s="405">
        <f>C29+C27</f>
        <v>2837</v>
      </c>
      <c r="D26" s="405">
        <f t="shared" si="3"/>
        <v>0</v>
      </c>
      <c r="E26" s="431">
        <f>E29+E27</f>
        <v>2837</v>
      </c>
      <c r="F26" s="431">
        <f>F29+F27</f>
        <v>1433.7236</v>
      </c>
      <c r="G26" s="595">
        <f t="shared" si="1"/>
        <v>50.536609094113501</v>
      </c>
      <c r="H26" s="414">
        <f t="shared" si="4"/>
        <v>-1403.2764</v>
      </c>
    </row>
    <row r="27" spans="1:8" ht="84" hidden="1" customHeight="1">
      <c r="A27" s="408" t="s">
        <v>29</v>
      </c>
      <c r="B27" s="406" t="s">
        <v>30</v>
      </c>
      <c r="C27" s="412">
        <f>C28</f>
        <v>870</v>
      </c>
      <c r="D27" s="405">
        <f t="shared" si="3"/>
        <v>0</v>
      </c>
      <c r="E27" s="381">
        <f>E28</f>
        <v>870</v>
      </c>
      <c r="F27" s="381">
        <f>F28</f>
        <v>646.06799999999998</v>
      </c>
      <c r="G27" s="595">
        <f t="shared" si="1"/>
        <v>74.260689655172413</v>
      </c>
      <c r="H27" s="414">
        <f t="shared" si="4"/>
        <v>-223.93200000000002</v>
      </c>
    </row>
    <row r="28" spans="1:8" ht="60">
      <c r="A28" s="408" t="s">
        <v>31</v>
      </c>
      <c r="B28" s="406" t="s">
        <v>798</v>
      </c>
      <c r="C28" s="412">
        <v>870</v>
      </c>
      <c r="D28" s="405">
        <f t="shared" si="3"/>
        <v>0</v>
      </c>
      <c r="E28" s="381">
        <v>870</v>
      </c>
      <c r="F28" s="381">
        <v>646.06799999999998</v>
      </c>
      <c r="G28" s="595">
        <f t="shared" si="1"/>
        <v>74.260689655172413</v>
      </c>
      <c r="H28" s="404">
        <f t="shared" si="4"/>
        <v>-223.93200000000002</v>
      </c>
    </row>
    <row r="29" spans="1:8" ht="96" hidden="1" customHeight="1">
      <c r="A29" s="408" t="s">
        <v>33</v>
      </c>
      <c r="B29" s="406" t="s">
        <v>34</v>
      </c>
      <c r="C29" s="412">
        <f>C30</f>
        <v>1967</v>
      </c>
      <c r="D29" s="405">
        <f t="shared" si="3"/>
        <v>0</v>
      </c>
      <c r="E29" s="381">
        <f>E30</f>
        <v>1967</v>
      </c>
      <c r="F29" s="381">
        <f>F30</f>
        <v>787.65560000000005</v>
      </c>
      <c r="G29" s="595">
        <f t="shared" si="1"/>
        <v>40.043497712252162</v>
      </c>
      <c r="H29" s="404">
        <f t="shared" si="4"/>
        <v>-1179.3444</v>
      </c>
    </row>
    <row r="30" spans="1:8" ht="24">
      <c r="A30" s="408" t="s">
        <v>35</v>
      </c>
      <c r="B30" s="406" t="s">
        <v>36</v>
      </c>
      <c r="C30" s="412">
        <v>1967</v>
      </c>
      <c r="D30" s="405">
        <f t="shared" si="3"/>
        <v>0</v>
      </c>
      <c r="E30" s="381">
        <v>1967</v>
      </c>
      <c r="F30" s="381">
        <v>787.65560000000005</v>
      </c>
      <c r="G30" s="595">
        <f t="shared" si="1"/>
        <v>40.043497712252162</v>
      </c>
      <c r="H30" s="404">
        <f t="shared" si="4"/>
        <v>-1179.3444</v>
      </c>
    </row>
    <row r="31" spans="1:8" ht="24">
      <c r="A31" s="438" t="s">
        <v>37</v>
      </c>
      <c r="B31" s="437" t="s">
        <v>38</v>
      </c>
      <c r="C31" s="405">
        <f>C32</f>
        <v>290</v>
      </c>
      <c r="D31" s="405">
        <f t="shared" si="3"/>
        <v>0</v>
      </c>
      <c r="E31" s="431">
        <f>E32</f>
        <v>290</v>
      </c>
      <c r="F31" s="431">
        <f>F32</f>
        <v>124.4072</v>
      </c>
      <c r="G31" s="595">
        <f t="shared" si="1"/>
        <v>42.899034482758623</v>
      </c>
      <c r="H31" s="414">
        <f t="shared" si="4"/>
        <v>-165.59280000000001</v>
      </c>
    </row>
    <row r="32" spans="1:8" ht="22.5">
      <c r="A32" s="408" t="s">
        <v>39</v>
      </c>
      <c r="B32" s="406" t="s">
        <v>40</v>
      </c>
      <c r="C32" s="412">
        <v>290</v>
      </c>
      <c r="D32" s="405">
        <f t="shared" si="3"/>
        <v>0</v>
      </c>
      <c r="E32" s="381">
        <v>290</v>
      </c>
      <c r="F32" s="381">
        <v>124.4072</v>
      </c>
      <c r="G32" s="595">
        <f t="shared" si="1"/>
        <v>42.899034482758623</v>
      </c>
      <c r="H32" s="404">
        <f t="shared" si="4"/>
        <v>-165.59280000000001</v>
      </c>
    </row>
    <row r="33" spans="1:8" s="399" customFormat="1" ht="24">
      <c r="A33" s="438" t="s">
        <v>161</v>
      </c>
      <c r="B33" s="437" t="s">
        <v>160</v>
      </c>
      <c r="C33" s="431">
        <f>C34</f>
        <v>62</v>
      </c>
      <c r="D33" s="405">
        <f t="shared" si="3"/>
        <v>0</v>
      </c>
      <c r="E33" s="431">
        <f>E34</f>
        <v>62</v>
      </c>
      <c r="F33" s="431">
        <f>F34</f>
        <v>36.464500000000001</v>
      </c>
      <c r="G33" s="595">
        <f t="shared" si="1"/>
        <v>58.813709677419354</v>
      </c>
      <c r="H33" s="414">
        <f t="shared" si="4"/>
        <v>-25.535499999999999</v>
      </c>
    </row>
    <row r="34" spans="1:8" ht="36">
      <c r="A34" s="408" t="s">
        <v>162</v>
      </c>
      <c r="B34" s="406" t="s">
        <v>163</v>
      </c>
      <c r="C34" s="412">
        <v>62</v>
      </c>
      <c r="D34" s="405">
        <f t="shared" si="3"/>
        <v>0</v>
      </c>
      <c r="E34" s="381">
        <v>62</v>
      </c>
      <c r="F34" s="381">
        <v>36.464500000000001</v>
      </c>
      <c r="G34" s="595">
        <f t="shared" si="1"/>
        <v>58.813709677419354</v>
      </c>
      <c r="H34" s="404">
        <f t="shared" si="4"/>
        <v>-25.535499999999999</v>
      </c>
    </row>
    <row r="35" spans="1:8" s="399" customFormat="1" ht="24">
      <c r="A35" s="438" t="s">
        <v>164</v>
      </c>
      <c r="B35" s="437" t="s">
        <v>165</v>
      </c>
      <c r="C35" s="431">
        <f>C37+C36</f>
        <v>200</v>
      </c>
      <c r="D35" s="405">
        <f t="shared" si="3"/>
        <v>0</v>
      </c>
      <c r="E35" s="431">
        <f>E37+E36</f>
        <v>200</v>
      </c>
      <c r="F35" s="431">
        <f>F37+F36</f>
        <v>151.3443</v>
      </c>
      <c r="G35" s="595">
        <f t="shared" si="1"/>
        <v>75.672150000000002</v>
      </c>
      <c r="H35" s="414">
        <f t="shared" si="4"/>
        <v>-48.655699999999996</v>
      </c>
    </row>
    <row r="36" spans="1:8" ht="22.5" hidden="1">
      <c r="A36" s="408" t="s">
        <v>239</v>
      </c>
      <c r="B36" s="406" t="s">
        <v>240</v>
      </c>
      <c r="C36" s="381">
        <v>0</v>
      </c>
      <c r="D36" s="405">
        <f t="shared" si="3"/>
        <v>0</v>
      </c>
      <c r="E36" s="381">
        <v>0</v>
      </c>
      <c r="F36" s="381">
        <v>0</v>
      </c>
      <c r="G36" s="595" t="e">
        <f t="shared" si="1"/>
        <v>#DIV/0!</v>
      </c>
      <c r="H36" s="404">
        <f t="shared" si="4"/>
        <v>0</v>
      </c>
    </row>
    <row r="37" spans="1:8" ht="12.75" customHeight="1">
      <c r="A37" s="408" t="s">
        <v>41</v>
      </c>
      <c r="B37" s="406" t="s">
        <v>166</v>
      </c>
      <c r="C37" s="412">
        <v>200</v>
      </c>
      <c r="D37" s="405">
        <f t="shared" si="3"/>
        <v>0</v>
      </c>
      <c r="E37" s="381">
        <v>200</v>
      </c>
      <c r="F37" s="381">
        <v>151.3443</v>
      </c>
      <c r="G37" s="595">
        <f t="shared" si="1"/>
        <v>75.672150000000002</v>
      </c>
      <c r="H37" s="404">
        <f t="shared" si="4"/>
        <v>-48.655699999999996</v>
      </c>
    </row>
    <row r="38" spans="1:8" ht="13.5" customHeight="1">
      <c r="A38" s="438" t="s">
        <v>42</v>
      </c>
      <c r="B38" s="437" t="s">
        <v>43</v>
      </c>
      <c r="C38" s="405">
        <v>170</v>
      </c>
      <c r="D38" s="405">
        <f t="shared" si="3"/>
        <v>0</v>
      </c>
      <c r="E38" s="431">
        <v>170</v>
      </c>
      <c r="F38" s="431">
        <v>100.4392</v>
      </c>
      <c r="G38" s="595">
        <f t="shared" si="1"/>
        <v>59.081882352941179</v>
      </c>
      <c r="H38" s="414">
        <f t="shared" si="4"/>
        <v>-69.5608</v>
      </c>
    </row>
    <row r="39" spans="1:8" ht="60" hidden="1" customHeight="1">
      <c r="A39" s="408" t="s">
        <v>44</v>
      </c>
      <c r="B39" s="406" t="s">
        <v>45</v>
      </c>
      <c r="C39" s="412"/>
      <c r="D39" s="405">
        <f t="shared" si="3"/>
        <v>0</v>
      </c>
      <c r="E39" s="381"/>
      <c r="F39" s="381"/>
      <c r="G39" s="595" t="e">
        <f t="shared" si="1"/>
        <v>#DIV/0!</v>
      </c>
      <c r="H39" s="404">
        <f t="shared" si="4"/>
        <v>0</v>
      </c>
    </row>
    <row r="40" spans="1:8" ht="60" hidden="1" customHeight="1">
      <c r="A40" s="408" t="s">
        <v>46</v>
      </c>
      <c r="B40" s="406" t="s">
        <v>45</v>
      </c>
      <c r="C40" s="412"/>
      <c r="D40" s="405">
        <f t="shared" si="3"/>
        <v>0</v>
      </c>
      <c r="E40" s="381"/>
      <c r="F40" s="381"/>
      <c r="G40" s="595" t="e">
        <f t="shared" si="1"/>
        <v>#DIV/0!</v>
      </c>
      <c r="H40" s="404">
        <f t="shared" si="4"/>
        <v>0</v>
      </c>
    </row>
    <row r="41" spans="1:8" ht="72" hidden="1" customHeight="1">
      <c r="A41" s="408" t="s">
        <v>47</v>
      </c>
      <c r="B41" s="406" t="s">
        <v>48</v>
      </c>
      <c r="C41" s="412"/>
      <c r="D41" s="405">
        <f t="shared" si="3"/>
        <v>0</v>
      </c>
      <c r="E41" s="381"/>
      <c r="F41" s="381"/>
      <c r="G41" s="595" t="e">
        <f t="shared" si="1"/>
        <v>#DIV/0!</v>
      </c>
      <c r="H41" s="404">
        <f t="shared" si="4"/>
        <v>0</v>
      </c>
    </row>
    <row r="42" spans="1:8" ht="60" hidden="1" customHeight="1">
      <c r="A42" s="408" t="s">
        <v>49</v>
      </c>
      <c r="B42" s="406" t="s">
        <v>50</v>
      </c>
      <c r="C42" s="412"/>
      <c r="D42" s="405">
        <f t="shared" si="3"/>
        <v>0</v>
      </c>
      <c r="E42" s="381"/>
      <c r="F42" s="381"/>
      <c r="G42" s="595" t="e">
        <f t="shared" si="1"/>
        <v>#DIV/0!</v>
      </c>
      <c r="H42" s="404">
        <f t="shared" si="4"/>
        <v>0</v>
      </c>
    </row>
    <row r="43" spans="1:8" ht="144" hidden="1" customHeight="1">
      <c r="A43" s="408" t="s">
        <v>51</v>
      </c>
      <c r="B43" s="406" t="s">
        <v>52</v>
      </c>
      <c r="C43" s="412"/>
      <c r="D43" s="405">
        <f t="shared" si="3"/>
        <v>0</v>
      </c>
      <c r="E43" s="381"/>
      <c r="F43" s="381"/>
      <c r="G43" s="595" t="e">
        <f t="shared" si="1"/>
        <v>#DIV/0!</v>
      </c>
      <c r="H43" s="404">
        <f t="shared" si="4"/>
        <v>0</v>
      </c>
    </row>
    <row r="44" spans="1:8" ht="60" hidden="1" customHeight="1">
      <c r="A44" s="408" t="s">
        <v>53</v>
      </c>
      <c r="B44" s="406" t="s">
        <v>54</v>
      </c>
      <c r="C44" s="412"/>
      <c r="D44" s="405">
        <f t="shared" si="3"/>
        <v>0</v>
      </c>
      <c r="E44" s="381"/>
      <c r="F44" s="381"/>
      <c r="G44" s="595" t="e">
        <f t="shared" si="1"/>
        <v>#DIV/0!</v>
      </c>
      <c r="H44" s="404">
        <f t="shared" si="4"/>
        <v>0</v>
      </c>
    </row>
    <row r="45" spans="1:8" ht="60" hidden="1" customHeight="1">
      <c r="A45" s="408" t="s">
        <v>55</v>
      </c>
      <c r="B45" s="406" t="s">
        <v>56</v>
      </c>
      <c r="C45" s="412"/>
      <c r="D45" s="405">
        <f t="shared" si="3"/>
        <v>0</v>
      </c>
      <c r="E45" s="381"/>
      <c r="F45" s="381"/>
      <c r="G45" s="595" t="e">
        <f t="shared" si="1"/>
        <v>#DIV/0!</v>
      </c>
      <c r="H45" s="404">
        <f t="shared" si="4"/>
        <v>0</v>
      </c>
    </row>
    <row r="46" spans="1:8" ht="120" hidden="1" customHeight="1">
      <c r="A46" s="408" t="s">
        <v>57</v>
      </c>
      <c r="B46" s="406" t="s">
        <v>58</v>
      </c>
      <c r="C46" s="412"/>
      <c r="D46" s="405">
        <f t="shared" si="3"/>
        <v>0</v>
      </c>
      <c r="E46" s="381"/>
      <c r="F46" s="381"/>
      <c r="G46" s="595" t="e">
        <f t="shared" si="1"/>
        <v>#DIV/0!</v>
      </c>
      <c r="H46" s="404">
        <f t="shared" si="4"/>
        <v>0</v>
      </c>
    </row>
    <row r="47" spans="1:8" ht="72" hidden="1" customHeight="1">
      <c r="A47" s="408" t="s">
        <v>260</v>
      </c>
      <c r="B47" s="406" t="s">
        <v>261</v>
      </c>
      <c r="C47" s="412"/>
      <c r="D47" s="405">
        <f t="shared" si="3"/>
        <v>0</v>
      </c>
      <c r="E47" s="381"/>
      <c r="F47" s="381"/>
      <c r="G47" s="595" t="e">
        <f t="shared" si="1"/>
        <v>#DIV/0!</v>
      </c>
      <c r="H47" s="404">
        <f t="shared" si="4"/>
        <v>0</v>
      </c>
    </row>
    <row r="48" spans="1:8" ht="25.5" hidden="1" customHeight="1">
      <c r="A48" s="408" t="s">
        <v>153</v>
      </c>
      <c r="B48" s="406" t="s">
        <v>154</v>
      </c>
      <c r="C48" s="412"/>
      <c r="D48" s="405">
        <f t="shared" si="3"/>
        <v>0</v>
      </c>
      <c r="E48" s="381"/>
      <c r="F48" s="381"/>
      <c r="G48" s="595" t="e">
        <f t="shared" si="1"/>
        <v>#DIV/0!</v>
      </c>
      <c r="H48" s="404">
        <f t="shared" si="4"/>
        <v>0</v>
      </c>
    </row>
    <row r="49" spans="1:9" ht="60" hidden="1" customHeight="1">
      <c r="A49" s="408" t="s">
        <v>59</v>
      </c>
      <c r="B49" s="406" t="s">
        <v>60</v>
      </c>
      <c r="C49" s="412"/>
      <c r="D49" s="405">
        <f t="shared" si="3"/>
        <v>0</v>
      </c>
      <c r="E49" s="381"/>
      <c r="F49" s="381"/>
      <c r="G49" s="595" t="e">
        <f t="shared" si="1"/>
        <v>#DIV/0!</v>
      </c>
      <c r="H49" s="404">
        <f t="shared" si="4"/>
        <v>0</v>
      </c>
    </row>
    <row r="50" spans="1:9" ht="108" hidden="1" customHeight="1">
      <c r="A50" s="408" t="s">
        <v>61</v>
      </c>
      <c r="B50" s="406" t="s">
        <v>62</v>
      </c>
      <c r="C50" s="412"/>
      <c r="D50" s="405">
        <f t="shared" si="3"/>
        <v>0</v>
      </c>
      <c r="E50" s="381"/>
      <c r="F50" s="381"/>
      <c r="G50" s="595" t="e">
        <f t="shared" si="1"/>
        <v>#DIV/0!</v>
      </c>
      <c r="H50" s="404">
        <f t="shared" si="4"/>
        <v>0</v>
      </c>
    </row>
    <row r="51" spans="1:9">
      <c r="A51" s="438" t="s">
        <v>262</v>
      </c>
      <c r="B51" s="406" t="s">
        <v>263</v>
      </c>
      <c r="C51" s="412">
        <v>20</v>
      </c>
      <c r="D51" s="405">
        <f t="shared" si="3"/>
        <v>0</v>
      </c>
      <c r="E51" s="381">
        <v>20</v>
      </c>
      <c r="F51" s="381">
        <v>0</v>
      </c>
      <c r="G51" s="595">
        <f t="shared" si="1"/>
        <v>0</v>
      </c>
      <c r="H51" s="404">
        <f t="shared" si="4"/>
        <v>-20</v>
      </c>
    </row>
    <row r="52" spans="1:9" hidden="1">
      <c r="A52" s="438" t="s">
        <v>63</v>
      </c>
      <c r="B52" s="437" t="s">
        <v>64</v>
      </c>
      <c r="C52" s="431">
        <v>0</v>
      </c>
      <c r="D52" s="405">
        <f t="shared" si="3"/>
        <v>0</v>
      </c>
      <c r="E52" s="431">
        <v>0</v>
      </c>
      <c r="F52" s="431">
        <v>0</v>
      </c>
      <c r="G52" s="595" t="e">
        <f t="shared" si="1"/>
        <v>#DIV/0!</v>
      </c>
      <c r="H52" s="404">
        <f t="shared" si="4"/>
        <v>0</v>
      </c>
    </row>
    <row r="53" spans="1:9">
      <c r="A53" s="436" t="s">
        <v>65</v>
      </c>
      <c r="B53" s="435" t="s">
        <v>186</v>
      </c>
      <c r="C53" s="434">
        <f>C5+C25</f>
        <v>36924</v>
      </c>
      <c r="D53" s="434">
        <f t="shared" si="3"/>
        <v>0</v>
      </c>
      <c r="E53" s="1071">
        <f>E5+E25</f>
        <v>36924</v>
      </c>
      <c r="F53" s="1071">
        <f>SUM(F5+F25)</f>
        <v>23078.407899999998</v>
      </c>
      <c r="G53" s="432">
        <f t="shared" si="1"/>
        <v>62.502458834362471</v>
      </c>
      <c r="H53" s="432">
        <f t="shared" si="4"/>
        <v>-13845.592100000002</v>
      </c>
      <c r="I53" s="398"/>
    </row>
    <row r="54" spans="1:9" s="399" customFormat="1" ht="24">
      <c r="A54" s="402" t="s">
        <v>671</v>
      </c>
      <c r="B54" s="401" t="s">
        <v>177</v>
      </c>
      <c r="C54" s="185">
        <f>C55+C56</f>
        <v>154669.09999999998</v>
      </c>
      <c r="D54" s="186">
        <f>D55+D56</f>
        <v>0</v>
      </c>
      <c r="E54" s="185">
        <f>E55+E56</f>
        <v>159296.28</v>
      </c>
      <c r="F54" s="185">
        <f>F55+F56</f>
        <v>129741.9</v>
      </c>
      <c r="G54" s="400">
        <f t="shared" si="1"/>
        <v>81.446911377968149</v>
      </c>
      <c r="H54" s="400">
        <f t="shared" si="4"/>
        <v>-29554.380000000005</v>
      </c>
    </row>
    <row r="55" spans="1:9" ht="24">
      <c r="A55" s="408" t="s">
        <v>652</v>
      </c>
      <c r="B55" s="406" t="s">
        <v>178</v>
      </c>
      <c r="C55" s="382">
        <v>143502.29999999999</v>
      </c>
      <c r="D55" s="405">
        <v>0</v>
      </c>
      <c r="E55" s="382">
        <v>143502.29999999999</v>
      </c>
      <c r="F55" s="16">
        <v>117445.2</v>
      </c>
      <c r="G55" s="595">
        <f t="shared" si="1"/>
        <v>81.842033193893059</v>
      </c>
      <c r="H55" s="404">
        <f t="shared" si="4"/>
        <v>-26057.099999999991</v>
      </c>
    </row>
    <row r="56" spans="1:9" ht="24">
      <c r="A56" s="407" t="s">
        <v>653</v>
      </c>
      <c r="B56" s="406" t="s">
        <v>155</v>
      </c>
      <c r="C56" s="382">
        <v>11166.8</v>
      </c>
      <c r="D56" s="431"/>
      <c r="E56" s="381">
        <v>15793.98</v>
      </c>
      <c r="F56" s="430">
        <v>12296.7</v>
      </c>
      <c r="G56" s="595">
        <f t="shared" si="1"/>
        <v>77.85687964654889</v>
      </c>
      <c r="H56" s="404">
        <f t="shared" si="4"/>
        <v>-3497.2799999999988</v>
      </c>
    </row>
    <row r="57" spans="1:9" ht="24">
      <c r="A57" s="402" t="s">
        <v>654</v>
      </c>
      <c r="B57" s="401" t="s">
        <v>458</v>
      </c>
      <c r="C57" s="429">
        <f>SUM(C58:C69)</f>
        <v>36929.9</v>
      </c>
      <c r="D57" s="429">
        <f>SUM(D58:D69)</f>
        <v>26186.800000000003</v>
      </c>
      <c r="E57" s="429">
        <f>SUM(E58:E66)</f>
        <v>70498.345000000001</v>
      </c>
      <c r="F57" s="429">
        <f>SUM(F58:F69)</f>
        <v>44975.5</v>
      </c>
      <c r="G57" s="400">
        <f t="shared" si="1"/>
        <v>63.796533095918768</v>
      </c>
      <c r="H57" s="403">
        <f t="shared" si="4"/>
        <v>-25522.845000000001</v>
      </c>
    </row>
    <row r="58" spans="1:9" s="387" customFormat="1" ht="38.25" customHeight="1">
      <c r="A58" s="417" t="s">
        <v>672</v>
      </c>
      <c r="B58" s="413" t="s">
        <v>797</v>
      </c>
      <c r="C58" s="375">
        <v>0</v>
      </c>
      <c r="D58" s="405">
        <f t="shared" ref="D58:D69" si="5">E58-C58</f>
        <v>28003.4</v>
      </c>
      <c r="E58" s="381">
        <v>28003.4</v>
      </c>
      <c r="F58" s="381">
        <v>21126</v>
      </c>
      <c r="G58" s="595">
        <f t="shared" si="1"/>
        <v>75.44083932665319</v>
      </c>
      <c r="H58" s="415">
        <f t="shared" si="4"/>
        <v>-6877.4000000000015</v>
      </c>
    </row>
    <row r="59" spans="1:9" s="387" customFormat="1" ht="52.5" hidden="1" customHeight="1">
      <c r="A59" s="417" t="s">
        <v>655</v>
      </c>
      <c r="B59" s="413" t="s">
        <v>781</v>
      </c>
      <c r="C59" s="415">
        <v>0</v>
      </c>
      <c r="D59" s="405">
        <f t="shared" si="5"/>
        <v>0</v>
      </c>
      <c r="E59" s="381">
        <v>0</v>
      </c>
      <c r="F59" s="412"/>
      <c r="G59" s="595" t="e">
        <f t="shared" si="1"/>
        <v>#DIV/0!</v>
      </c>
      <c r="H59" s="415">
        <f t="shared" si="4"/>
        <v>0</v>
      </c>
    </row>
    <row r="60" spans="1:9" s="426" customFormat="1" ht="24" customHeight="1">
      <c r="A60" s="428" t="s">
        <v>656</v>
      </c>
      <c r="B60" s="422" t="s">
        <v>853</v>
      </c>
      <c r="C60" s="419">
        <v>2.1</v>
      </c>
      <c r="D60" s="425">
        <f t="shared" si="5"/>
        <v>-2.1</v>
      </c>
      <c r="E60" s="424">
        <v>0</v>
      </c>
      <c r="F60" s="419">
        <v>0</v>
      </c>
      <c r="G60" s="595">
        <v>0</v>
      </c>
      <c r="H60" s="415">
        <f t="shared" si="4"/>
        <v>0</v>
      </c>
    </row>
    <row r="61" spans="1:9" s="426" customFormat="1" ht="24" customHeight="1">
      <c r="A61" s="428" t="s">
        <v>658</v>
      </c>
      <c r="B61" s="682" t="s">
        <v>916</v>
      </c>
      <c r="C61" s="419"/>
      <c r="D61" s="425"/>
      <c r="E61" s="424">
        <v>950</v>
      </c>
      <c r="F61" s="419">
        <v>868.6</v>
      </c>
      <c r="G61" s="595">
        <f t="shared" si="1"/>
        <v>91.431578947368422</v>
      </c>
      <c r="H61" s="415">
        <f t="shared" si="4"/>
        <v>-81.399999999999977</v>
      </c>
    </row>
    <row r="62" spans="1:9" s="426" customFormat="1" ht="24" customHeight="1">
      <c r="A62" s="428" t="s">
        <v>947</v>
      </c>
      <c r="B62" s="683" t="s">
        <v>946</v>
      </c>
      <c r="C62" s="419"/>
      <c r="D62" s="425"/>
      <c r="E62" s="424">
        <v>6431.6450000000004</v>
      </c>
      <c r="F62" s="419">
        <v>1587.5</v>
      </c>
      <c r="G62" s="595"/>
      <c r="H62" s="415"/>
    </row>
    <row r="63" spans="1:9" s="426" customFormat="1" ht="43.5" customHeight="1">
      <c r="A63" s="428" t="s">
        <v>657</v>
      </c>
      <c r="B63" s="422" t="s">
        <v>852</v>
      </c>
      <c r="C63" s="419">
        <v>3330</v>
      </c>
      <c r="D63" s="425">
        <f t="shared" si="5"/>
        <v>-1814.5</v>
      </c>
      <c r="E63" s="424">
        <v>1515.5</v>
      </c>
      <c r="F63" s="419">
        <v>1515.5</v>
      </c>
      <c r="G63" s="595">
        <f t="shared" si="1"/>
        <v>100</v>
      </c>
      <c r="H63" s="427">
        <f t="shared" si="4"/>
        <v>0</v>
      </c>
    </row>
    <row r="64" spans="1:9" s="426" customFormat="1" ht="26.25" hidden="1" customHeight="1">
      <c r="A64" s="428" t="s">
        <v>658</v>
      </c>
      <c r="B64" s="422" t="s">
        <v>780</v>
      </c>
      <c r="C64" s="419">
        <v>0</v>
      </c>
      <c r="D64" s="420">
        <f t="shared" si="5"/>
        <v>0</v>
      </c>
      <c r="E64" s="424">
        <v>0</v>
      </c>
      <c r="F64" s="419">
        <v>0</v>
      </c>
      <c r="G64" s="595" t="e">
        <f t="shared" si="1"/>
        <v>#DIV/0!</v>
      </c>
      <c r="H64" s="427">
        <f t="shared" si="4"/>
        <v>0</v>
      </c>
    </row>
    <row r="65" spans="1:8" s="388" customFormat="1" ht="38.25" hidden="1" customHeight="1">
      <c r="A65" s="423" t="s">
        <v>659</v>
      </c>
      <c r="B65" s="422" t="s">
        <v>779</v>
      </c>
      <c r="C65" s="421">
        <v>0</v>
      </c>
      <c r="D65" s="425">
        <f t="shared" si="5"/>
        <v>0</v>
      </c>
      <c r="E65" s="424"/>
      <c r="F65" s="424"/>
      <c r="G65" s="595" t="e">
        <f t="shared" si="1"/>
        <v>#DIV/0!</v>
      </c>
      <c r="H65" s="418">
        <f t="shared" si="4"/>
        <v>0</v>
      </c>
    </row>
    <row r="66" spans="1:8" s="388" customFormat="1" ht="38.25" customHeight="1">
      <c r="A66" s="423" t="s">
        <v>660</v>
      </c>
      <c r="B66" s="422" t="s">
        <v>459</v>
      </c>
      <c r="C66" s="421">
        <v>33597.800000000003</v>
      </c>
      <c r="D66" s="425">
        <f t="shared" si="5"/>
        <v>0</v>
      </c>
      <c r="E66" s="424">
        <v>33597.800000000003</v>
      </c>
      <c r="F66" s="424">
        <v>19877.900000000001</v>
      </c>
      <c r="G66" s="595">
        <f t="shared" si="1"/>
        <v>59.164290519022082</v>
      </c>
      <c r="H66" s="418">
        <f t="shared" si="4"/>
        <v>-13719.900000000001</v>
      </c>
    </row>
    <row r="67" spans="1:8" s="388" customFormat="1" ht="25.5" hidden="1" customHeight="1">
      <c r="A67" s="423" t="s">
        <v>660</v>
      </c>
      <c r="B67" s="422" t="s">
        <v>460</v>
      </c>
      <c r="C67" s="421">
        <v>0</v>
      </c>
      <c r="D67" s="420">
        <f t="shared" si="5"/>
        <v>0</v>
      </c>
      <c r="E67" s="424">
        <v>0</v>
      </c>
      <c r="F67" s="419"/>
      <c r="G67" s="432" t="e">
        <f t="shared" si="1"/>
        <v>#DIV/0!</v>
      </c>
      <c r="H67" s="418">
        <f t="shared" si="4"/>
        <v>0</v>
      </c>
    </row>
    <row r="68" spans="1:8" s="388" customFormat="1" ht="25.5" hidden="1" customHeight="1">
      <c r="A68" s="417" t="s">
        <v>660</v>
      </c>
      <c r="B68" s="413" t="s">
        <v>778</v>
      </c>
      <c r="C68" s="375"/>
      <c r="D68" s="405">
        <f t="shared" si="5"/>
        <v>0</v>
      </c>
      <c r="E68" s="381">
        <v>0</v>
      </c>
      <c r="F68" s="416"/>
      <c r="G68" s="432" t="e">
        <f t="shared" si="1"/>
        <v>#DIV/0!</v>
      </c>
      <c r="H68" s="418">
        <f t="shared" si="4"/>
        <v>0</v>
      </c>
    </row>
    <row r="69" spans="1:8" s="387" customFormat="1" ht="42" hidden="1" customHeight="1">
      <c r="A69" s="417" t="s">
        <v>660</v>
      </c>
      <c r="B69" s="413" t="s">
        <v>777</v>
      </c>
      <c r="C69" s="375"/>
      <c r="D69" s="405">
        <f t="shared" si="5"/>
        <v>0</v>
      </c>
      <c r="E69" s="381">
        <v>0</v>
      </c>
      <c r="F69" s="416"/>
      <c r="G69" s="432" t="e">
        <f t="shared" si="1"/>
        <v>#DIV/0!</v>
      </c>
      <c r="H69" s="415">
        <f t="shared" ref="H69:H99" si="6">SUM(F69-E69)</f>
        <v>0</v>
      </c>
    </row>
    <row r="70" spans="1:8" ht="27.75" customHeight="1">
      <c r="A70" s="402" t="s">
        <v>661</v>
      </c>
      <c r="B70" s="401" t="s">
        <v>183</v>
      </c>
      <c r="C70" s="409">
        <f>SUM(C71:C94)</f>
        <v>455743.20000000007</v>
      </c>
      <c r="D70" s="409">
        <f>SUM(D71:D94)</f>
        <v>49371.441000000006</v>
      </c>
      <c r="E70" s="409">
        <f>SUM(E71:E94)</f>
        <v>511086.2410000001</v>
      </c>
      <c r="F70" s="409">
        <f>SUM(F71:F94)</f>
        <v>372546.52702000004</v>
      </c>
      <c r="G70" s="400">
        <f t="shared" si="1"/>
        <v>72.893084793491823</v>
      </c>
      <c r="H70" s="403">
        <f t="shared" si="6"/>
        <v>-138539.71398000006</v>
      </c>
    </row>
    <row r="71" spans="1:8" s="399" customFormat="1" ht="36">
      <c r="A71" s="417" t="s">
        <v>662</v>
      </c>
      <c r="B71" s="413" t="s">
        <v>180</v>
      </c>
      <c r="C71" s="375">
        <v>11.2</v>
      </c>
      <c r="D71" s="405">
        <f t="shared" ref="D71:D90" si="7">E71-C71</f>
        <v>0</v>
      </c>
      <c r="E71" s="381">
        <v>11.2</v>
      </c>
      <c r="F71" s="416">
        <v>8.3000000000000007</v>
      </c>
      <c r="G71" s="595">
        <f t="shared" ref="G71:G99" si="8">SUM(F71/E71%)</f>
        <v>74.107142857142875</v>
      </c>
      <c r="H71" s="595">
        <f t="shared" si="6"/>
        <v>-2.8999999999999986</v>
      </c>
    </row>
    <row r="72" spans="1:8" ht="36">
      <c r="A72" s="417" t="s">
        <v>663</v>
      </c>
      <c r="B72" s="413" t="s">
        <v>182</v>
      </c>
      <c r="C72" s="647">
        <v>59019</v>
      </c>
      <c r="D72" s="405">
        <f t="shared" si="7"/>
        <v>-8077</v>
      </c>
      <c r="E72" s="381">
        <v>50942</v>
      </c>
      <c r="F72" s="416">
        <v>34494.5</v>
      </c>
      <c r="G72" s="595">
        <f t="shared" si="8"/>
        <v>67.713281771426324</v>
      </c>
      <c r="H72" s="415">
        <f t="shared" si="6"/>
        <v>-16447.5</v>
      </c>
    </row>
    <row r="73" spans="1:8" ht="24">
      <c r="A73" s="417" t="s">
        <v>664</v>
      </c>
      <c r="B73" s="413" t="s">
        <v>467</v>
      </c>
      <c r="C73" s="375">
        <v>4002.2</v>
      </c>
      <c r="D73" s="431">
        <f t="shared" si="7"/>
        <v>0</v>
      </c>
      <c r="E73" s="375">
        <v>4002.2</v>
      </c>
      <c r="F73" s="381">
        <v>2905.625</v>
      </c>
      <c r="G73" s="595">
        <f t="shared" si="8"/>
        <v>72.60069461796013</v>
      </c>
      <c r="H73" s="415">
        <f t="shared" si="6"/>
        <v>-1096.5749999999998</v>
      </c>
    </row>
    <row r="74" spans="1:8" ht="36">
      <c r="A74" s="417" t="s">
        <v>664</v>
      </c>
      <c r="B74" s="413" t="s">
        <v>468</v>
      </c>
      <c r="C74" s="375">
        <v>7712.3</v>
      </c>
      <c r="D74" s="405">
        <f t="shared" si="7"/>
        <v>0</v>
      </c>
      <c r="E74" s="375">
        <v>7712.3</v>
      </c>
      <c r="F74" s="411">
        <v>6267.317</v>
      </c>
      <c r="G74" s="595">
        <f t="shared" si="8"/>
        <v>81.263916082102611</v>
      </c>
      <c r="H74" s="415">
        <f t="shared" si="6"/>
        <v>-1444.9830000000002</v>
      </c>
    </row>
    <row r="75" spans="1:8" ht="24">
      <c r="A75" s="417" t="s">
        <v>664</v>
      </c>
      <c r="B75" s="413" t="s">
        <v>469</v>
      </c>
      <c r="C75" s="375">
        <v>463.4</v>
      </c>
      <c r="D75" s="405">
        <f t="shared" si="7"/>
        <v>0</v>
      </c>
      <c r="E75" s="375">
        <v>463.4</v>
      </c>
      <c r="F75" s="411">
        <v>347.553</v>
      </c>
      <c r="G75" s="595">
        <f t="shared" si="8"/>
        <v>75.00064738886492</v>
      </c>
      <c r="H75" s="415">
        <f t="shared" si="6"/>
        <v>-115.84699999999998</v>
      </c>
    </row>
    <row r="76" spans="1:8" ht="36">
      <c r="A76" s="417" t="s">
        <v>856</v>
      </c>
      <c r="B76" s="413" t="s">
        <v>857</v>
      </c>
      <c r="C76" s="375">
        <v>0</v>
      </c>
      <c r="D76" s="405">
        <f t="shared" si="7"/>
        <v>232.7</v>
      </c>
      <c r="E76" s="381">
        <v>232.7</v>
      </c>
      <c r="F76" s="411">
        <v>0</v>
      </c>
      <c r="G76" s="595">
        <f t="shared" si="8"/>
        <v>0</v>
      </c>
      <c r="H76" s="415">
        <f t="shared" si="6"/>
        <v>-232.7</v>
      </c>
    </row>
    <row r="77" spans="1:8" ht="39" customHeight="1">
      <c r="A77" s="417" t="s">
        <v>664</v>
      </c>
      <c r="B77" s="413" t="s">
        <v>470</v>
      </c>
      <c r="C77" s="375">
        <v>551.1</v>
      </c>
      <c r="D77" s="405">
        <f t="shared" si="7"/>
        <v>0</v>
      </c>
      <c r="E77" s="375">
        <v>551.1</v>
      </c>
      <c r="F77" s="412">
        <v>411.81299999999999</v>
      </c>
      <c r="G77" s="595">
        <f t="shared" si="8"/>
        <v>74.72563962983125</v>
      </c>
      <c r="H77" s="415">
        <f t="shared" si="6"/>
        <v>-139.28700000000003</v>
      </c>
    </row>
    <row r="78" spans="1:8" ht="68.25" customHeight="1">
      <c r="A78" s="417" t="s">
        <v>664</v>
      </c>
      <c r="B78" s="413" t="s">
        <v>471</v>
      </c>
      <c r="C78" s="415">
        <v>141704</v>
      </c>
      <c r="D78" s="405">
        <f t="shared" si="7"/>
        <v>0</v>
      </c>
      <c r="E78" s="375">
        <v>141704</v>
      </c>
      <c r="F78" s="381">
        <v>116481.861</v>
      </c>
      <c r="G78" s="595">
        <f t="shared" si="8"/>
        <v>82.200827781855139</v>
      </c>
      <c r="H78" s="415">
        <f t="shared" si="6"/>
        <v>-25222.138999999996</v>
      </c>
    </row>
    <row r="79" spans="1:8" ht="61.5" customHeight="1">
      <c r="A79" s="417" t="s">
        <v>664</v>
      </c>
      <c r="B79" s="413" t="s">
        <v>472</v>
      </c>
      <c r="C79" s="375">
        <v>95883.1</v>
      </c>
      <c r="D79" s="405">
        <f t="shared" si="7"/>
        <v>0</v>
      </c>
      <c r="E79" s="375">
        <v>95883.1</v>
      </c>
      <c r="F79" s="381">
        <v>74199.391000000003</v>
      </c>
      <c r="G79" s="595">
        <f t="shared" si="8"/>
        <v>77.385264973702348</v>
      </c>
      <c r="H79" s="415">
        <f t="shared" si="6"/>
        <v>-21683.709000000003</v>
      </c>
    </row>
    <row r="80" spans="1:8" ht="27" customHeight="1">
      <c r="A80" s="417" t="s">
        <v>664</v>
      </c>
      <c r="B80" s="413" t="s">
        <v>473</v>
      </c>
      <c r="C80" s="415">
        <v>100.8</v>
      </c>
      <c r="D80" s="405">
        <f t="shared" si="7"/>
        <v>0</v>
      </c>
      <c r="E80" s="375">
        <v>100.8</v>
      </c>
      <c r="F80" s="412">
        <v>0</v>
      </c>
      <c r="G80" s="595">
        <f t="shared" si="8"/>
        <v>0</v>
      </c>
      <c r="H80" s="415">
        <f t="shared" si="6"/>
        <v>-100.8</v>
      </c>
    </row>
    <row r="81" spans="1:10" ht="27" customHeight="1">
      <c r="A81" s="417" t="s">
        <v>664</v>
      </c>
      <c r="B81" s="413" t="s">
        <v>855</v>
      </c>
      <c r="C81" s="415">
        <v>2750</v>
      </c>
      <c r="D81" s="405">
        <f t="shared" si="7"/>
        <v>-1753.1</v>
      </c>
      <c r="E81" s="381">
        <v>996.9</v>
      </c>
      <c r="F81" s="412">
        <v>793.8</v>
      </c>
      <c r="G81" s="595">
        <f t="shared" si="8"/>
        <v>79.626843213963284</v>
      </c>
      <c r="H81" s="415">
        <f t="shared" si="6"/>
        <v>-203.10000000000002</v>
      </c>
    </row>
    <row r="82" spans="1:10" ht="60.75" customHeight="1">
      <c r="A82" s="417" t="s">
        <v>664</v>
      </c>
      <c r="B82" s="413" t="s">
        <v>854</v>
      </c>
      <c r="C82" s="416">
        <v>862.3</v>
      </c>
      <c r="D82" s="405">
        <f t="shared" si="7"/>
        <v>0</v>
      </c>
      <c r="E82" s="381">
        <v>862.3</v>
      </c>
      <c r="F82" s="411">
        <v>673.3</v>
      </c>
      <c r="G82" s="595">
        <f t="shared" si="8"/>
        <v>78.081874057752529</v>
      </c>
      <c r="H82" s="415">
        <f t="shared" si="6"/>
        <v>-189</v>
      </c>
    </row>
    <row r="83" spans="1:10" ht="28.5" customHeight="1">
      <c r="A83" s="417" t="s">
        <v>664</v>
      </c>
      <c r="B83" s="413" t="s">
        <v>478</v>
      </c>
      <c r="C83" s="375">
        <v>291.39999999999998</v>
      </c>
      <c r="D83" s="405">
        <f t="shared" si="7"/>
        <v>0</v>
      </c>
      <c r="E83" s="375">
        <v>291.39999999999998</v>
      </c>
      <c r="F83" s="648">
        <v>189.93418</v>
      </c>
      <c r="G83" s="595">
        <f t="shared" si="8"/>
        <v>65.179883321894309</v>
      </c>
      <c r="H83" s="415">
        <f t="shared" si="6"/>
        <v>-101.46581999999998</v>
      </c>
    </row>
    <row r="84" spans="1:10" ht="27" customHeight="1">
      <c r="A84" s="417" t="s">
        <v>664</v>
      </c>
      <c r="B84" s="413" t="s">
        <v>479</v>
      </c>
      <c r="C84" s="375">
        <v>10869.6</v>
      </c>
      <c r="D84" s="405">
        <f t="shared" si="7"/>
        <v>-2900</v>
      </c>
      <c r="E84" s="381">
        <v>7969.6</v>
      </c>
      <c r="F84" s="416">
        <v>4306</v>
      </c>
      <c r="G84" s="595">
        <f t="shared" si="8"/>
        <v>54.030315197751456</v>
      </c>
      <c r="H84" s="415">
        <f t="shared" si="6"/>
        <v>-3663.6000000000004</v>
      </c>
    </row>
    <row r="85" spans="1:10" ht="36.75" customHeight="1">
      <c r="A85" s="417" t="s">
        <v>858</v>
      </c>
      <c r="B85" s="413" t="s">
        <v>859</v>
      </c>
      <c r="C85" s="375"/>
      <c r="D85" s="405"/>
      <c r="E85" s="381">
        <v>5768.7</v>
      </c>
      <c r="F85" s="416">
        <v>4339.8</v>
      </c>
      <c r="G85" s="595">
        <f t="shared" si="8"/>
        <v>75.230121171147758</v>
      </c>
      <c r="H85" s="415">
        <f t="shared" si="6"/>
        <v>-1428.8999999999996</v>
      </c>
    </row>
    <row r="86" spans="1:10" ht="36">
      <c r="A86" s="417" t="s">
        <v>665</v>
      </c>
      <c r="B86" s="413" t="s">
        <v>181</v>
      </c>
      <c r="C86" s="375">
        <v>1242.3</v>
      </c>
      <c r="D86" s="431">
        <f t="shared" si="7"/>
        <v>-19.099999999999909</v>
      </c>
      <c r="E86" s="381">
        <v>1223.2</v>
      </c>
      <c r="F86" s="416">
        <v>931.7</v>
      </c>
      <c r="G86" s="595">
        <f t="shared" si="8"/>
        <v>76.169064748201436</v>
      </c>
      <c r="H86" s="415">
        <f t="shared" si="6"/>
        <v>-291.5</v>
      </c>
    </row>
    <row r="87" spans="1:10" ht="38.25" customHeight="1">
      <c r="A87" s="417" t="s">
        <v>666</v>
      </c>
      <c r="B87" s="413" t="s">
        <v>475</v>
      </c>
      <c r="C87" s="416">
        <v>46.7</v>
      </c>
      <c r="D87" s="405">
        <f t="shared" si="7"/>
        <v>0</v>
      </c>
      <c r="E87" s="381">
        <v>46.7</v>
      </c>
      <c r="F87" s="416">
        <v>0</v>
      </c>
      <c r="G87" s="595">
        <f t="shared" si="8"/>
        <v>0</v>
      </c>
      <c r="H87" s="415">
        <f t="shared" si="6"/>
        <v>-46.7</v>
      </c>
    </row>
    <row r="88" spans="1:10" ht="25.5" customHeight="1">
      <c r="A88" s="417" t="s">
        <v>667</v>
      </c>
      <c r="B88" s="413" t="s">
        <v>179</v>
      </c>
      <c r="C88" s="375">
        <v>8374</v>
      </c>
      <c r="D88" s="431">
        <f t="shared" si="7"/>
        <v>0</v>
      </c>
      <c r="E88" s="375">
        <v>8374</v>
      </c>
      <c r="F88" s="416">
        <v>6347.2</v>
      </c>
      <c r="G88" s="595">
        <f t="shared" si="8"/>
        <v>75.79651301647958</v>
      </c>
      <c r="H88" s="415">
        <f t="shared" si="6"/>
        <v>-2026.8000000000002</v>
      </c>
    </row>
    <row r="89" spans="1:10" ht="40.5" customHeight="1">
      <c r="A89" s="407" t="s">
        <v>668</v>
      </c>
      <c r="B89" s="413" t="s">
        <v>480</v>
      </c>
      <c r="C89" s="375">
        <v>29134.9</v>
      </c>
      <c r="D89" s="405">
        <f t="shared" si="7"/>
        <v>2000</v>
      </c>
      <c r="E89" s="375">
        <v>31134.9</v>
      </c>
      <c r="F89" s="416">
        <v>21422.6</v>
      </c>
      <c r="G89" s="595">
        <f t="shared" si="8"/>
        <v>68.805745321166924</v>
      </c>
      <c r="H89" s="415">
        <f t="shared" si="6"/>
        <v>-9712.3000000000029</v>
      </c>
    </row>
    <row r="90" spans="1:10" ht="46.5" customHeight="1">
      <c r="A90" s="407" t="s">
        <v>669</v>
      </c>
      <c r="B90" s="410" t="s">
        <v>641</v>
      </c>
      <c r="C90" s="649">
        <v>26.4</v>
      </c>
      <c r="D90" s="431">
        <f t="shared" si="7"/>
        <v>0</v>
      </c>
      <c r="E90" s="381">
        <v>26.4</v>
      </c>
      <c r="F90" s="416">
        <v>11.4</v>
      </c>
      <c r="G90" s="595">
        <f t="shared" si="8"/>
        <v>43.18181818181818</v>
      </c>
      <c r="H90" s="415">
        <f t="shared" si="6"/>
        <v>-14.999999999999998</v>
      </c>
    </row>
    <row r="91" spans="1:10" ht="46.5" customHeight="1">
      <c r="A91" s="407" t="s">
        <v>860</v>
      </c>
      <c r="B91" s="410" t="s">
        <v>861</v>
      </c>
      <c r="C91" s="649">
        <v>0</v>
      </c>
      <c r="D91" s="431">
        <v>0</v>
      </c>
      <c r="E91" s="381">
        <v>202.9</v>
      </c>
      <c r="F91" s="416">
        <v>0</v>
      </c>
      <c r="G91" s="595">
        <f t="shared" si="8"/>
        <v>0</v>
      </c>
      <c r="H91" s="415">
        <f t="shared" si="6"/>
        <v>-202.9</v>
      </c>
    </row>
    <row r="92" spans="1:10" ht="46.5" customHeight="1">
      <c r="A92" s="407" t="s">
        <v>670</v>
      </c>
      <c r="B92" s="413" t="s">
        <v>796</v>
      </c>
      <c r="C92" s="375">
        <v>92698.5</v>
      </c>
      <c r="D92" s="431">
        <f t="shared" ref="D92:D94" si="9">E92-C92</f>
        <v>-63650.163</v>
      </c>
      <c r="E92" s="375">
        <v>29048.337</v>
      </c>
      <c r="F92" s="416">
        <v>15098</v>
      </c>
      <c r="G92" s="595">
        <f t="shared" ref="G92:G97" si="10">SUM(F92/E92%)</f>
        <v>51.975436666133419</v>
      </c>
      <c r="H92" s="415">
        <f>SUM(F92-E92)</f>
        <v>-13950.337</v>
      </c>
    </row>
    <row r="93" spans="1:10" ht="46.5" customHeight="1">
      <c r="A93" s="36" t="s">
        <v>914</v>
      </c>
      <c r="B93" s="615" t="s">
        <v>912</v>
      </c>
      <c r="C93" s="649">
        <v>0</v>
      </c>
      <c r="D93" s="431">
        <f t="shared" si="9"/>
        <v>123538.10400000001</v>
      </c>
      <c r="E93" s="381">
        <v>123538.10400000001</v>
      </c>
      <c r="F93" s="416">
        <v>83329</v>
      </c>
      <c r="G93" s="595">
        <f t="shared" si="10"/>
        <v>67.452063211201619</v>
      </c>
      <c r="H93" s="415">
        <f t="shared" ref="H93:H96" si="11">SUM(F93-E93)</f>
        <v>-40209.104000000007</v>
      </c>
    </row>
    <row r="94" spans="1:10" ht="27.75" customHeight="1">
      <c r="A94" s="407" t="s">
        <v>917</v>
      </c>
      <c r="B94" s="616" t="s">
        <v>862</v>
      </c>
      <c r="C94" s="649">
        <v>0</v>
      </c>
      <c r="D94" s="431">
        <f t="shared" si="9"/>
        <v>0</v>
      </c>
      <c r="E94" s="375"/>
      <c r="F94" s="416">
        <v>-12.567159999999999</v>
      </c>
      <c r="G94" s="595"/>
      <c r="H94" s="415">
        <f t="shared" si="11"/>
        <v>-12.567159999999999</v>
      </c>
      <c r="I94" s="399"/>
      <c r="J94" s="399"/>
    </row>
    <row r="95" spans="1:10" s="688" customFormat="1" ht="27.75" customHeight="1">
      <c r="A95" s="684"/>
      <c r="B95" s="689" t="s">
        <v>949</v>
      </c>
      <c r="C95" s="685"/>
      <c r="D95" s="686">
        <f>+D96+D97</f>
        <v>5994.01</v>
      </c>
      <c r="E95" s="686">
        <f>+E96+E97</f>
        <v>14814.73</v>
      </c>
      <c r="F95" s="686">
        <f>+F96+F97</f>
        <v>8820.7199999999993</v>
      </c>
      <c r="G95" s="595">
        <f t="shared" si="10"/>
        <v>59.540200867649965</v>
      </c>
      <c r="H95" s="415">
        <f t="shared" si="11"/>
        <v>-5994.01</v>
      </c>
      <c r="I95" s="687"/>
      <c r="J95" s="687"/>
    </row>
    <row r="96" spans="1:10" s="688" customFormat="1" ht="48.75" customHeight="1">
      <c r="A96" s="703" t="s">
        <v>951</v>
      </c>
      <c r="B96" s="702" t="s">
        <v>950</v>
      </c>
      <c r="C96" s="649"/>
      <c r="D96" s="431"/>
      <c r="E96" s="375">
        <v>8820.7199999999993</v>
      </c>
      <c r="F96" s="650">
        <v>8820.7199999999993</v>
      </c>
      <c r="G96" s="595">
        <f t="shared" si="10"/>
        <v>99.999999999999986</v>
      </c>
      <c r="H96" s="415">
        <f t="shared" si="11"/>
        <v>0</v>
      </c>
      <c r="I96" s="687"/>
      <c r="J96" s="687"/>
    </row>
    <row r="97" spans="1:10" s="688" customFormat="1" ht="48.75" customHeight="1">
      <c r="A97" s="646" t="s">
        <v>913</v>
      </c>
      <c r="B97" s="410" t="s">
        <v>915</v>
      </c>
      <c r="C97" s="649">
        <v>0</v>
      </c>
      <c r="D97" s="381">
        <f t="shared" ref="D97" si="12">E97-C97</f>
        <v>5994.01</v>
      </c>
      <c r="E97" s="1070">
        <v>5994.01</v>
      </c>
      <c r="F97" s="416">
        <v>0</v>
      </c>
      <c r="G97" s="595">
        <f t="shared" si="10"/>
        <v>0</v>
      </c>
      <c r="H97" s="415">
        <f t="shared" ref="H97" si="13">SUM(F97-E97)</f>
        <v>-5994.01</v>
      </c>
      <c r="I97" s="687"/>
      <c r="J97" s="687"/>
    </row>
    <row r="98" spans="1:10" ht="21.75" customHeight="1">
      <c r="A98" s="417" t="s">
        <v>66</v>
      </c>
      <c r="B98" s="651" t="s">
        <v>481</v>
      </c>
      <c r="C98" s="652">
        <f>C54+C57+C70</f>
        <v>647342.20000000007</v>
      </c>
      <c r="D98" s="431">
        <f>E98-C98</f>
        <v>108353.39600000007</v>
      </c>
      <c r="E98" s="652">
        <f>E54+E57+E70+E95</f>
        <v>755695.59600000014</v>
      </c>
      <c r="F98" s="652">
        <f>F54+F70+F57+F95</f>
        <v>556084.64702000003</v>
      </c>
      <c r="G98" s="595">
        <f t="shared" si="8"/>
        <v>73.585799621359698</v>
      </c>
      <c r="H98" s="415">
        <f t="shared" si="6"/>
        <v>-199610.9489800001</v>
      </c>
      <c r="I98" s="399"/>
      <c r="J98" s="399"/>
    </row>
    <row r="99" spans="1:10">
      <c r="A99" s="653"/>
      <c r="B99" s="654" t="s">
        <v>255</v>
      </c>
      <c r="C99" s="431">
        <f>C98+C53</f>
        <v>684266.20000000007</v>
      </c>
      <c r="D99" s="431">
        <f>E99-C99</f>
        <v>108353.39600000007</v>
      </c>
      <c r="E99" s="431">
        <f>E98+E53</f>
        <v>792619.59600000014</v>
      </c>
      <c r="F99" s="431">
        <f>F98+F53</f>
        <v>579163.05492000002</v>
      </c>
      <c r="G99" s="595">
        <f t="shared" si="8"/>
        <v>73.069484762019428</v>
      </c>
      <c r="H99" s="595">
        <f t="shared" si="6"/>
        <v>-213456.54108000011</v>
      </c>
      <c r="I99" s="399"/>
      <c r="J99" s="399"/>
    </row>
    <row r="100" spans="1:10">
      <c r="A100" s="387"/>
      <c r="B100" s="387"/>
      <c r="C100" s="387"/>
      <c r="D100" s="387"/>
      <c r="E100" s="387"/>
      <c r="F100" s="655"/>
      <c r="G100" s="387"/>
      <c r="H100" s="387"/>
    </row>
    <row r="101" spans="1:10">
      <c r="A101" s="387"/>
      <c r="B101" s="387"/>
      <c r="C101" s="387"/>
      <c r="D101" s="387"/>
      <c r="E101" s="387"/>
      <c r="F101" s="656"/>
      <c r="G101" s="387"/>
      <c r="H101" s="387"/>
    </row>
    <row r="102" spans="1:10">
      <c r="A102" s="657"/>
      <c r="B102" s="658"/>
      <c r="C102" s="658"/>
      <c r="D102" s="658"/>
      <c r="E102" s="387"/>
      <c r="F102" s="387"/>
      <c r="G102" s="387"/>
      <c r="H102" s="387"/>
    </row>
    <row r="103" spans="1:10">
      <c r="A103" s="387"/>
      <c r="B103" s="387"/>
      <c r="C103" s="387"/>
      <c r="D103" s="387"/>
      <c r="E103" s="387"/>
      <c r="F103" s="655"/>
      <c r="G103" s="387"/>
      <c r="H103" s="387"/>
    </row>
    <row r="104" spans="1:10">
      <c r="A104" s="657"/>
      <c r="B104" s="658"/>
      <c r="C104" s="658"/>
      <c r="D104" s="658"/>
      <c r="E104" s="387"/>
      <c r="F104" s="387"/>
      <c r="G104" s="387"/>
      <c r="H104" s="387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7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B050"/>
  </sheetPr>
  <dimension ref="A1:K28"/>
  <sheetViews>
    <sheetView view="pageBreakPreview" topLeftCell="A12" zoomScale="91" zoomScaleSheetLayoutView="91" workbookViewId="0">
      <selection activeCell="G25" sqref="G25"/>
    </sheetView>
  </sheetViews>
  <sheetFormatPr defaultColWidth="8.85546875" defaultRowHeight="15"/>
  <cols>
    <col min="1" max="1" width="20" style="47" customWidth="1"/>
    <col min="2" max="2" width="8.7109375" style="47" customWidth="1"/>
    <col min="3" max="3" width="9.140625" style="47" customWidth="1"/>
    <col min="4" max="4" width="13.42578125" style="47" customWidth="1"/>
    <col min="5" max="5" width="12.5703125" style="47" customWidth="1"/>
    <col min="6" max="6" width="12.42578125" style="47" customWidth="1"/>
    <col min="7" max="7" width="11.85546875" style="47" customWidth="1"/>
    <col min="8" max="8" width="10" style="47" customWidth="1"/>
    <col min="9" max="9" width="10.42578125" style="47" customWidth="1"/>
    <col min="10" max="10" width="10.140625" style="47" customWidth="1"/>
    <col min="11" max="16384" width="8.85546875" style="47"/>
  </cols>
  <sheetData>
    <row r="1" spans="1:11">
      <c r="H1" s="858" t="s">
        <v>454</v>
      </c>
      <c r="I1" s="858"/>
      <c r="J1" s="858"/>
    </row>
    <row r="3" spans="1:11" hidden="1"/>
    <row r="4" spans="1:11" hidden="1">
      <c r="H4" s="859"/>
      <c r="I4" s="859"/>
      <c r="J4" s="859"/>
    </row>
    <row r="5" spans="1:11" hidden="1">
      <c r="H5" s="48"/>
      <c r="I5" s="48"/>
      <c r="J5" s="48"/>
    </row>
    <row r="6" spans="1:11">
      <c r="H6" s="48"/>
      <c r="I6" s="48"/>
      <c r="J6" s="48"/>
    </row>
    <row r="7" spans="1:11" ht="15.75">
      <c r="A7" s="856" t="s">
        <v>453</v>
      </c>
      <c r="B7" s="856"/>
      <c r="C7" s="856"/>
      <c r="D7" s="856"/>
      <c r="E7" s="856"/>
      <c r="F7" s="856"/>
      <c r="G7" s="856"/>
      <c r="H7" s="856"/>
      <c r="I7" s="856"/>
      <c r="J7" s="856"/>
    </row>
    <row r="8" spans="1:11" ht="15.75">
      <c r="A8" s="856" t="s">
        <v>952</v>
      </c>
      <c r="B8" s="857"/>
      <c r="C8" s="857"/>
      <c r="D8" s="857"/>
      <c r="E8" s="857"/>
      <c r="F8" s="857"/>
      <c r="G8" s="857"/>
      <c r="H8" s="857"/>
      <c r="I8" s="857"/>
      <c r="J8" s="857"/>
    </row>
    <row r="9" spans="1:11">
      <c r="H9" s="48"/>
      <c r="I9" s="48"/>
      <c r="J9" s="48"/>
    </row>
    <row r="10" spans="1:11">
      <c r="H10" s="48"/>
      <c r="I10" s="48"/>
      <c r="J10" s="48"/>
    </row>
    <row r="11" spans="1:11">
      <c r="I11" s="860" t="s">
        <v>73</v>
      </c>
      <c r="J11" s="860"/>
    </row>
    <row r="12" spans="1:11">
      <c r="A12" s="861" t="s">
        <v>74</v>
      </c>
      <c r="B12" s="850" t="s">
        <v>769</v>
      </c>
      <c r="C12" s="851"/>
      <c r="D12" s="862" t="s">
        <v>879</v>
      </c>
      <c r="E12" s="865" t="s">
        <v>953</v>
      </c>
      <c r="F12" s="865"/>
      <c r="G12" s="865"/>
      <c r="H12" s="865"/>
      <c r="I12" s="850" t="s">
        <v>955</v>
      </c>
      <c r="J12" s="851"/>
    </row>
    <row r="13" spans="1:11">
      <c r="A13" s="861"/>
      <c r="B13" s="852"/>
      <c r="C13" s="853"/>
      <c r="D13" s="863"/>
      <c r="E13" s="861" t="s">
        <v>75</v>
      </c>
      <c r="F13" s="861" t="s">
        <v>76</v>
      </c>
      <c r="G13" s="861" t="s">
        <v>77</v>
      </c>
      <c r="H13" s="861" t="s">
        <v>954</v>
      </c>
      <c r="I13" s="852"/>
      <c r="J13" s="853"/>
    </row>
    <row r="14" spans="1:11" ht="86.25" customHeight="1">
      <c r="A14" s="861"/>
      <c r="B14" s="854"/>
      <c r="C14" s="855"/>
      <c r="D14" s="863"/>
      <c r="E14" s="861"/>
      <c r="F14" s="861"/>
      <c r="G14" s="861"/>
      <c r="H14" s="861"/>
      <c r="I14" s="854"/>
      <c r="J14" s="855"/>
    </row>
    <row r="15" spans="1:11" ht="112.5" customHeight="1">
      <c r="A15" s="861"/>
      <c r="B15" s="49" t="s">
        <v>78</v>
      </c>
      <c r="C15" s="49" t="s">
        <v>79</v>
      </c>
      <c r="D15" s="864"/>
      <c r="E15" s="861"/>
      <c r="F15" s="861"/>
      <c r="G15" s="861"/>
      <c r="H15" s="861"/>
      <c r="I15" s="49" t="s">
        <v>229</v>
      </c>
      <c r="J15" s="49" t="s">
        <v>79</v>
      </c>
    </row>
    <row r="16" spans="1:11" ht="24.95" customHeight="1">
      <c r="A16" s="46" t="s">
        <v>84</v>
      </c>
      <c r="B16" s="560">
        <v>19.984359999999999</v>
      </c>
      <c r="C16" s="619"/>
      <c r="D16" s="50"/>
      <c r="E16" s="50">
        <v>427.25700000000001</v>
      </c>
      <c r="F16" s="50">
        <v>543.40966000000003</v>
      </c>
      <c r="G16" s="50">
        <v>529.01265999999998</v>
      </c>
      <c r="H16" s="560">
        <f>F16-G16+D16</f>
        <v>14.397000000000048</v>
      </c>
      <c r="I16" s="560">
        <f t="shared" ref="I16:I22" si="0">B16+E16-F16-C16-D16</f>
        <v>-96.168300000000045</v>
      </c>
      <c r="J16" s="560"/>
      <c r="K16" s="51"/>
    </row>
    <row r="17" spans="1:11" s="622" customFormat="1" ht="24.95" customHeight="1">
      <c r="A17" s="620" t="s">
        <v>81</v>
      </c>
      <c r="B17" s="560">
        <v>40.58466</v>
      </c>
      <c r="C17" s="619"/>
      <c r="D17" s="560"/>
      <c r="E17" s="560">
        <v>902.12175000000002</v>
      </c>
      <c r="F17" s="560">
        <v>1155.8880200000001</v>
      </c>
      <c r="G17" s="560">
        <v>1071.6683599999999</v>
      </c>
      <c r="H17" s="560">
        <f t="shared" ref="H17:H22" si="1">F17-G17+D17</f>
        <v>84.219660000000204</v>
      </c>
      <c r="I17" s="560">
        <f t="shared" si="0"/>
        <v>-213.18161000000009</v>
      </c>
      <c r="J17" s="560"/>
      <c r="K17" s="621"/>
    </row>
    <row r="18" spans="1:11" ht="24.95" customHeight="1">
      <c r="A18" s="46" t="s">
        <v>83</v>
      </c>
      <c r="B18" s="560">
        <v>48.657420000000002</v>
      </c>
      <c r="C18" s="619"/>
      <c r="D18" s="50"/>
      <c r="E18" s="50">
        <v>2181.904</v>
      </c>
      <c r="F18" s="50">
        <v>2347.5362</v>
      </c>
      <c r="G18" s="50">
        <v>2323.14392</v>
      </c>
      <c r="H18" s="560">
        <f t="shared" si="1"/>
        <v>24.392280000000028</v>
      </c>
      <c r="I18" s="560">
        <f t="shared" si="0"/>
        <v>-116.97478000000001</v>
      </c>
      <c r="J18" s="256"/>
      <c r="K18" s="51"/>
    </row>
    <row r="19" spans="1:11" ht="24.95" customHeight="1">
      <c r="A19" s="46" t="s">
        <v>80</v>
      </c>
      <c r="B19" s="560">
        <v>42.777760000000001</v>
      </c>
      <c r="C19" s="619"/>
      <c r="D19" s="50"/>
      <c r="E19" s="50">
        <v>2201.85356</v>
      </c>
      <c r="F19" s="50">
        <v>2377.4808400000002</v>
      </c>
      <c r="G19" s="50">
        <v>2202.3354899999999</v>
      </c>
      <c r="H19" s="560">
        <f t="shared" si="1"/>
        <v>175.14535000000024</v>
      </c>
      <c r="I19" s="560">
        <f t="shared" si="0"/>
        <v>-132.84952000000021</v>
      </c>
      <c r="J19" s="256"/>
      <c r="K19" s="51"/>
    </row>
    <row r="20" spans="1:11" ht="24.95" customHeight="1">
      <c r="A20" s="46" t="s">
        <v>82</v>
      </c>
      <c r="B20" s="560">
        <v>-24.537669999999999</v>
      </c>
      <c r="C20" s="560"/>
      <c r="D20" s="50"/>
      <c r="E20" s="50">
        <v>297.34100000000001</v>
      </c>
      <c r="F20" s="50">
        <v>422.22086999999999</v>
      </c>
      <c r="G20" s="50">
        <v>347.12257</v>
      </c>
      <c r="H20" s="560">
        <f t="shared" si="1"/>
        <v>75.098299999999995</v>
      </c>
      <c r="I20" s="560">
        <f t="shared" si="0"/>
        <v>-149.41753999999997</v>
      </c>
      <c r="J20" s="256"/>
      <c r="K20" s="51"/>
    </row>
    <row r="21" spans="1:11" ht="24.95" customHeight="1">
      <c r="A21" s="46" t="s">
        <v>85</v>
      </c>
      <c r="B21" s="560">
        <v>37.643569999999997</v>
      </c>
      <c r="C21" s="619"/>
      <c r="D21" s="50"/>
      <c r="E21" s="50">
        <v>1565.7621799999999</v>
      </c>
      <c r="F21" s="50">
        <v>1674.8550399999999</v>
      </c>
      <c r="G21" s="50">
        <v>1673.85502</v>
      </c>
      <c r="H21" s="560">
        <f t="shared" si="1"/>
        <v>1.0000199999999495</v>
      </c>
      <c r="I21" s="560">
        <f t="shared" si="0"/>
        <v>-71.449290000000019</v>
      </c>
      <c r="J21" s="256"/>
      <c r="K21" s="51"/>
    </row>
    <row r="22" spans="1:11" ht="24.95" customHeight="1">
      <c r="A22" s="46" t="s">
        <v>86</v>
      </c>
      <c r="B22" s="560">
        <v>40.675289999999997</v>
      </c>
      <c r="C22" s="619"/>
      <c r="D22" s="50"/>
      <c r="E22" s="50">
        <v>1143.2032999999999</v>
      </c>
      <c r="F22" s="50">
        <v>1390.0539900000001</v>
      </c>
      <c r="G22" s="50">
        <v>1238.0391500000001</v>
      </c>
      <c r="H22" s="560">
        <f t="shared" si="1"/>
        <v>152.01484000000005</v>
      </c>
      <c r="I22" s="560">
        <f t="shared" si="0"/>
        <v>-206.17540000000031</v>
      </c>
      <c r="J22" s="560"/>
      <c r="K22" s="51"/>
    </row>
    <row r="23" spans="1:11" ht="24.95" customHeight="1">
      <c r="A23" s="52" t="s">
        <v>87</v>
      </c>
      <c r="B23" s="561">
        <f>SUM(B16:B22)</f>
        <v>205.78538999999998</v>
      </c>
      <c r="C23" s="53">
        <f>SUM(C16:C22)</f>
        <v>0</v>
      </c>
      <c r="D23" s="54">
        <f>SUM(D16:D22)</f>
        <v>0</v>
      </c>
      <c r="E23" s="561">
        <f t="shared" ref="E23:J23" si="2">SUM(E16:E22)</f>
        <v>8719.4427899999991</v>
      </c>
      <c r="F23" s="561">
        <f t="shared" si="2"/>
        <v>9911.4446200000002</v>
      </c>
      <c r="G23" s="561">
        <f>SUM(G16:G22)</f>
        <v>9385.177169999999</v>
      </c>
      <c r="H23" s="561">
        <f>SUM(H16:H22)</f>
        <v>526.26745000000051</v>
      </c>
      <c r="I23" s="561">
        <f>SUM(I16:I22)</f>
        <v>-986.2164400000006</v>
      </c>
      <c r="J23" s="54">
        <f t="shared" si="2"/>
        <v>0</v>
      </c>
      <c r="K23" s="51"/>
    </row>
    <row r="24" spans="1:11" ht="24.95" customHeight="1">
      <c r="A24" s="255" t="s">
        <v>71</v>
      </c>
      <c r="B24" s="256">
        <v>0</v>
      </c>
      <c r="C24" s="257">
        <v>0</v>
      </c>
      <c r="D24" s="257">
        <v>0</v>
      </c>
      <c r="E24" s="257">
        <v>0</v>
      </c>
      <c r="F24" s="257">
        <v>0</v>
      </c>
      <c r="G24" s="257">
        <v>0</v>
      </c>
      <c r="H24" s="256">
        <f>F24-G24</f>
        <v>0</v>
      </c>
      <c r="I24" s="256">
        <f>B24+E24-F24-C24</f>
        <v>0</v>
      </c>
      <c r="J24" s="50">
        <v>0</v>
      </c>
      <c r="K24" s="51"/>
    </row>
    <row r="25" spans="1:11" ht="24.95" customHeight="1">
      <c r="A25" s="59" t="s">
        <v>88</v>
      </c>
      <c r="B25" s="53">
        <f t="shared" ref="B25:J25" si="3">B23+B24</f>
        <v>205.78538999999998</v>
      </c>
      <c r="C25" s="53">
        <f t="shared" si="3"/>
        <v>0</v>
      </c>
      <c r="D25" s="54">
        <f t="shared" si="3"/>
        <v>0</v>
      </c>
      <c r="E25" s="54">
        <f t="shared" si="3"/>
        <v>8719.4427899999991</v>
      </c>
      <c r="F25" s="53">
        <f t="shared" si="3"/>
        <v>9911.4446200000002</v>
      </c>
      <c r="G25" s="53">
        <f t="shared" si="3"/>
        <v>9385.177169999999</v>
      </c>
      <c r="H25" s="53">
        <f t="shared" si="3"/>
        <v>526.26745000000051</v>
      </c>
      <c r="I25" s="53">
        <f t="shared" si="3"/>
        <v>-986.2164400000006</v>
      </c>
      <c r="J25" s="54">
        <f t="shared" si="3"/>
        <v>0</v>
      </c>
      <c r="K25" s="51"/>
    </row>
    <row r="26" spans="1:11">
      <c r="A26" s="55"/>
      <c r="D26" s="56"/>
      <c r="E26" s="57"/>
      <c r="F26" s="57"/>
      <c r="G26" s="56"/>
      <c r="H26" s="58"/>
      <c r="I26" s="58"/>
    </row>
    <row r="27" spans="1:11">
      <c r="H27" s="56"/>
      <c r="I27" s="56"/>
    </row>
    <row r="28" spans="1:11">
      <c r="B28" s="51"/>
    </row>
  </sheetData>
  <mergeCells count="14">
    <mergeCell ref="I12:J14"/>
    <mergeCell ref="A8:J8"/>
    <mergeCell ref="H1:J1"/>
    <mergeCell ref="H4:J4"/>
    <mergeCell ref="A7:J7"/>
    <mergeCell ref="I11:J11"/>
    <mergeCell ref="E13:E15"/>
    <mergeCell ref="F13:F15"/>
    <mergeCell ref="G13:G15"/>
    <mergeCell ref="H13:H15"/>
    <mergeCell ref="A12:A15"/>
    <mergeCell ref="B12:C14"/>
    <mergeCell ref="D12:D15"/>
    <mergeCell ref="E12:H12"/>
  </mergeCells>
  <phoneticPr fontId="2" type="noConversion"/>
  <pageMargins left="0" right="0" top="0" bottom="0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112" customWidth="1"/>
    <col min="2" max="3" width="9.140625" style="112"/>
    <col min="4" max="4" width="7.140625" style="112" customWidth="1"/>
    <col min="5" max="5" width="5" style="112" customWidth="1"/>
    <col min="6" max="6" width="5.5703125" style="112" customWidth="1"/>
    <col min="7" max="7" width="4" style="147" customWidth="1"/>
    <col min="8" max="8" width="5.42578125" style="112" customWidth="1"/>
    <col min="9" max="9" width="5.140625" style="112" customWidth="1"/>
    <col min="10" max="10" width="6.28515625" style="112" customWidth="1"/>
    <col min="11" max="11" width="3.28515625" style="112" customWidth="1"/>
    <col min="12" max="12" width="5" style="112" customWidth="1"/>
    <col min="13" max="13" width="5.7109375" style="112" customWidth="1"/>
    <col min="14" max="14" width="7" style="112" customWidth="1"/>
    <col min="15" max="15" width="3" style="112" customWidth="1"/>
    <col min="16" max="16" width="6.28515625" style="112" customWidth="1"/>
    <col min="17" max="17" width="5" style="112" customWidth="1"/>
    <col min="18" max="18" width="6.7109375" style="112" customWidth="1"/>
    <col min="19" max="19" width="4" style="112" customWidth="1"/>
    <col min="20" max="20" width="6.140625" style="112" customWidth="1"/>
    <col min="21" max="21" width="5.85546875" style="112" customWidth="1"/>
    <col min="22" max="22" width="6.42578125" style="112" customWidth="1"/>
    <col min="23" max="23" width="4" style="112" customWidth="1"/>
    <col min="24" max="24" width="5.42578125" style="112" customWidth="1"/>
    <col min="25" max="25" width="5.140625" style="112" customWidth="1"/>
    <col min="26" max="26" width="6.5703125" style="112" customWidth="1"/>
    <col min="27" max="27" width="4" style="112" customWidth="1"/>
    <col min="28" max="28" width="5.7109375" style="112" customWidth="1"/>
    <col min="29" max="29" width="5.42578125" style="112" customWidth="1"/>
    <col min="30" max="30" width="7.28515625" style="112" customWidth="1"/>
    <col min="31" max="31" width="4" style="112" customWidth="1"/>
    <col min="32" max="32" width="6.42578125" style="112" customWidth="1"/>
    <col min="33" max="33" width="5.85546875" style="112" customWidth="1"/>
    <col min="34" max="34" width="5.7109375" style="112" customWidth="1"/>
    <col min="35" max="35" width="4" style="112" customWidth="1"/>
    <col min="36" max="36" width="6.42578125" style="112" customWidth="1"/>
    <col min="37" max="37" width="4" style="112" customWidth="1"/>
    <col min="38" max="38" width="6.28515625" style="112" customWidth="1"/>
    <col min="39" max="39" width="4" style="112" customWidth="1"/>
    <col min="40" max="40" width="4.7109375" style="112" customWidth="1"/>
    <col min="41" max="41" width="4" style="112" customWidth="1"/>
    <col min="42" max="42" width="5.42578125" style="112" customWidth="1"/>
    <col min="43" max="43" width="4" style="112" customWidth="1"/>
    <col min="44" max="44" width="4.42578125" style="112" customWidth="1"/>
    <col min="45" max="45" width="4" style="112" customWidth="1"/>
    <col min="46" max="46" width="6" style="112" customWidth="1"/>
    <col min="47" max="47" width="4" style="112" customWidth="1"/>
    <col min="48" max="48" width="5.140625" style="112" customWidth="1"/>
    <col min="49" max="49" width="4.7109375" style="112" customWidth="1"/>
    <col min="50" max="50" width="5.42578125" style="112" customWidth="1"/>
    <col min="51" max="51" width="3.7109375" style="112" customWidth="1"/>
    <col min="52" max="52" width="5.42578125" style="112" customWidth="1"/>
    <col min="53" max="53" width="5.140625" style="112" customWidth="1"/>
    <col min="54" max="54" width="4.42578125" style="112" customWidth="1"/>
    <col min="55" max="55" width="4" style="112" customWidth="1"/>
    <col min="56" max="56" width="4.7109375" style="112" customWidth="1"/>
    <col min="57" max="64" width="4" style="112" customWidth="1"/>
    <col min="65" max="65" width="5" style="112" customWidth="1"/>
    <col min="66" max="66" width="4.7109375" style="112" customWidth="1"/>
    <col min="67" max="67" width="3.85546875" style="112" customWidth="1"/>
    <col min="68" max="68" width="4" style="112" customWidth="1"/>
    <col min="69" max="69" width="4.7109375" style="112" customWidth="1"/>
    <col min="70" max="70" width="4" style="112" customWidth="1"/>
    <col min="71" max="71" width="5" style="112" customWidth="1"/>
    <col min="72" max="72" width="4" style="112" customWidth="1"/>
    <col min="73" max="73" width="5.140625" style="112" customWidth="1"/>
    <col min="74" max="74" width="5.5703125" style="112" customWidth="1"/>
    <col min="75" max="75" width="4" style="112" customWidth="1"/>
    <col min="76" max="76" width="5" style="148" customWidth="1"/>
    <col min="77" max="77" width="4.5703125" style="129" customWidth="1"/>
    <col min="78" max="78" width="4.42578125" style="129" customWidth="1"/>
    <col min="79" max="80" width="4" style="129" customWidth="1"/>
    <col min="81" max="81" width="5.7109375" style="112" customWidth="1"/>
    <col min="82" max="82" width="6.140625" style="112" customWidth="1"/>
    <col min="83" max="83" width="4" style="112" customWidth="1"/>
    <col min="84" max="84" width="7" style="112" customWidth="1"/>
    <col min="85" max="88" width="0" style="112" hidden="1" customWidth="1"/>
    <col min="89" max="16384" width="9.140625" style="112"/>
  </cols>
  <sheetData>
    <row r="1" spans="1:124" ht="14.25">
      <c r="A1" s="912" t="s">
        <v>610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200" t="s">
        <v>411</v>
      </c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9"/>
      <c r="DN1" s="129"/>
      <c r="DO1" s="129"/>
      <c r="DP1" s="129"/>
      <c r="DQ1" s="129"/>
      <c r="DR1" s="129"/>
      <c r="DS1" s="129"/>
      <c r="DT1" s="129"/>
    </row>
    <row r="2" spans="1:124" s="131" customForma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8"/>
      <c r="Y2" s="130"/>
      <c r="Z2" s="130"/>
      <c r="AA2" s="128"/>
      <c r="AB2" s="128"/>
      <c r="AC2" s="130"/>
      <c r="AD2" s="130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30"/>
      <c r="BR2" s="130"/>
      <c r="BS2" s="128"/>
      <c r="BT2" s="128"/>
      <c r="BU2" s="130"/>
      <c r="BV2" s="130"/>
      <c r="BW2" s="128"/>
      <c r="BX2" s="128"/>
      <c r="BY2" s="128"/>
      <c r="BZ2" s="128"/>
      <c r="CA2" s="128"/>
      <c r="CB2" s="128"/>
      <c r="CC2" s="128" t="s">
        <v>257</v>
      </c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9"/>
      <c r="DN2" s="129"/>
      <c r="DO2" s="129"/>
      <c r="DP2" s="129"/>
      <c r="DQ2" s="129"/>
      <c r="DR2" s="129"/>
      <c r="DS2" s="129"/>
      <c r="DT2" s="129"/>
    </row>
    <row r="3" spans="1:124" s="133" customFormat="1">
      <c r="A3" s="911"/>
      <c r="B3" s="911"/>
      <c r="C3" s="911"/>
      <c r="D3" s="911"/>
      <c r="E3" s="911" t="s">
        <v>187</v>
      </c>
      <c r="F3" s="911"/>
      <c r="G3" s="911"/>
      <c r="H3" s="911"/>
      <c r="I3" s="911" t="s">
        <v>188</v>
      </c>
      <c r="J3" s="911"/>
      <c r="K3" s="911"/>
      <c r="L3" s="911"/>
      <c r="M3" s="911" t="s">
        <v>189</v>
      </c>
      <c r="N3" s="911"/>
      <c r="O3" s="911"/>
      <c r="P3" s="911"/>
      <c r="Q3" s="911" t="s">
        <v>190</v>
      </c>
      <c r="R3" s="911"/>
      <c r="S3" s="911"/>
      <c r="T3" s="911"/>
      <c r="U3" s="911" t="s">
        <v>191</v>
      </c>
      <c r="V3" s="911"/>
      <c r="W3" s="911"/>
      <c r="X3" s="911"/>
      <c r="Y3" s="911" t="s">
        <v>192</v>
      </c>
      <c r="Z3" s="911"/>
      <c r="AA3" s="911"/>
      <c r="AB3" s="911"/>
      <c r="AC3" s="911" t="s">
        <v>193</v>
      </c>
      <c r="AD3" s="911"/>
      <c r="AE3" s="911"/>
      <c r="AF3" s="911"/>
      <c r="AG3" s="908" t="s">
        <v>194</v>
      </c>
      <c r="AH3" s="909"/>
      <c r="AI3" s="909"/>
      <c r="AJ3" s="910"/>
      <c r="AK3" s="908" t="s">
        <v>288</v>
      </c>
      <c r="AL3" s="909"/>
      <c r="AM3" s="909"/>
      <c r="AN3" s="910"/>
      <c r="AO3" s="908" t="s">
        <v>402</v>
      </c>
      <c r="AP3" s="909"/>
      <c r="AQ3" s="909"/>
      <c r="AR3" s="910"/>
      <c r="AS3" s="908" t="s">
        <v>403</v>
      </c>
      <c r="AT3" s="909"/>
      <c r="AU3" s="909"/>
      <c r="AV3" s="910"/>
      <c r="AW3" s="908" t="s">
        <v>404</v>
      </c>
      <c r="AX3" s="909"/>
      <c r="AY3" s="909"/>
      <c r="AZ3" s="910"/>
      <c r="BA3" s="908" t="s">
        <v>406</v>
      </c>
      <c r="BB3" s="909"/>
      <c r="BC3" s="909"/>
      <c r="BD3" s="910"/>
      <c r="BE3" s="908" t="s">
        <v>611</v>
      </c>
      <c r="BF3" s="909"/>
      <c r="BG3" s="909"/>
      <c r="BH3" s="910"/>
      <c r="BI3" s="908" t="s">
        <v>421</v>
      </c>
      <c r="BJ3" s="909"/>
      <c r="BK3" s="909"/>
      <c r="BL3" s="910"/>
      <c r="BM3" s="908" t="s">
        <v>405</v>
      </c>
      <c r="BN3" s="909"/>
      <c r="BO3" s="909"/>
      <c r="BP3" s="910"/>
      <c r="BQ3" s="911" t="s">
        <v>71</v>
      </c>
      <c r="BR3" s="911"/>
      <c r="BS3" s="911"/>
      <c r="BT3" s="911"/>
      <c r="BU3" s="911" t="s">
        <v>576</v>
      </c>
      <c r="BV3" s="911"/>
      <c r="BW3" s="911"/>
      <c r="BX3" s="908"/>
      <c r="BY3" s="908" t="s">
        <v>400</v>
      </c>
      <c r="BZ3" s="909"/>
      <c r="CA3" s="909"/>
      <c r="CB3" s="910"/>
      <c r="CC3" s="908" t="s">
        <v>195</v>
      </c>
      <c r="CD3" s="909"/>
      <c r="CE3" s="909"/>
      <c r="CF3" s="910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</row>
    <row r="4" spans="1:124" s="133" customFormat="1" ht="27" customHeight="1">
      <c r="A4" s="134" t="s">
        <v>196</v>
      </c>
      <c r="B4" s="911" t="s">
        <v>197</v>
      </c>
      <c r="C4" s="911"/>
      <c r="D4" s="911"/>
      <c r="E4" s="135" t="s">
        <v>68</v>
      </c>
      <c r="F4" s="135" t="s">
        <v>69</v>
      </c>
      <c r="G4" s="135" t="s">
        <v>70</v>
      </c>
      <c r="H4" s="135" t="s">
        <v>198</v>
      </c>
      <c r="I4" s="135" t="s">
        <v>68</v>
      </c>
      <c r="J4" s="135" t="s">
        <v>69</v>
      </c>
      <c r="K4" s="135" t="s">
        <v>70</v>
      </c>
      <c r="L4" s="135" t="s">
        <v>198</v>
      </c>
      <c r="M4" s="135" t="s">
        <v>68</v>
      </c>
      <c r="N4" s="135" t="s">
        <v>69</v>
      </c>
      <c r="O4" s="135" t="s">
        <v>70</v>
      </c>
      <c r="P4" s="135" t="s">
        <v>199</v>
      </c>
      <c r="Q4" s="135" t="s">
        <v>68</v>
      </c>
      <c r="R4" s="135" t="s">
        <v>69</v>
      </c>
      <c r="S4" s="135" t="s">
        <v>70</v>
      </c>
      <c r="T4" s="135" t="s">
        <v>198</v>
      </c>
      <c r="U4" s="135" t="s">
        <v>68</v>
      </c>
      <c r="V4" s="135" t="s">
        <v>69</v>
      </c>
      <c r="W4" s="135" t="s">
        <v>70</v>
      </c>
      <c r="X4" s="135" t="s">
        <v>198</v>
      </c>
      <c r="Y4" s="135" t="s">
        <v>68</v>
      </c>
      <c r="Z4" s="135" t="s">
        <v>69</v>
      </c>
      <c r="AA4" s="135" t="s">
        <v>70</v>
      </c>
      <c r="AB4" s="135" t="s">
        <v>242</v>
      </c>
      <c r="AC4" s="135" t="s">
        <v>68</v>
      </c>
      <c r="AD4" s="135" t="s">
        <v>69</v>
      </c>
      <c r="AE4" s="135" t="s">
        <v>70</v>
      </c>
      <c r="AF4" s="135" t="s">
        <v>198</v>
      </c>
      <c r="AG4" s="135" t="s">
        <v>68</v>
      </c>
      <c r="AH4" s="135" t="s">
        <v>69</v>
      </c>
      <c r="AI4" s="135" t="s">
        <v>70</v>
      </c>
      <c r="AJ4" s="135" t="s">
        <v>198</v>
      </c>
      <c r="AK4" s="135" t="s">
        <v>68</v>
      </c>
      <c r="AL4" s="135" t="s">
        <v>69</v>
      </c>
      <c r="AM4" s="135" t="s">
        <v>70</v>
      </c>
      <c r="AN4" s="135" t="s">
        <v>198</v>
      </c>
      <c r="AO4" s="135" t="s">
        <v>68</v>
      </c>
      <c r="AP4" s="135" t="s">
        <v>69</v>
      </c>
      <c r="AQ4" s="135" t="s">
        <v>70</v>
      </c>
      <c r="AR4" s="135" t="s">
        <v>198</v>
      </c>
      <c r="AS4" s="135" t="s">
        <v>68</v>
      </c>
      <c r="AT4" s="135" t="s">
        <v>69</v>
      </c>
      <c r="AU4" s="135" t="s">
        <v>70</v>
      </c>
      <c r="AV4" s="135" t="s">
        <v>198</v>
      </c>
      <c r="AW4" s="135" t="s">
        <v>68</v>
      </c>
      <c r="AX4" s="135" t="s">
        <v>69</v>
      </c>
      <c r="AY4" s="135" t="s">
        <v>70</v>
      </c>
      <c r="AZ4" s="135" t="s">
        <v>198</v>
      </c>
      <c r="BA4" s="135" t="s">
        <v>68</v>
      </c>
      <c r="BB4" s="135" t="s">
        <v>69</v>
      </c>
      <c r="BC4" s="135" t="s">
        <v>70</v>
      </c>
      <c r="BD4" s="135" t="s">
        <v>198</v>
      </c>
      <c r="BE4" s="135" t="s">
        <v>68</v>
      </c>
      <c r="BF4" s="135" t="s">
        <v>69</v>
      </c>
      <c r="BG4" s="135" t="s">
        <v>70</v>
      </c>
      <c r="BH4" s="135" t="s">
        <v>198</v>
      </c>
      <c r="BI4" s="135" t="s">
        <v>68</v>
      </c>
      <c r="BJ4" s="135" t="s">
        <v>69</v>
      </c>
      <c r="BK4" s="135" t="s">
        <v>70</v>
      </c>
      <c r="BL4" s="135" t="s">
        <v>198</v>
      </c>
      <c r="BM4" s="135" t="s">
        <v>68</v>
      </c>
      <c r="BN4" s="135" t="s">
        <v>69</v>
      </c>
      <c r="BO4" s="135" t="s">
        <v>70</v>
      </c>
      <c r="BP4" s="135" t="s">
        <v>198</v>
      </c>
      <c r="BQ4" s="135" t="s">
        <v>68</v>
      </c>
      <c r="BR4" s="135" t="s">
        <v>69</v>
      </c>
      <c r="BS4" s="135" t="s">
        <v>70</v>
      </c>
      <c r="BT4" s="135" t="s">
        <v>198</v>
      </c>
      <c r="BU4" s="135" t="s">
        <v>68</v>
      </c>
      <c r="BV4" s="135" t="s">
        <v>69</v>
      </c>
      <c r="BW4" s="135" t="s">
        <v>70</v>
      </c>
      <c r="BX4" s="135" t="s">
        <v>198</v>
      </c>
      <c r="BY4" s="135" t="s">
        <v>68</v>
      </c>
      <c r="BZ4" s="135" t="s">
        <v>69</v>
      </c>
      <c r="CA4" s="135" t="s">
        <v>70</v>
      </c>
      <c r="CB4" s="135" t="s">
        <v>200</v>
      </c>
      <c r="CC4" s="136" t="s">
        <v>68</v>
      </c>
      <c r="CD4" s="136" t="s">
        <v>69</v>
      </c>
      <c r="CE4" s="136" t="s">
        <v>70</v>
      </c>
      <c r="CF4" s="135" t="s">
        <v>200</v>
      </c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</row>
    <row r="5" spans="1:124" s="137" customFormat="1">
      <c r="A5" s="114">
        <v>200</v>
      </c>
      <c r="B5" s="869" t="s">
        <v>201</v>
      </c>
      <c r="C5" s="870"/>
      <c r="D5" s="871"/>
      <c r="E5" s="113">
        <f>E7+E9+E10+E45+E6</f>
        <v>148</v>
      </c>
      <c r="F5" s="113">
        <f>F7+F9+F10+F45+F6</f>
        <v>115.71369</v>
      </c>
      <c r="G5" s="113">
        <f>F5/E5*100</f>
        <v>78.184925675675672</v>
      </c>
      <c r="H5" s="113">
        <f t="shared" ref="H5:H11" si="0">F5-E5</f>
        <v>-32.28631</v>
      </c>
      <c r="I5" s="113">
        <f>I7+I9+I10+I45</f>
        <v>190</v>
      </c>
      <c r="J5" s="113">
        <f>J7+J9+J10+J45</f>
        <v>149.57114000000001</v>
      </c>
      <c r="K5" s="113">
        <f>J5/I5*100</f>
        <v>78.721652631578948</v>
      </c>
      <c r="L5" s="114"/>
      <c r="M5" s="113">
        <f>M7+M9+M10+M45</f>
        <v>275</v>
      </c>
      <c r="N5" s="113">
        <f>N7+N9+N10+N45</f>
        <v>341.35309999999993</v>
      </c>
      <c r="O5" s="113">
        <f>N5/M5*100</f>
        <v>124.12839999999998</v>
      </c>
      <c r="P5" s="114">
        <f>N5-M5</f>
        <v>66.353099999999927</v>
      </c>
      <c r="Q5" s="113">
        <f>Q7+Q9+Q10+Q45+Q6</f>
        <v>277</v>
      </c>
      <c r="R5" s="113">
        <f>R7+R9+R10+R45+R6</f>
        <v>291.31182999999999</v>
      </c>
      <c r="S5" s="113">
        <f>R5/Q5*100</f>
        <v>105.16672563176894</v>
      </c>
      <c r="T5" s="113">
        <f>R5-Q5</f>
        <v>14.311829999999986</v>
      </c>
      <c r="U5" s="113">
        <f>U7+U9+U10+U45</f>
        <v>201</v>
      </c>
      <c r="V5" s="113">
        <f>V7+V9+V10+V45</f>
        <v>154.44793999999999</v>
      </c>
      <c r="W5" s="113">
        <f>V5/U5*100</f>
        <v>76.8397711442786</v>
      </c>
      <c r="X5" s="114">
        <f>V5-U5</f>
        <v>-46.552060000000012</v>
      </c>
      <c r="Y5" s="113">
        <f>Y7+Y9+Y10+Y45</f>
        <v>211</v>
      </c>
      <c r="Z5" s="113">
        <f>Z7+Z9+Z10+Z45</f>
        <v>148.33635999999998</v>
      </c>
      <c r="AA5" s="113">
        <f>Z5/Y5*100</f>
        <v>70.301592417061613</v>
      </c>
      <c r="AB5" s="114">
        <f t="shared" ref="AB5:AB19" si="1">Z5-Y5</f>
        <v>-62.663640000000015</v>
      </c>
      <c r="AC5" s="113">
        <f>AC7+AC9+AC10+AC45</f>
        <v>190</v>
      </c>
      <c r="AD5" s="113">
        <f>AD7+AD9+AD10+AD45</f>
        <v>167.31009</v>
      </c>
      <c r="AE5" s="113">
        <f>AD5/AC5*100</f>
        <v>88.057942105263152</v>
      </c>
      <c r="AF5" s="114">
        <f t="shared" ref="AF5:AF19" si="2">AD5-AC5</f>
        <v>-22.689909999999998</v>
      </c>
      <c r="AG5" s="113">
        <f t="shared" ref="AG5:AG65" si="3">E5+I5+M5+Q5+U5+Y5+AC5</f>
        <v>1492</v>
      </c>
      <c r="AH5" s="113">
        <f>AH7+AH9+AH10+AH45+AH6</f>
        <v>1368.0441499999999</v>
      </c>
      <c r="AI5" s="113">
        <f>AH5/AG5*100</f>
        <v>91.691967158176936</v>
      </c>
      <c r="AJ5" s="113">
        <f>AH5-AG5</f>
        <v>-123.95585000000005</v>
      </c>
      <c r="AK5" s="113">
        <f>AK7+AK9+AK10+AK45</f>
        <v>15</v>
      </c>
      <c r="AL5" s="113">
        <f>AL7+AL9+AL10+AL45</f>
        <v>168.98069000000001</v>
      </c>
      <c r="AM5" s="113">
        <f>AL5/AK5*100</f>
        <v>1126.5379333333333</v>
      </c>
      <c r="AN5" s="113">
        <f t="shared" ref="AN5:AN17" si="4">AL5-AK5</f>
        <v>153.98069000000001</v>
      </c>
      <c r="AO5" s="113">
        <f>AO7+AO9+AO10+AO45</f>
        <v>15</v>
      </c>
      <c r="AP5" s="113">
        <f>AP7+AP9+AP10+AP45</f>
        <v>22.95</v>
      </c>
      <c r="AQ5" s="113">
        <f>AP5/AO5*100</f>
        <v>153</v>
      </c>
      <c r="AR5" s="113">
        <f t="shared" ref="AR5:AR13" si="5">AP5-AO5</f>
        <v>7.9499999999999993</v>
      </c>
      <c r="AS5" s="113">
        <f>AS7+AS9+AS10+AS45+AS6</f>
        <v>15</v>
      </c>
      <c r="AT5" s="113">
        <f>AT7+AT9+AT10+AT45+AT6</f>
        <v>21.394659999999998</v>
      </c>
      <c r="AU5" s="113">
        <f>AT5/AS5*100</f>
        <v>142.63106666666664</v>
      </c>
      <c r="AV5" s="113">
        <f t="shared" ref="AV5:AV13" si="6">AT5-AS5</f>
        <v>6.3946599999999982</v>
      </c>
      <c r="AW5" s="113">
        <f>AW7+AW9+AW10+AW45</f>
        <v>15</v>
      </c>
      <c r="AX5" s="113">
        <f>AX7+AX9+AX10+AX45</f>
        <v>41.522950000000002</v>
      </c>
      <c r="AY5" s="113">
        <f>AX5/AW5*100</f>
        <v>276.81966666666671</v>
      </c>
      <c r="AZ5" s="113">
        <f t="shared" ref="AZ5:AZ13" si="7">AX5-AW5</f>
        <v>26.522950000000002</v>
      </c>
      <c r="BA5" s="113">
        <f t="shared" ref="BA5:BA65" si="8">AK5+AO5+AS5+AW5</f>
        <v>60</v>
      </c>
      <c r="BB5" s="113">
        <f>BB7+BB9+BB10+BB45</f>
        <v>254.84830000000002</v>
      </c>
      <c r="BC5" s="113">
        <f>BB5/BA5*100</f>
        <v>424.74716666666666</v>
      </c>
      <c r="BD5" s="113">
        <f t="shared" ref="BD5:BD13" si="9">BB5-BA5</f>
        <v>194.84830000000002</v>
      </c>
      <c r="BE5" s="113">
        <f>BE7+BE9+BE10+BE45</f>
        <v>0</v>
      </c>
      <c r="BF5" s="113">
        <f>BF7+BF9+BF10+BF45</f>
        <v>5.7712500000000002</v>
      </c>
      <c r="BG5" s="113" t="e">
        <f>BF5/BE5*100</f>
        <v>#DIV/0!</v>
      </c>
      <c r="BH5" s="113">
        <f t="shared" ref="BH5:BH13" si="10">BF5-BE5</f>
        <v>5.7712500000000002</v>
      </c>
      <c r="BI5" s="113">
        <f>BI7+BI9+BI10+BI45</f>
        <v>0</v>
      </c>
      <c r="BJ5" s="113">
        <f>BJ7+BJ9+BJ10+BJ45</f>
        <v>16.943460000000002</v>
      </c>
      <c r="BK5" s="113" t="e">
        <f>BJ5/BI5*100</f>
        <v>#DIV/0!</v>
      </c>
      <c r="BL5" s="113">
        <f>BJ5-BI5</f>
        <v>16.943460000000002</v>
      </c>
      <c r="BM5" s="113">
        <f>BM7+BM9+BM10+BM45</f>
        <v>15</v>
      </c>
      <c r="BN5" s="113">
        <f>BN7+BN9+BN10+BN45</f>
        <v>4.3944999999999999</v>
      </c>
      <c r="BO5" s="113">
        <f>BN5/BM5*100</f>
        <v>29.296666666666667</v>
      </c>
      <c r="BP5" s="113">
        <f>BN5-BM5</f>
        <v>-10.605499999999999</v>
      </c>
      <c r="BQ5" s="113">
        <f>BQ7+BQ9+BQ10+BQ45</f>
        <v>31</v>
      </c>
      <c r="BR5" s="113">
        <f>BR7+BR9+BR10+BR45</f>
        <v>1.5</v>
      </c>
      <c r="BS5" s="113">
        <f t="shared" ref="BS5:BS13" si="11">BR5/BQ5*100</f>
        <v>4.838709677419355</v>
      </c>
      <c r="BT5" s="114">
        <f>BR5-BQ5</f>
        <v>-29.5</v>
      </c>
      <c r="BU5" s="113">
        <f>BU7+BU9+BU10+BU45</f>
        <v>550</v>
      </c>
      <c r="BV5" s="78">
        <f>BV7+BV9+BV10+BV45</f>
        <v>299.25864000000001</v>
      </c>
      <c r="BW5" s="115">
        <f>BV5/BU5*100</f>
        <v>54.410661818181815</v>
      </c>
      <c r="BX5" s="114">
        <f>BV5-BU5</f>
        <v>-250.74135999999999</v>
      </c>
      <c r="BY5" s="78">
        <f>BY7+BY9+BY10+BY45</f>
        <v>20.5</v>
      </c>
      <c r="BZ5" s="78">
        <f>BZ7+BZ9+BZ10+BZ45</f>
        <v>11.6</v>
      </c>
      <c r="CA5" s="115">
        <f>BZ5/BY5*100</f>
        <v>56.58536585365853</v>
      </c>
      <c r="CB5" s="114">
        <f>BZ5-BY5</f>
        <v>-8.9</v>
      </c>
      <c r="CC5" s="113">
        <f t="shared" ref="CC5:CC10" si="12">AG5+BA5+BE5+BI5+BM5+BQ5+BU5+BY5</f>
        <v>2168.5</v>
      </c>
      <c r="CD5" s="113">
        <f>CD7+CD9+CD10+CD45+CD6</f>
        <v>1962.3603000000003</v>
      </c>
      <c r="CE5" s="113">
        <f t="shared" ref="CE5:CE66" si="13">CD5/CC5*100</f>
        <v>90.493903620013853</v>
      </c>
      <c r="CF5" s="113">
        <f t="shared" ref="CF5:CF66" si="14">CD5-CC5</f>
        <v>-206.13969999999972</v>
      </c>
      <c r="CH5" s="137">
        <f>F5+J5+N5+R5+V5+Z5+AD5+AL5+AP5+AT5+AX5+BF5+BJ5+BN5+BR5+BV5+BZ5</f>
        <v>1962.3602999999998</v>
      </c>
      <c r="CI5" s="137">
        <f>E5+I5+M5+Q5+U5+Y5+AC5+AG5+AK5+AO5+AS5+AW5+BE5+BI5+BM5+BQ5+BU5+BY5-AG5</f>
        <v>2168.5</v>
      </c>
      <c r="CK5" s="146">
        <f t="shared" ref="CK5:CK65" si="15">F5+J5+N5+R5+V5+Z5+AD5+AL5+AP5+AT5+AX5+BF5+BJ5+BN5+BR5+BV5+BZ5</f>
        <v>1962.3602999999998</v>
      </c>
    </row>
    <row r="6" spans="1:124" s="137" customFormat="1" hidden="1">
      <c r="A6" s="114">
        <v>211</v>
      </c>
      <c r="B6" s="138" t="s">
        <v>420</v>
      </c>
      <c r="C6" s="139"/>
      <c r="D6" s="140"/>
      <c r="E6" s="113">
        <v>0</v>
      </c>
      <c r="F6" s="113">
        <v>0</v>
      </c>
      <c r="G6" s="113" t="e">
        <f>F6/E6*100</f>
        <v>#DIV/0!</v>
      </c>
      <c r="H6" s="113">
        <f t="shared" si="0"/>
        <v>0</v>
      </c>
      <c r="I6" s="113"/>
      <c r="J6" s="113"/>
      <c r="K6" s="113"/>
      <c r="L6" s="114"/>
      <c r="M6" s="113"/>
      <c r="N6" s="113"/>
      <c r="O6" s="113"/>
      <c r="P6" s="114"/>
      <c r="Q6" s="113"/>
      <c r="R6" s="113"/>
      <c r="S6" s="113"/>
      <c r="T6" s="113"/>
      <c r="U6" s="113"/>
      <c r="V6" s="113"/>
      <c r="W6" s="113"/>
      <c r="X6" s="114"/>
      <c r="Y6" s="113"/>
      <c r="Z6" s="113"/>
      <c r="AA6" s="113"/>
      <c r="AB6" s="114"/>
      <c r="AC6" s="113"/>
      <c r="AD6" s="113"/>
      <c r="AE6" s="113"/>
      <c r="AF6" s="114"/>
      <c r="AG6" s="113">
        <f t="shared" si="3"/>
        <v>0</v>
      </c>
      <c r="AH6" s="113">
        <f>F6+R6</f>
        <v>0</v>
      </c>
      <c r="AI6" s="113" t="e">
        <f>AH6/AG6*100</f>
        <v>#DIV/0!</v>
      </c>
      <c r="AJ6" s="113">
        <f>AH6-AG6</f>
        <v>0</v>
      </c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 t="e">
        <f>AT6/AS6*100</f>
        <v>#DIV/0!</v>
      </c>
      <c r="AV6" s="113">
        <f t="shared" si="6"/>
        <v>0</v>
      </c>
      <c r="AW6" s="113"/>
      <c r="AX6" s="113"/>
      <c r="AY6" s="113"/>
      <c r="AZ6" s="113"/>
      <c r="BA6" s="113">
        <f t="shared" si="8"/>
        <v>0</v>
      </c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4"/>
      <c r="BU6" s="113"/>
      <c r="BV6" s="78"/>
      <c r="BW6" s="115"/>
      <c r="BX6" s="114"/>
      <c r="BY6" s="113"/>
      <c r="BZ6" s="113"/>
      <c r="CA6" s="115"/>
      <c r="CB6" s="114"/>
      <c r="CC6" s="113">
        <f t="shared" si="12"/>
        <v>0</v>
      </c>
      <c r="CD6" s="113">
        <f>F6+R6+AT6</f>
        <v>0</v>
      </c>
      <c r="CE6" s="113" t="e">
        <f t="shared" si="13"/>
        <v>#DIV/0!</v>
      </c>
      <c r="CF6" s="113">
        <f t="shared" si="14"/>
        <v>0</v>
      </c>
      <c r="CH6" s="137">
        <f t="shared" ref="CH6:CH66" si="16">F6+J6+N6+R6+V6+Z6+AD6+AL6+AP6+AT6+AX6+BF6+BJ6+BN6+BR6+BV6+BZ6</f>
        <v>0</v>
      </c>
      <c r="CI6" s="137">
        <f t="shared" ref="CI6:CI66" si="17">E6+I6+M6+Q6+U6+Y6+AC6+AG6+AK6+AO6+AS6+AW6+BE6+BI6+BM6+BQ6+BU6+BY6-AG6</f>
        <v>0</v>
      </c>
      <c r="CK6" s="146">
        <f t="shared" si="15"/>
        <v>0</v>
      </c>
    </row>
    <row r="7" spans="1:124" s="141" customFormat="1" ht="13.5">
      <c r="A7" s="123">
        <v>212</v>
      </c>
      <c r="B7" s="887" t="s">
        <v>102</v>
      </c>
      <c r="C7" s="888"/>
      <c r="D7" s="889"/>
      <c r="E7" s="116">
        <f>E8</f>
        <v>2</v>
      </c>
      <c r="F7" s="116">
        <f>F8</f>
        <v>0</v>
      </c>
      <c r="G7" s="113"/>
      <c r="H7" s="113">
        <f t="shared" si="0"/>
        <v>-2</v>
      </c>
      <c r="I7" s="116">
        <f>I8</f>
        <v>2</v>
      </c>
      <c r="J7" s="116">
        <f>J8</f>
        <v>0</v>
      </c>
      <c r="K7" s="123"/>
      <c r="L7" s="123"/>
      <c r="M7" s="116">
        <f>M8</f>
        <v>3</v>
      </c>
      <c r="N7" s="116">
        <f>N8</f>
        <v>0</v>
      </c>
      <c r="O7" s="116"/>
      <c r="P7" s="123">
        <f>N7-M7</f>
        <v>-3</v>
      </c>
      <c r="Q7" s="116">
        <f>Q8</f>
        <v>5</v>
      </c>
      <c r="R7" s="116">
        <f>R8</f>
        <v>0</v>
      </c>
      <c r="S7" s="116"/>
      <c r="T7" s="123"/>
      <c r="U7" s="116">
        <f>U8</f>
        <v>2</v>
      </c>
      <c r="V7" s="116">
        <f>V8</f>
        <v>0</v>
      </c>
      <c r="W7" s="123"/>
      <c r="X7" s="123">
        <f>V7-U7</f>
        <v>-2</v>
      </c>
      <c r="Y7" s="116">
        <f>Y8</f>
        <v>2</v>
      </c>
      <c r="Z7" s="116">
        <f>Z8</f>
        <v>0</v>
      </c>
      <c r="AA7" s="116"/>
      <c r="AB7" s="123">
        <f t="shared" si="1"/>
        <v>-2</v>
      </c>
      <c r="AC7" s="116">
        <f>AC8</f>
        <v>2</v>
      </c>
      <c r="AD7" s="116">
        <f>AD8</f>
        <v>0</v>
      </c>
      <c r="AE7" s="116"/>
      <c r="AF7" s="123"/>
      <c r="AG7" s="113">
        <f t="shared" si="3"/>
        <v>18</v>
      </c>
      <c r="AH7" s="116">
        <f>AH8</f>
        <v>0</v>
      </c>
      <c r="AI7" s="113">
        <f>AH7/AG7*100</f>
        <v>0</v>
      </c>
      <c r="AJ7" s="113">
        <f>AH7-AG7</f>
        <v>-18</v>
      </c>
      <c r="AK7" s="116">
        <f>AK8</f>
        <v>0</v>
      </c>
      <c r="AL7" s="116">
        <f>AL8</f>
        <v>0</v>
      </c>
      <c r="AM7" s="113"/>
      <c r="AN7" s="113">
        <f t="shared" si="4"/>
        <v>0</v>
      </c>
      <c r="AO7" s="116">
        <f>AO8</f>
        <v>0</v>
      </c>
      <c r="AP7" s="116">
        <f>AP8</f>
        <v>0</v>
      </c>
      <c r="AQ7" s="113"/>
      <c r="AR7" s="113">
        <f t="shared" si="5"/>
        <v>0</v>
      </c>
      <c r="AS7" s="116">
        <f>AS8</f>
        <v>0</v>
      </c>
      <c r="AT7" s="116">
        <f>AT8</f>
        <v>0</v>
      </c>
      <c r="AU7" s="113"/>
      <c r="AV7" s="113">
        <f t="shared" si="6"/>
        <v>0</v>
      </c>
      <c r="AW7" s="116">
        <f>AW8</f>
        <v>0</v>
      </c>
      <c r="AX7" s="116">
        <f>AX8</f>
        <v>14.787000000000001</v>
      </c>
      <c r="AY7" s="113"/>
      <c r="AZ7" s="113">
        <f t="shared" si="7"/>
        <v>14.787000000000001</v>
      </c>
      <c r="BA7" s="113">
        <f t="shared" si="8"/>
        <v>0</v>
      </c>
      <c r="BB7" s="116">
        <f>BB8</f>
        <v>14.787000000000001</v>
      </c>
      <c r="BC7" s="113"/>
      <c r="BD7" s="113">
        <f>BB7-BA7</f>
        <v>14.787000000000001</v>
      </c>
      <c r="BE7" s="116">
        <f>BE8</f>
        <v>0</v>
      </c>
      <c r="BF7" s="116">
        <f>BF8</f>
        <v>0</v>
      </c>
      <c r="BG7" s="113"/>
      <c r="BH7" s="113">
        <f t="shared" si="10"/>
        <v>0</v>
      </c>
      <c r="BI7" s="116">
        <f>BI8</f>
        <v>0</v>
      </c>
      <c r="BJ7" s="116">
        <f>BJ8</f>
        <v>0</v>
      </c>
      <c r="BK7" s="113"/>
      <c r="BL7" s="113">
        <f t="shared" ref="BL7:BL13" si="18">BJ7-BI7</f>
        <v>0</v>
      </c>
      <c r="BM7" s="116">
        <f>BM8</f>
        <v>0</v>
      </c>
      <c r="BN7" s="116">
        <f>BN8</f>
        <v>0</v>
      </c>
      <c r="BO7" s="113"/>
      <c r="BP7" s="113">
        <f t="shared" ref="BP7:BP13" si="19">BN7-BM7</f>
        <v>0</v>
      </c>
      <c r="BQ7" s="116">
        <f>BQ8</f>
        <v>2</v>
      </c>
      <c r="BR7" s="116">
        <f>BR8</f>
        <v>0</v>
      </c>
      <c r="BS7" s="116">
        <f t="shared" si="11"/>
        <v>0</v>
      </c>
      <c r="BT7" s="123">
        <f>BR7-BQ7</f>
        <v>-2</v>
      </c>
      <c r="BU7" s="116">
        <f>BU8</f>
        <v>30</v>
      </c>
      <c r="BV7" s="154">
        <f>BV8</f>
        <v>0.5</v>
      </c>
      <c r="BW7" s="117">
        <f>BV7/BU7*100</f>
        <v>1.6666666666666667</v>
      </c>
      <c r="BX7" s="123">
        <f t="shared" ref="BX7:BX66" si="20">BV7-BU7</f>
        <v>-29.5</v>
      </c>
      <c r="BY7" s="154">
        <f>BY8</f>
        <v>2.5</v>
      </c>
      <c r="BZ7" s="154">
        <f>BZ8</f>
        <v>0</v>
      </c>
      <c r="CA7" s="117">
        <f>BZ7/BY7*100</f>
        <v>0</v>
      </c>
      <c r="CB7" s="123">
        <f>BZ7-BY7</f>
        <v>-2.5</v>
      </c>
      <c r="CC7" s="113">
        <f t="shared" si="12"/>
        <v>52.5</v>
      </c>
      <c r="CD7" s="116">
        <f>CD8</f>
        <v>15.287000000000001</v>
      </c>
      <c r="CE7" s="116">
        <f t="shared" si="13"/>
        <v>29.118095238095236</v>
      </c>
      <c r="CF7" s="116">
        <f t="shared" si="14"/>
        <v>-37.213000000000001</v>
      </c>
      <c r="CH7" s="137">
        <f t="shared" si="16"/>
        <v>15.287000000000001</v>
      </c>
      <c r="CI7" s="137">
        <f t="shared" si="17"/>
        <v>52.5</v>
      </c>
      <c r="CK7" s="146">
        <f t="shared" si="15"/>
        <v>15.287000000000001</v>
      </c>
    </row>
    <row r="8" spans="1:124">
      <c r="A8" s="122"/>
      <c r="B8" s="875" t="s">
        <v>202</v>
      </c>
      <c r="C8" s="876"/>
      <c r="D8" s="877"/>
      <c r="E8" s="108">
        <v>2</v>
      </c>
      <c r="F8" s="108"/>
      <c r="G8" s="108"/>
      <c r="H8" s="109">
        <f t="shared" si="0"/>
        <v>-2</v>
      </c>
      <c r="I8" s="108">
        <v>2</v>
      </c>
      <c r="J8" s="108"/>
      <c r="K8" s="122"/>
      <c r="L8" s="122"/>
      <c r="M8" s="108">
        <v>3</v>
      </c>
      <c r="N8" s="108"/>
      <c r="O8" s="108"/>
      <c r="P8" s="122">
        <f>N8-M8</f>
        <v>-3</v>
      </c>
      <c r="Q8" s="108">
        <v>5</v>
      </c>
      <c r="R8" s="108"/>
      <c r="S8" s="108"/>
      <c r="T8" s="122"/>
      <c r="U8" s="108">
        <v>2</v>
      </c>
      <c r="V8" s="108"/>
      <c r="W8" s="122"/>
      <c r="X8" s="122">
        <f>V8-U8</f>
        <v>-2</v>
      </c>
      <c r="Y8" s="108">
        <v>2</v>
      </c>
      <c r="Z8" s="108"/>
      <c r="AA8" s="108"/>
      <c r="AB8" s="122">
        <f t="shared" si="1"/>
        <v>-2</v>
      </c>
      <c r="AC8" s="108">
        <v>2</v>
      </c>
      <c r="AD8" s="108"/>
      <c r="AE8" s="108"/>
      <c r="AF8" s="122"/>
      <c r="AG8" s="106">
        <f t="shared" si="3"/>
        <v>18</v>
      </c>
      <c r="AH8" s="108">
        <f>F8+J8+N8+R8+V8+Z8+AD8</f>
        <v>0</v>
      </c>
      <c r="AI8" s="106">
        <f>AH8/AG8*100</f>
        <v>0</v>
      </c>
      <c r="AJ8" s="108">
        <f>AH8-AG8</f>
        <v>-18</v>
      </c>
      <c r="AK8" s="108"/>
      <c r="AL8" s="108"/>
      <c r="AM8" s="108"/>
      <c r="AN8" s="109">
        <f t="shared" si="4"/>
        <v>0</v>
      </c>
      <c r="AO8" s="108"/>
      <c r="AP8" s="108"/>
      <c r="AQ8" s="108"/>
      <c r="AR8" s="109">
        <f t="shared" si="5"/>
        <v>0</v>
      </c>
      <c r="AS8" s="108"/>
      <c r="AT8" s="108"/>
      <c r="AU8" s="108"/>
      <c r="AV8" s="109">
        <f t="shared" si="6"/>
        <v>0</v>
      </c>
      <c r="AW8" s="108"/>
      <c r="AX8" s="108">
        <v>14.787000000000001</v>
      </c>
      <c r="AY8" s="108"/>
      <c r="AZ8" s="109">
        <f t="shared" si="7"/>
        <v>14.787000000000001</v>
      </c>
      <c r="BA8" s="106">
        <f t="shared" si="8"/>
        <v>0</v>
      </c>
      <c r="BB8" s="108">
        <f>AL8+AP8+AT8+AX8</f>
        <v>14.787000000000001</v>
      </c>
      <c r="BC8" s="108"/>
      <c r="BD8" s="108">
        <f>BB8-BA8</f>
        <v>14.787000000000001</v>
      </c>
      <c r="BE8" s="108"/>
      <c r="BF8" s="108"/>
      <c r="BG8" s="108"/>
      <c r="BH8" s="109">
        <f t="shared" si="10"/>
        <v>0</v>
      </c>
      <c r="BI8" s="108"/>
      <c r="BJ8" s="108"/>
      <c r="BK8" s="108"/>
      <c r="BL8" s="109">
        <f t="shared" si="18"/>
        <v>0</v>
      </c>
      <c r="BM8" s="108"/>
      <c r="BN8" s="108"/>
      <c r="BO8" s="108"/>
      <c r="BP8" s="109">
        <f t="shared" si="19"/>
        <v>0</v>
      </c>
      <c r="BQ8" s="108">
        <v>2</v>
      </c>
      <c r="BR8" s="108"/>
      <c r="BS8" s="108">
        <f t="shared" si="11"/>
        <v>0</v>
      </c>
      <c r="BT8" s="122">
        <f>BR8-BQ8</f>
        <v>-2</v>
      </c>
      <c r="BU8" s="108">
        <v>30</v>
      </c>
      <c r="BV8" s="153">
        <v>0.5</v>
      </c>
      <c r="BW8" s="110">
        <f>BV8/BU8*100</f>
        <v>1.6666666666666667</v>
      </c>
      <c r="BX8" s="122">
        <f t="shared" si="20"/>
        <v>-29.5</v>
      </c>
      <c r="BY8" s="156">
        <v>2.5</v>
      </c>
      <c r="BZ8" s="156"/>
      <c r="CA8" s="122"/>
      <c r="CB8" s="122"/>
      <c r="CC8" s="108">
        <f t="shared" si="12"/>
        <v>52.5</v>
      </c>
      <c r="CD8" s="108">
        <f>R8+V8+Z8+AD8+BR8+BV8+F8+J8+N8+AL8+BZ8+AP8+AT8+AX8+BF8</f>
        <v>15.287000000000001</v>
      </c>
      <c r="CE8" s="108">
        <f t="shared" si="13"/>
        <v>29.118095238095236</v>
      </c>
      <c r="CF8" s="108">
        <f t="shared" si="14"/>
        <v>-37.213000000000001</v>
      </c>
      <c r="CH8" s="142">
        <f t="shared" si="16"/>
        <v>15.287000000000001</v>
      </c>
      <c r="CI8" s="137">
        <f t="shared" si="17"/>
        <v>52.5</v>
      </c>
      <c r="CK8" s="146">
        <f t="shared" si="15"/>
        <v>15.287000000000001</v>
      </c>
    </row>
    <row r="9" spans="1:124" hidden="1">
      <c r="A9" s="122">
        <v>213</v>
      </c>
      <c r="B9" s="890" t="s">
        <v>203</v>
      </c>
      <c r="C9" s="891"/>
      <c r="D9" s="892"/>
      <c r="E9" s="108"/>
      <c r="F9" s="108"/>
      <c r="G9" s="106"/>
      <c r="H9" s="108">
        <f t="shared" si="0"/>
        <v>0</v>
      </c>
      <c r="I9" s="108"/>
      <c r="J9" s="108"/>
      <c r="K9" s="108"/>
      <c r="L9" s="122">
        <f t="shared" ref="L9:L19" si="21">J9-I9</f>
        <v>0</v>
      </c>
      <c r="M9" s="108"/>
      <c r="N9" s="108"/>
      <c r="O9" s="106"/>
      <c r="P9" s="122">
        <f>N9-M9</f>
        <v>0</v>
      </c>
      <c r="Q9" s="108"/>
      <c r="R9" s="108"/>
      <c r="S9" s="108"/>
      <c r="T9" s="122"/>
      <c r="U9" s="108"/>
      <c r="V9" s="108"/>
      <c r="W9" s="122"/>
      <c r="X9" s="122"/>
      <c r="Y9" s="108"/>
      <c r="Z9" s="108"/>
      <c r="AA9" s="108"/>
      <c r="AB9" s="122">
        <f t="shared" si="1"/>
        <v>0</v>
      </c>
      <c r="AC9" s="108"/>
      <c r="AD9" s="108"/>
      <c r="AE9" s="108"/>
      <c r="AF9" s="122"/>
      <c r="AG9" s="106">
        <f t="shared" si="3"/>
        <v>0</v>
      </c>
      <c r="AH9" s="108"/>
      <c r="AI9" s="108"/>
      <c r="AJ9" s="108"/>
      <c r="AK9" s="108"/>
      <c r="AL9" s="108"/>
      <c r="AM9" s="106"/>
      <c r="AN9" s="108">
        <f t="shared" si="4"/>
        <v>0</v>
      </c>
      <c r="AO9" s="108"/>
      <c r="AP9" s="108"/>
      <c r="AQ9" s="106"/>
      <c r="AR9" s="108">
        <f t="shared" si="5"/>
        <v>0</v>
      </c>
      <c r="AS9" s="108"/>
      <c r="AT9" s="108"/>
      <c r="AU9" s="106"/>
      <c r="AV9" s="108">
        <f t="shared" si="6"/>
        <v>0</v>
      </c>
      <c r="AW9" s="108"/>
      <c r="AX9" s="108"/>
      <c r="AY9" s="106"/>
      <c r="AZ9" s="108">
        <f t="shared" si="7"/>
        <v>0</v>
      </c>
      <c r="BA9" s="106">
        <f t="shared" si="8"/>
        <v>0</v>
      </c>
      <c r="BB9" s="108"/>
      <c r="BC9" s="106"/>
      <c r="BD9" s="108">
        <f t="shared" si="9"/>
        <v>0</v>
      </c>
      <c r="BE9" s="108"/>
      <c r="BF9" s="108"/>
      <c r="BG9" s="106"/>
      <c r="BH9" s="108">
        <f t="shared" si="10"/>
        <v>0</v>
      </c>
      <c r="BI9" s="108"/>
      <c r="BJ9" s="108"/>
      <c r="BK9" s="106"/>
      <c r="BL9" s="108">
        <f t="shared" si="18"/>
        <v>0</v>
      </c>
      <c r="BM9" s="108"/>
      <c r="BN9" s="108"/>
      <c r="BO9" s="106"/>
      <c r="BP9" s="108">
        <f t="shared" si="19"/>
        <v>0</v>
      </c>
      <c r="BQ9" s="108"/>
      <c r="BR9" s="108"/>
      <c r="BS9" s="108"/>
      <c r="BT9" s="122"/>
      <c r="BU9" s="108"/>
      <c r="BV9" s="153"/>
      <c r="BW9" s="110"/>
      <c r="BX9" s="122"/>
      <c r="BY9" s="122"/>
      <c r="BZ9" s="122"/>
      <c r="CA9" s="122"/>
      <c r="CB9" s="122"/>
      <c r="CC9" s="108">
        <f t="shared" si="12"/>
        <v>0</v>
      </c>
      <c r="CD9" s="108">
        <f>R9+V9+Z9+AD9+BR9+BV9+F9+J9+N9+AL9+BZ9+AP9+AT9+AX9+BF9</f>
        <v>0</v>
      </c>
      <c r="CE9" s="108"/>
      <c r="CF9" s="108"/>
      <c r="CH9" s="142">
        <f t="shared" si="16"/>
        <v>0</v>
      </c>
      <c r="CI9" s="137">
        <f t="shared" si="17"/>
        <v>0</v>
      </c>
      <c r="CK9" s="146">
        <f t="shared" si="15"/>
        <v>0</v>
      </c>
    </row>
    <row r="10" spans="1:124" s="137" customFormat="1">
      <c r="A10" s="114">
        <v>220</v>
      </c>
      <c r="B10" s="869" t="s">
        <v>106</v>
      </c>
      <c r="C10" s="870"/>
      <c r="D10" s="871"/>
      <c r="E10" s="113">
        <f>E11+E12+E16+E25+E14</f>
        <v>146</v>
      </c>
      <c r="F10" s="113">
        <f>F11+F12+F16+F25+F14</f>
        <v>115.16323</v>
      </c>
      <c r="G10" s="113">
        <f t="shared" ref="G10:G17" si="22">F10/E10*100</f>
        <v>78.878924657534242</v>
      </c>
      <c r="H10" s="113">
        <f t="shared" si="0"/>
        <v>-30.836770000000001</v>
      </c>
      <c r="I10" s="113">
        <f>I11+I12+I16+I25+I14</f>
        <v>188</v>
      </c>
      <c r="J10" s="113">
        <f>J11+J12+J16+J25+J14</f>
        <v>149.00979000000001</v>
      </c>
      <c r="K10" s="113">
        <f>J10/I10*100</f>
        <v>79.260526595744679</v>
      </c>
      <c r="L10" s="114"/>
      <c r="M10" s="113">
        <f>M11+M12+M16+M25+M14</f>
        <v>272</v>
      </c>
      <c r="N10" s="113">
        <f>N11+N12+N16+N25+N14</f>
        <v>340.85309999999993</v>
      </c>
      <c r="O10" s="113">
        <f>N10/M10*100</f>
        <v>125.31363970588232</v>
      </c>
      <c r="P10" s="114">
        <f t="shared" ref="P10:P66" si="23">N10-M10</f>
        <v>68.853099999999927</v>
      </c>
      <c r="Q10" s="113">
        <f>Q11+Q12+Q16+Q25+Q14</f>
        <v>272</v>
      </c>
      <c r="R10" s="113">
        <f>R11+R12+R16+R25+R14</f>
        <v>291.31182999999999</v>
      </c>
      <c r="S10" s="113">
        <f t="shared" ref="S10:S17" si="24">R10/Q10*100</f>
        <v>107.0999375</v>
      </c>
      <c r="T10" s="113">
        <f>R10-Q10</f>
        <v>19.311829999999986</v>
      </c>
      <c r="U10" s="113">
        <f>U11+U12+U16+U25+U14</f>
        <v>199</v>
      </c>
      <c r="V10" s="113">
        <f>V11+V12+V16+V25+V14</f>
        <v>146.10545999999999</v>
      </c>
      <c r="W10" s="113">
        <f>V10/U10*100</f>
        <v>73.419829145728642</v>
      </c>
      <c r="X10" s="114">
        <f t="shared" ref="X10:X17" si="25">V10-U10</f>
        <v>-52.894540000000006</v>
      </c>
      <c r="Y10" s="113">
        <f>Y11+Y12+Y16+Y25+Y14</f>
        <v>209</v>
      </c>
      <c r="Z10" s="113">
        <f>Z11+Z12+Z16+Z25+Z14</f>
        <v>144.63636</v>
      </c>
      <c r="AA10" s="113">
        <f>Z10/Y10*100</f>
        <v>69.203999999999994</v>
      </c>
      <c r="AB10" s="114">
        <f t="shared" si="1"/>
        <v>-64.363640000000004</v>
      </c>
      <c r="AC10" s="113">
        <f>AC11+AC12+AC16+AC25+AC14</f>
        <v>188</v>
      </c>
      <c r="AD10" s="113">
        <f>AD11+AD12+AD16+AD25+AD14</f>
        <v>166.60693000000001</v>
      </c>
      <c r="AE10" s="113">
        <f>AD10/AC10*100</f>
        <v>88.62070744680851</v>
      </c>
      <c r="AF10" s="114">
        <f t="shared" si="2"/>
        <v>-21.393069999999994</v>
      </c>
      <c r="AG10" s="113">
        <f t="shared" si="3"/>
        <v>1474</v>
      </c>
      <c r="AH10" s="113">
        <f>AH11+AH12+AH16+AH25+AH14</f>
        <v>1353.6867</v>
      </c>
      <c r="AI10" s="113">
        <f>AH10/AG10*100</f>
        <v>91.837632293080048</v>
      </c>
      <c r="AJ10" s="113">
        <f t="shared" ref="AJ10:AJ35" si="26">AH10-AG10</f>
        <v>-120.31330000000003</v>
      </c>
      <c r="AK10" s="113">
        <f>AK11+AK12+AK16+AK25+AK14</f>
        <v>15</v>
      </c>
      <c r="AL10" s="113">
        <f>AL11+AL12+AL16+AL25+AL14</f>
        <v>168.98069000000001</v>
      </c>
      <c r="AM10" s="113">
        <f t="shared" ref="AM10:AM17" si="27">AL10/AK10*100</f>
        <v>1126.5379333333333</v>
      </c>
      <c r="AN10" s="113">
        <f t="shared" si="4"/>
        <v>153.98069000000001</v>
      </c>
      <c r="AO10" s="113">
        <f>AO11+AO12+AO16+AO25+AO14</f>
        <v>15</v>
      </c>
      <c r="AP10" s="113">
        <f>AP11+AP12+AP16+AP25+AP14</f>
        <v>20.95</v>
      </c>
      <c r="AQ10" s="113">
        <f>AP10/AO10*100</f>
        <v>139.66666666666669</v>
      </c>
      <c r="AR10" s="113">
        <f t="shared" si="5"/>
        <v>5.9499999999999993</v>
      </c>
      <c r="AS10" s="113">
        <f>AS11+AS12+AS16+AS25+AS14</f>
        <v>15</v>
      </c>
      <c r="AT10" s="113">
        <f>AT11+AT12+AT16+AT25+AT14</f>
        <v>18.394659999999998</v>
      </c>
      <c r="AU10" s="113">
        <f>AT10/AS10*100</f>
        <v>122.63106666666665</v>
      </c>
      <c r="AV10" s="113">
        <f t="shared" si="6"/>
        <v>3.3946599999999982</v>
      </c>
      <c r="AW10" s="113">
        <f>AW11+AW12+AW16+AW25+AW14</f>
        <v>15</v>
      </c>
      <c r="AX10" s="113">
        <f>AX11+AX12+AX16+AX25+AX14</f>
        <v>26.235949999999999</v>
      </c>
      <c r="AY10" s="113">
        <f>AX10/AW10*100</f>
        <v>174.90633333333332</v>
      </c>
      <c r="AZ10" s="113">
        <f t="shared" si="7"/>
        <v>11.235949999999999</v>
      </c>
      <c r="BA10" s="113">
        <f t="shared" si="8"/>
        <v>60</v>
      </c>
      <c r="BB10" s="113">
        <f>BB11+BB12+BB16+BB25+BB14</f>
        <v>234.56130000000002</v>
      </c>
      <c r="BC10" s="113">
        <f>BB10/BA10*100</f>
        <v>390.93549999999999</v>
      </c>
      <c r="BD10" s="113">
        <f t="shared" si="9"/>
        <v>174.56130000000002</v>
      </c>
      <c r="BE10" s="113">
        <f>BE11+BE12+BE16+BE25+BE14</f>
        <v>0</v>
      </c>
      <c r="BF10" s="113">
        <f>BF11+BF12+BF16+BF25+BF14</f>
        <v>5.7712500000000002</v>
      </c>
      <c r="BG10" s="113" t="e">
        <f>BF10/BE10*100</f>
        <v>#DIV/0!</v>
      </c>
      <c r="BH10" s="113">
        <f t="shared" si="10"/>
        <v>5.7712500000000002</v>
      </c>
      <c r="BI10" s="113">
        <f>BI11+BI12+BI16+BI25+BI14</f>
        <v>0</v>
      </c>
      <c r="BJ10" s="113">
        <f>BJ11+BJ12+BJ16+BJ25+BJ14</f>
        <v>16.943460000000002</v>
      </c>
      <c r="BK10" s="113" t="e">
        <f>BJ10/BI10*100</f>
        <v>#DIV/0!</v>
      </c>
      <c r="BL10" s="113">
        <f t="shared" si="18"/>
        <v>16.943460000000002</v>
      </c>
      <c r="BM10" s="113">
        <f>BM11+BM12+BM16+BM25+BM14</f>
        <v>15</v>
      </c>
      <c r="BN10" s="113">
        <f>BN11+BN12+BN16+BN25+BN14</f>
        <v>4.3944999999999999</v>
      </c>
      <c r="BO10" s="113">
        <f>BN10/BM10*100</f>
        <v>29.296666666666667</v>
      </c>
      <c r="BP10" s="113">
        <f t="shared" si="19"/>
        <v>-10.605499999999999</v>
      </c>
      <c r="BQ10" s="113">
        <f>BQ11+BQ12+BQ16+BQ25</f>
        <v>21</v>
      </c>
      <c r="BR10" s="113">
        <f>BR11+BR12+BR16+BR25</f>
        <v>0.5</v>
      </c>
      <c r="BS10" s="113">
        <f t="shared" si="11"/>
        <v>2.3809523809523809</v>
      </c>
      <c r="BT10" s="114">
        <f t="shared" ref="BT10:BT17" si="28">BR10-BQ10</f>
        <v>-20.5</v>
      </c>
      <c r="BU10" s="113">
        <f>BU11+BU12+BU16+BU25+BU15</f>
        <v>239</v>
      </c>
      <c r="BV10" s="78">
        <f>BV11+BV12+BV16+BV25+BV15</f>
        <v>147.51664</v>
      </c>
      <c r="BW10" s="115">
        <f>BV10/BU10*100</f>
        <v>61.722443514644354</v>
      </c>
      <c r="BX10" s="114">
        <f t="shared" si="20"/>
        <v>-91.483360000000005</v>
      </c>
      <c r="BY10" s="113">
        <f>BY11+BY12+BY16+BY25</f>
        <v>18</v>
      </c>
      <c r="BZ10" s="78">
        <f>BZ11+BZ12+BZ16+BZ25</f>
        <v>5.0999999999999996</v>
      </c>
      <c r="CA10" s="115">
        <f>BZ10/BY10*100</f>
        <v>28.333333333333332</v>
      </c>
      <c r="CB10" s="114">
        <f>BZ10-BY10</f>
        <v>-12.9</v>
      </c>
      <c r="CC10" s="113">
        <f t="shared" si="12"/>
        <v>1827</v>
      </c>
      <c r="CD10" s="113">
        <f>CD11+CD12+CD16+CD25+CD14+CD15</f>
        <v>1768.4738500000003</v>
      </c>
      <c r="CE10" s="113">
        <f t="shared" si="13"/>
        <v>96.796598248494817</v>
      </c>
      <c r="CF10" s="113">
        <f t="shared" si="14"/>
        <v>-58.526149999999689</v>
      </c>
      <c r="CH10" s="137">
        <f t="shared" si="16"/>
        <v>1768.4738499999999</v>
      </c>
      <c r="CI10" s="137">
        <f t="shared" si="17"/>
        <v>1827</v>
      </c>
      <c r="CK10" s="146">
        <f t="shared" si="15"/>
        <v>1768.4738499999999</v>
      </c>
    </row>
    <row r="11" spans="1:124">
      <c r="A11" s="122">
        <v>221</v>
      </c>
      <c r="B11" s="890" t="s">
        <v>107</v>
      </c>
      <c r="C11" s="891"/>
      <c r="D11" s="892"/>
      <c r="E11" s="108">
        <v>32</v>
      </c>
      <c r="F11" s="108">
        <v>5.7340400000000002</v>
      </c>
      <c r="G11" s="108">
        <f t="shared" si="22"/>
        <v>17.918875</v>
      </c>
      <c r="H11" s="108">
        <f t="shared" si="0"/>
        <v>-26.26596</v>
      </c>
      <c r="I11" s="108">
        <v>32</v>
      </c>
      <c r="J11" s="108">
        <f>18.30215+5</f>
        <v>23.302150000000001</v>
      </c>
      <c r="K11" s="108">
        <f>J11/I11*100</f>
        <v>72.819218750000005</v>
      </c>
      <c r="L11" s="122">
        <f t="shared" si="21"/>
        <v>-8.697849999999999</v>
      </c>
      <c r="M11" s="108">
        <v>37</v>
      </c>
      <c r="N11" s="108">
        <v>8.2826400000000007</v>
      </c>
      <c r="O11" s="108">
        <f>N11/M11*100</f>
        <v>22.385513513513516</v>
      </c>
      <c r="P11" s="122">
        <f t="shared" si="23"/>
        <v>-28.717359999999999</v>
      </c>
      <c r="Q11" s="108">
        <v>37</v>
      </c>
      <c r="R11" s="108">
        <v>15.83032</v>
      </c>
      <c r="S11" s="109">
        <f t="shared" si="24"/>
        <v>42.784648648648648</v>
      </c>
      <c r="T11" s="122">
        <f>R11-Q11</f>
        <v>-21.16968</v>
      </c>
      <c r="U11" s="108">
        <v>32</v>
      </c>
      <c r="V11" s="108">
        <v>18.21491</v>
      </c>
      <c r="W11" s="108">
        <f>V11/U11*100</f>
        <v>56.92159375</v>
      </c>
      <c r="X11" s="108">
        <f t="shared" si="25"/>
        <v>-13.78509</v>
      </c>
      <c r="Y11" s="108">
        <v>37</v>
      </c>
      <c r="Z11" s="108">
        <v>7.3726399999999996</v>
      </c>
      <c r="AA11" s="108">
        <f>Z11/Y11*100</f>
        <v>19.926054054054056</v>
      </c>
      <c r="AB11" s="122">
        <f t="shared" si="1"/>
        <v>-29.627359999999999</v>
      </c>
      <c r="AC11" s="108">
        <v>32</v>
      </c>
      <c r="AD11" s="108">
        <v>17.703880000000002</v>
      </c>
      <c r="AE11" s="108">
        <f>AD11/AC11*100</f>
        <v>55.324625000000005</v>
      </c>
      <c r="AF11" s="122">
        <f t="shared" si="2"/>
        <v>-14.296119999999998</v>
      </c>
      <c r="AG11" s="106">
        <f t="shared" si="3"/>
        <v>239</v>
      </c>
      <c r="AH11" s="108">
        <f>F11+J11+N11+R11+V11+Z11+AD11</f>
        <v>96.440580000000011</v>
      </c>
      <c r="AI11" s="108">
        <f>AH11/AG11*100</f>
        <v>40.351707112970715</v>
      </c>
      <c r="AJ11" s="108">
        <f t="shared" si="26"/>
        <v>-142.55941999999999</v>
      </c>
      <c r="AK11" s="108">
        <v>10</v>
      </c>
      <c r="AL11" s="108">
        <v>2</v>
      </c>
      <c r="AM11" s="108">
        <f t="shared" si="27"/>
        <v>20</v>
      </c>
      <c r="AN11" s="108">
        <f t="shared" si="4"/>
        <v>-8</v>
      </c>
      <c r="AO11" s="108">
        <v>10</v>
      </c>
      <c r="AP11" s="108"/>
      <c r="AQ11" s="108">
        <f>AP11/AO11*100</f>
        <v>0</v>
      </c>
      <c r="AR11" s="108">
        <f t="shared" si="5"/>
        <v>-10</v>
      </c>
      <c r="AS11" s="108">
        <v>10</v>
      </c>
      <c r="AT11" s="108"/>
      <c r="AU11" s="108">
        <f>AT11/AS11*100</f>
        <v>0</v>
      </c>
      <c r="AV11" s="108">
        <f t="shared" si="6"/>
        <v>-10</v>
      </c>
      <c r="AW11" s="108">
        <v>10</v>
      </c>
      <c r="AX11" s="108"/>
      <c r="AY11" s="108">
        <f>AX11/AW11*100</f>
        <v>0</v>
      </c>
      <c r="AZ11" s="108">
        <f t="shared" si="7"/>
        <v>-10</v>
      </c>
      <c r="BA11" s="106">
        <f t="shared" si="8"/>
        <v>40</v>
      </c>
      <c r="BB11" s="108">
        <f>AL11+AP11+AT11+AX11</f>
        <v>2</v>
      </c>
      <c r="BC11" s="108">
        <f>BB11/BA11*100</f>
        <v>5</v>
      </c>
      <c r="BD11" s="108">
        <f t="shared" si="9"/>
        <v>-38</v>
      </c>
      <c r="BE11" s="108"/>
      <c r="BF11" s="108">
        <v>5.7712500000000002</v>
      </c>
      <c r="BG11" s="108"/>
      <c r="BH11" s="108">
        <f t="shared" si="10"/>
        <v>5.7712500000000002</v>
      </c>
      <c r="BI11" s="108"/>
      <c r="BJ11" s="108">
        <v>6.3034600000000003</v>
      </c>
      <c r="BK11" s="108"/>
      <c r="BL11" s="108">
        <f t="shared" si="18"/>
        <v>6.3034600000000003</v>
      </c>
      <c r="BM11" s="108">
        <v>3</v>
      </c>
      <c r="BN11" s="108">
        <v>4.3944999999999999</v>
      </c>
      <c r="BO11" s="108">
        <f>BN11/BM11*100</f>
        <v>146.48333333333332</v>
      </c>
      <c r="BP11" s="108">
        <f t="shared" si="19"/>
        <v>1.3944999999999999</v>
      </c>
      <c r="BQ11" s="108"/>
      <c r="BR11" s="108"/>
      <c r="BS11" s="108"/>
      <c r="BT11" s="122">
        <f t="shared" si="28"/>
        <v>0</v>
      </c>
      <c r="BU11" s="108">
        <v>53</v>
      </c>
      <c r="BV11" s="153">
        <v>26.607800000000001</v>
      </c>
      <c r="BW11" s="110">
        <f>BV11/BU11*100</f>
        <v>50.203396226415094</v>
      </c>
      <c r="BX11" s="122">
        <f t="shared" si="20"/>
        <v>-26.392199999999999</v>
      </c>
      <c r="BY11" s="122"/>
      <c r="BZ11" s="122"/>
      <c r="CA11" s="122"/>
      <c r="CB11" s="122"/>
      <c r="CC11" s="108">
        <f>AG11+BA11+BE11+BI11+BM11+BQ11+BU11+BY11</f>
        <v>335</v>
      </c>
      <c r="CD11" s="108">
        <f>R11+V11+Z11+AD11+BR11+BV11+F11+J11+N11+AL11+BZ11+AP11+AT11+AX11+BF11+BN11+BJ11</f>
        <v>141.51759000000001</v>
      </c>
      <c r="CE11" s="108">
        <f t="shared" si="13"/>
        <v>42.244056716417916</v>
      </c>
      <c r="CF11" s="108">
        <f t="shared" si="14"/>
        <v>-193.48240999999999</v>
      </c>
      <c r="CG11" s="112">
        <v>54.6</v>
      </c>
      <c r="CH11" s="142">
        <f t="shared" si="16"/>
        <v>141.51759000000001</v>
      </c>
      <c r="CI11" s="137">
        <f t="shared" si="17"/>
        <v>335</v>
      </c>
      <c r="CK11" s="146">
        <f t="shared" si="15"/>
        <v>141.51759000000001</v>
      </c>
    </row>
    <row r="12" spans="1:124" s="141" customFormat="1" ht="13.5">
      <c r="A12" s="123">
        <v>222</v>
      </c>
      <c r="B12" s="887" t="s">
        <v>204</v>
      </c>
      <c r="C12" s="888"/>
      <c r="D12" s="889"/>
      <c r="E12" s="116">
        <f>E13</f>
        <v>0</v>
      </c>
      <c r="F12" s="116">
        <f>F13</f>
        <v>0</v>
      </c>
      <c r="G12" s="113"/>
      <c r="H12" s="116">
        <f t="shared" ref="H12:H46" si="29">F12-E12</f>
        <v>0</v>
      </c>
      <c r="I12" s="116">
        <f>I13</f>
        <v>0</v>
      </c>
      <c r="J12" s="116"/>
      <c r="K12" s="116"/>
      <c r="L12" s="123">
        <f t="shared" si="21"/>
        <v>0</v>
      </c>
      <c r="M12" s="116">
        <f>M13</f>
        <v>0</v>
      </c>
      <c r="N12" s="116"/>
      <c r="O12" s="116"/>
      <c r="P12" s="123">
        <f t="shared" si="23"/>
        <v>0</v>
      </c>
      <c r="Q12" s="116">
        <f>Q13</f>
        <v>0</v>
      </c>
      <c r="R12" s="116">
        <f>R13</f>
        <v>0</v>
      </c>
      <c r="S12" s="116" t="e">
        <f t="shared" si="24"/>
        <v>#DIV/0!</v>
      </c>
      <c r="T12" s="116">
        <f>R12-Q12</f>
        <v>0</v>
      </c>
      <c r="U12" s="116">
        <f>U13</f>
        <v>0</v>
      </c>
      <c r="V12" s="116"/>
      <c r="W12" s="116"/>
      <c r="X12" s="123">
        <f t="shared" si="25"/>
        <v>0</v>
      </c>
      <c r="Y12" s="116">
        <f>Y13</f>
        <v>0</v>
      </c>
      <c r="Z12" s="116">
        <f>Z13</f>
        <v>0</v>
      </c>
      <c r="AA12" s="116"/>
      <c r="AB12" s="123">
        <f t="shared" si="1"/>
        <v>0</v>
      </c>
      <c r="AC12" s="116">
        <f>AC13</f>
        <v>0</v>
      </c>
      <c r="AD12" s="116">
        <f>AD13</f>
        <v>0</v>
      </c>
      <c r="AE12" s="116"/>
      <c r="AF12" s="123">
        <f t="shared" si="2"/>
        <v>0</v>
      </c>
      <c r="AG12" s="113">
        <f t="shared" si="3"/>
        <v>0</v>
      </c>
      <c r="AH12" s="116">
        <f>AH13</f>
        <v>0</v>
      </c>
      <c r="AI12" s="116" t="e">
        <f>AH12/AG12*100</f>
        <v>#DIV/0!</v>
      </c>
      <c r="AJ12" s="123">
        <f t="shared" si="26"/>
        <v>0</v>
      </c>
      <c r="AK12" s="116">
        <f>AK13</f>
        <v>0</v>
      </c>
      <c r="AL12" s="116"/>
      <c r="AM12" s="113"/>
      <c r="AN12" s="116">
        <f t="shared" si="4"/>
        <v>0</v>
      </c>
      <c r="AO12" s="116">
        <f>AO13</f>
        <v>0</v>
      </c>
      <c r="AP12" s="116"/>
      <c r="AQ12" s="113"/>
      <c r="AR12" s="116">
        <f t="shared" si="5"/>
        <v>0</v>
      </c>
      <c r="AS12" s="116">
        <f>AS13</f>
        <v>0</v>
      </c>
      <c r="AT12" s="116"/>
      <c r="AU12" s="113" t="e">
        <f>AT12/AS12*100</f>
        <v>#DIV/0!</v>
      </c>
      <c r="AV12" s="116">
        <f t="shared" si="6"/>
        <v>0</v>
      </c>
      <c r="AW12" s="116">
        <f>AW13</f>
        <v>0</v>
      </c>
      <c r="AX12" s="116"/>
      <c r="AY12" s="113"/>
      <c r="AZ12" s="116">
        <f t="shared" si="7"/>
        <v>0</v>
      </c>
      <c r="BA12" s="113">
        <f t="shared" si="8"/>
        <v>0</v>
      </c>
      <c r="BB12" s="116"/>
      <c r="BC12" s="113" t="e">
        <f>BB12/BA12*100</f>
        <v>#DIV/0!</v>
      </c>
      <c r="BD12" s="116">
        <f t="shared" si="9"/>
        <v>0</v>
      </c>
      <c r="BE12" s="116">
        <f>BE13</f>
        <v>0</v>
      </c>
      <c r="BF12" s="116">
        <f>BF13</f>
        <v>0</v>
      </c>
      <c r="BG12" s="113" t="e">
        <f>BF12/BE12*100</f>
        <v>#DIV/0!</v>
      </c>
      <c r="BH12" s="116">
        <f t="shared" si="10"/>
        <v>0</v>
      </c>
      <c r="BI12" s="116">
        <f>BI13</f>
        <v>0</v>
      </c>
      <c r="BJ12" s="116">
        <f>BJ13</f>
        <v>9</v>
      </c>
      <c r="BK12" s="113"/>
      <c r="BL12" s="116">
        <f t="shared" si="18"/>
        <v>9</v>
      </c>
      <c r="BM12" s="116">
        <f>BM13</f>
        <v>0</v>
      </c>
      <c r="BN12" s="116">
        <f>BN13</f>
        <v>0</v>
      </c>
      <c r="BO12" s="108" t="e">
        <f>BN12/BM12*100</f>
        <v>#DIV/0!</v>
      </c>
      <c r="BP12" s="116">
        <f t="shared" si="19"/>
        <v>0</v>
      </c>
      <c r="BQ12" s="116">
        <f>BQ13</f>
        <v>10</v>
      </c>
      <c r="BR12" s="154">
        <f>BR13</f>
        <v>0.5</v>
      </c>
      <c r="BS12" s="116">
        <f>BR12/BQ12*100</f>
        <v>5</v>
      </c>
      <c r="BT12" s="123">
        <f>BR12-BQ12</f>
        <v>-9.5</v>
      </c>
      <c r="BU12" s="116">
        <f>BU13</f>
        <v>35</v>
      </c>
      <c r="BV12" s="154">
        <f>BV13</f>
        <v>17.707999999999998</v>
      </c>
      <c r="BW12" s="117">
        <f>BV12/BU12*100</f>
        <v>50.594285714285711</v>
      </c>
      <c r="BX12" s="123">
        <f t="shared" si="20"/>
        <v>-17.292000000000002</v>
      </c>
      <c r="BY12" s="116">
        <f>BY13</f>
        <v>7</v>
      </c>
      <c r="BZ12" s="154">
        <f>BZ13</f>
        <v>0</v>
      </c>
      <c r="CA12" s="117">
        <f>BZ12/BY12*100</f>
        <v>0</v>
      </c>
      <c r="CB12" s="123">
        <f>BZ12-BY12</f>
        <v>-7</v>
      </c>
      <c r="CC12" s="113">
        <f>Q12+U12+Y12+AC12+BQ12+BU12+E12+I12+M12+AK12+BY12+AO12+AS12+AW12+BE12</f>
        <v>52</v>
      </c>
      <c r="CD12" s="116">
        <f>CD13</f>
        <v>27.207999999999998</v>
      </c>
      <c r="CE12" s="116">
        <f t="shared" si="13"/>
        <v>52.323076923076918</v>
      </c>
      <c r="CF12" s="116">
        <f t="shared" si="14"/>
        <v>-24.792000000000002</v>
      </c>
      <c r="CH12" s="137">
        <f t="shared" si="16"/>
        <v>27.207999999999998</v>
      </c>
      <c r="CI12" s="137">
        <f t="shared" si="17"/>
        <v>52</v>
      </c>
      <c r="CK12" s="146">
        <f t="shared" si="15"/>
        <v>27.207999999999998</v>
      </c>
    </row>
    <row r="13" spans="1:124" ht="24" customHeight="1">
      <c r="A13" s="122"/>
      <c r="B13" s="893" t="s">
        <v>205</v>
      </c>
      <c r="C13" s="894"/>
      <c r="D13" s="895"/>
      <c r="E13" s="108"/>
      <c r="F13" s="108"/>
      <c r="G13" s="108"/>
      <c r="H13" s="108">
        <f t="shared" si="29"/>
        <v>0</v>
      </c>
      <c r="I13" s="108"/>
      <c r="J13" s="108"/>
      <c r="K13" s="108"/>
      <c r="L13" s="122">
        <f t="shared" si="21"/>
        <v>0</v>
      </c>
      <c r="M13" s="108"/>
      <c r="N13" s="108"/>
      <c r="O13" s="108"/>
      <c r="P13" s="122">
        <f t="shared" si="23"/>
        <v>0</v>
      </c>
      <c r="Q13" s="108"/>
      <c r="R13" s="108"/>
      <c r="S13" s="109" t="e">
        <f t="shared" si="24"/>
        <v>#DIV/0!</v>
      </c>
      <c r="T13" s="108">
        <f>R13-Q13</f>
        <v>0</v>
      </c>
      <c r="U13" s="108"/>
      <c r="V13" s="108"/>
      <c r="W13" s="108"/>
      <c r="X13" s="122">
        <f t="shared" si="25"/>
        <v>0</v>
      </c>
      <c r="Y13" s="108"/>
      <c r="Z13" s="108"/>
      <c r="AA13" s="108"/>
      <c r="AB13" s="122">
        <f t="shared" si="1"/>
        <v>0</v>
      </c>
      <c r="AC13" s="108"/>
      <c r="AD13" s="108"/>
      <c r="AE13" s="108"/>
      <c r="AF13" s="122">
        <f t="shared" si="2"/>
        <v>0</v>
      </c>
      <c r="AG13" s="106">
        <f t="shared" si="3"/>
        <v>0</v>
      </c>
      <c r="AH13" s="108">
        <f>F13+J13+N13+R13+V13+Z13+AD13</f>
        <v>0</v>
      </c>
      <c r="AI13" s="108" t="e">
        <f>AH13/AG13*100</f>
        <v>#DIV/0!</v>
      </c>
      <c r="AJ13" s="122">
        <f t="shared" si="26"/>
        <v>0</v>
      </c>
      <c r="AK13" s="108"/>
      <c r="AL13" s="108"/>
      <c r="AM13" s="108"/>
      <c r="AN13" s="108">
        <f t="shared" si="4"/>
        <v>0</v>
      </c>
      <c r="AO13" s="108"/>
      <c r="AP13" s="108"/>
      <c r="AQ13" s="108"/>
      <c r="AR13" s="108">
        <f t="shared" si="5"/>
        <v>0</v>
      </c>
      <c r="AS13" s="108"/>
      <c r="AT13" s="108"/>
      <c r="AU13" s="108" t="e">
        <f>AT13/AS13*100</f>
        <v>#DIV/0!</v>
      </c>
      <c r="AV13" s="108">
        <f t="shared" si="6"/>
        <v>0</v>
      </c>
      <c r="AW13" s="108"/>
      <c r="AX13" s="108"/>
      <c r="AY13" s="108"/>
      <c r="AZ13" s="108">
        <f t="shared" si="7"/>
        <v>0</v>
      </c>
      <c r="BA13" s="106">
        <f t="shared" si="8"/>
        <v>0</v>
      </c>
      <c r="BB13" s="108">
        <f>AL13+AP13+AT13+AX13</f>
        <v>0</v>
      </c>
      <c r="BC13" s="108" t="e">
        <f>BB13/BA13*100</f>
        <v>#DIV/0!</v>
      </c>
      <c r="BD13" s="108">
        <f t="shared" si="9"/>
        <v>0</v>
      </c>
      <c r="BE13" s="108"/>
      <c r="BF13" s="108"/>
      <c r="BG13" s="108" t="e">
        <f>BF13/BE13*100</f>
        <v>#DIV/0!</v>
      </c>
      <c r="BH13" s="108">
        <f t="shared" si="10"/>
        <v>0</v>
      </c>
      <c r="BI13" s="108"/>
      <c r="BJ13" s="108">
        <v>9</v>
      </c>
      <c r="BK13" s="108"/>
      <c r="BL13" s="108">
        <f t="shared" si="18"/>
        <v>9</v>
      </c>
      <c r="BM13" s="108"/>
      <c r="BN13" s="108"/>
      <c r="BO13" s="108"/>
      <c r="BP13" s="108">
        <f t="shared" si="19"/>
        <v>0</v>
      </c>
      <c r="BQ13" s="108">
        <v>10</v>
      </c>
      <c r="BR13" s="153">
        <v>0.5</v>
      </c>
      <c r="BS13" s="108">
        <f t="shared" si="11"/>
        <v>5</v>
      </c>
      <c r="BT13" s="122">
        <f t="shared" si="28"/>
        <v>-9.5</v>
      </c>
      <c r="BU13" s="108">
        <v>35</v>
      </c>
      <c r="BV13" s="153">
        <v>17.707999999999998</v>
      </c>
      <c r="BW13" s="110">
        <f>BV13/BU13*100</f>
        <v>50.594285714285711</v>
      </c>
      <c r="BX13" s="122">
        <f t="shared" si="20"/>
        <v>-17.292000000000002</v>
      </c>
      <c r="BY13" s="122">
        <v>7</v>
      </c>
      <c r="BZ13" s="156"/>
      <c r="CA13" s="122"/>
      <c r="CB13" s="122"/>
      <c r="CC13" s="108">
        <f t="shared" ref="CC13:CD15" si="30">Q13+U13+Y13+AC13+BQ13+BU13+E13+I13+M13+AK13+BY13+AO13+AS13+AW13+BE13</f>
        <v>52</v>
      </c>
      <c r="CD13" s="108">
        <f>R13+V13+Z13+AD13+BR13+BV13+F13+J13+N13+AL13+BZ13+AP13+AT13+AX13+BF13+BJ13</f>
        <v>27.207999999999998</v>
      </c>
      <c r="CE13" s="108">
        <f t="shared" si="13"/>
        <v>52.323076923076918</v>
      </c>
      <c r="CF13" s="108">
        <f t="shared" si="14"/>
        <v>-24.792000000000002</v>
      </c>
      <c r="CH13" s="142">
        <f t="shared" si="16"/>
        <v>27.207999999999998</v>
      </c>
      <c r="CI13" s="137">
        <f t="shared" si="17"/>
        <v>52</v>
      </c>
      <c r="CK13" s="146">
        <f t="shared" si="15"/>
        <v>27.207999999999998</v>
      </c>
    </row>
    <row r="14" spans="1:124" s="142" customFormat="1" ht="13.5" hidden="1">
      <c r="A14" s="124">
        <v>223</v>
      </c>
      <c r="B14" s="902" t="s">
        <v>289</v>
      </c>
      <c r="C14" s="903"/>
      <c r="D14" s="904"/>
      <c r="E14" s="106"/>
      <c r="F14" s="106"/>
      <c r="G14" s="106"/>
      <c r="H14" s="106"/>
      <c r="I14" s="106"/>
      <c r="J14" s="106"/>
      <c r="K14" s="106"/>
      <c r="L14" s="143"/>
      <c r="M14" s="106"/>
      <c r="N14" s="106"/>
      <c r="O14" s="106"/>
      <c r="P14" s="143"/>
      <c r="Q14" s="106"/>
      <c r="R14" s="106"/>
      <c r="S14" s="111"/>
      <c r="T14" s="106"/>
      <c r="U14" s="106"/>
      <c r="V14" s="106"/>
      <c r="W14" s="106"/>
      <c r="X14" s="143"/>
      <c r="Y14" s="106"/>
      <c r="Z14" s="106"/>
      <c r="AA14" s="106"/>
      <c r="AB14" s="143"/>
      <c r="AC14" s="106"/>
      <c r="AD14" s="106"/>
      <c r="AE14" s="106"/>
      <c r="AF14" s="143"/>
      <c r="AG14" s="106">
        <f t="shared" si="3"/>
        <v>0</v>
      </c>
      <c r="AH14" s="106">
        <f>F14+J14+N14+R14+V14+Z14+AD14</f>
        <v>0</v>
      </c>
      <c r="AI14" s="106"/>
      <c r="AJ14" s="143">
        <f t="shared" si="26"/>
        <v>0</v>
      </c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>
        <f t="shared" si="8"/>
        <v>0</v>
      </c>
      <c r="BB14" s="106">
        <f>AL14+AP14+AT14+AX14</f>
        <v>0</v>
      </c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8"/>
      <c r="BP14" s="106"/>
      <c r="BQ14" s="106"/>
      <c r="BR14" s="106"/>
      <c r="BS14" s="106"/>
      <c r="BT14" s="143"/>
      <c r="BU14" s="106"/>
      <c r="BV14" s="193"/>
      <c r="BW14" s="107"/>
      <c r="BX14" s="143"/>
      <c r="BY14" s="143"/>
      <c r="BZ14" s="143"/>
      <c r="CA14" s="143"/>
      <c r="CB14" s="143"/>
      <c r="CC14" s="106">
        <f t="shared" si="30"/>
        <v>0</v>
      </c>
      <c r="CD14" s="106">
        <f t="shared" si="30"/>
        <v>0</v>
      </c>
      <c r="CE14" s="106" t="e">
        <f>CD14/CC14*100</f>
        <v>#DIV/0!</v>
      </c>
      <c r="CF14" s="106">
        <f>CD14-CC14</f>
        <v>0</v>
      </c>
      <c r="CH14" s="142">
        <f t="shared" si="16"/>
        <v>0</v>
      </c>
      <c r="CI14" s="137">
        <f t="shared" si="17"/>
        <v>0</v>
      </c>
      <c r="CK14" s="146">
        <f t="shared" si="15"/>
        <v>0</v>
      </c>
    </row>
    <row r="15" spans="1:124" hidden="1">
      <c r="A15" s="125">
        <v>224</v>
      </c>
      <c r="B15" s="905" t="s">
        <v>401</v>
      </c>
      <c r="C15" s="906"/>
      <c r="D15" s="907"/>
      <c r="E15" s="108"/>
      <c r="F15" s="108"/>
      <c r="G15" s="108"/>
      <c r="H15" s="108"/>
      <c r="I15" s="108"/>
      <c r="J15" s="108"/>
      <c r="K15" s="108"/>
      <c r="L15" s="122"/>
      <c r="M15" s="108"/>
      <c r="N15" s="108"/>
      <c r="O15" s="108"/>
      <c r="P15" s="122"/>
      <c r="Q15" s="108"/>
      <c r="R15" s="108"/>
      <c r="S15" s="109"/>
      <c r="T15" s="108"/>
      <c r="U15" s="108"/>
      <c r="V15" s="108"/>
      <c r="W15" s="108"/>
      <c r="X15" s="122"/>
      <c r="Y15" s="108"/>
      <c r="Z15" s="108"/>
      <c r="AA15" s="108"/>
      <c r="AB15" s="122"/>
      <c r="AC15" s="108"/>
      <c r="AD15" s="108"/>
      <c r="AE15" s="108"/>
      <c r="AF15" s="122"/>
      <c r="AG15" s="106">
        <f t="shared" si="3"/>
        <v>0</v>
      </c>
      <c r="AH15" s="108"/>
      <c r="AI15" s="108"/>
      <c r="AJ15" s="122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6">
        <f t="shared" si="8"/>
        <v>0</v>
      </c>
      <c r="BB15" s="108">
        <f>AL15+AP15+AT15+AX15</f>
        <v>0</v>
      </c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22"/>
      <c r="BU15" s="108"/>
      <c r="BV15" s="153"/>
      <c r="BW15" s="110"/>
      <c r="BX15" s="122"/>
      <c r="BY15" s="122"/>
      <c r="BZ15" s="122"/>
      <c r="CA15" s="144"/>
      <c r="CB15" s="122"/>
      <c r="CC15" s="108">
        <f t="shared" si="30"/>
        <v>0</v>
      </c>
      <c r="CD15" s="108">
        <f t="shared" si="30"/>
        <v>0</v>
      </c>
      <c r="CE15" s="108"/>
      <c r="CF15" s="108"/>
      <c r="CH15" s="142">
        <f t="shared" si="16"/>
        <v>0</v>
      </c>
      <c r="CI15" s="137">
        <f t="shared" si="17"/>
        <v>0</v>
      </c>
      <c r="CK15" s="146">
        <f t="shared" si="15"/>
        <v>0</v>
      </c>
    </row>
    <row r="16" spans="1:124" s="141" customFormat="1" ht="13.5">
      <c r="A16" s="123">
        <v>225</v>
      </c>
      <c r="B16" s="899" t="s">
        <v>206</v>
      </c>
      <c r="C16" s="900"/>
      <c r="D16" s="901"/>
      <c r="E16" s="116">
        <f>SUM(E17:E24)</f>
        <v>21</v>
      </c>
      <c r="F16" s="116">
        <f>SUM(F17:F24)</f>
        <v>5.6175600000000001</v>
      </c>
      <c r="G16" s="113">
        <f t="shared" si="22"/>
        <v>26.750285714285717</v>
      </c>
      <c r="H16" s="116">
        <f t="shared" si="29"/>
        <v>-15.382439999999999</v>
      </c>
      <c r="I16" s="116">
        <f>SUM(I17:I24)</f>
        <v>28</v>
      </c>
      <c r="J16" s="116">
        <f>SUM(J17:J24)</f>
        <v>32.907589999999999</v>
      </c>
      <c r="K16" s="116">
        <f>J16/I16*100</f>
        <v>117.52710714285715</v>
      </c>
      <c r="L16" s="123">
        <f t="shared" si="21"/>
        <v>4.907589999999999</v>
      </c>
      <c r="M16" s="116">
        <f>SUM(M17:M24)</f>
        <v>42</v>
      </c>
      <c r="N16" s="116">
        <f>SUM(N17:N24)</f>
        <v>196.17819999999998</v>
      </c>
      <c r="O16" s="116">
        <f>N16/M16*100</f>
        <v>467.09095238095227</v>
      </c>
      <c r="P16" s="123">
        <f t="shared" si="23"/>
        <v>154.17819999999998</v>
      </c>
      <c r="Q16" s="116">
        <f>SUM(Q17:Q24)</f>
        <v>42</v>
      </c>
      <c r="R16" s="116">
        <f>SUM(R17:R24)</f>
        <v>12.6</v>
      </c>
      <c r="S16" s="116">
        <f t="shared" si="24"/>
        <v>30</v>
      </c>
      <c r="T16" s="116">
        <f>R16-Q16</f>
        <v>-29.4</v>
      </c>
      <c r="U16" s="116">
        <f>SUM(U17:U24)</f>
        <v>21</v>
      </c>
      <c r="V16" s="116">
        <f>SUM(V17:V24)</f>
        <v>4.5634499999999996</v>
      </c>
      <c r="W16" s="116">
        <f>V16/U16*100</f>
        <v>21.730714285714285</v>
      </c>
      <c r="X16" s="123">
        <f t="shared" si="25"/>
        <v>-16.43655</v>
      </c>
      <c r="Y16" s="116">
        <f>SUM(Y17:Y24)</f>
        <v>32</v>
      </c>
      <c r="Z16" s="116">
        <f>SUM(Z17:Z23)</f>
        <v>5.38246</v>
      </c>
      <c r="AA16" s="116"/>
      <c r="AB16" s="123">
        <f t="shared" si="1"/>
        <v>-26.617539999999998</v>
      </c>
      <c r="AC16" s="116">
        <f>SUM(AC17:AC24)</f>
        <v>28</v>
      </c>
      <c r="AD16" s="116">
        <f>SUM(AD17:AD24)</f>
        <v>21.673999999999999</v>
      </c>
      <c r="AE16" s="116">
        <f>AD16/AC16*100</f>
        <v>77.407142857142858</v>
      </c>
      <c r="AF16" s="123">
        <f t="shared" si="2"/>
        <v>-6.3260000000000005</v>
      </c>
      <c r="AG16" s="113">
        <f t="shared" si="3"/>
        <v>214</v>
      </c>
      <c r="AH16" s="116">
        <f>SUM(AH17:AH24)</f>
        <v>278.92326000000003</v>
      </c>
      <c r="AI16" s="116">
        <f t="shared" ref="AI16:AI25" si="31">AH16/AG16*100</f>
        <v>130.33797196261682</v>
      </c>
      <c r="AJ16" s="123">
        <f t="shared" si="26"/>
        <v>64.923260000000028</v>
      </c>
      <c r="AK16" s="116">
        <f>SUM(AK17:AK23)</f>
        <v>5</v>
      </c>
      <c r="AL16" s="116">
        <f>SUM(AL17:AL23)</f>
        <v>4.048</v>
      </c>
      <c r="AM16" s="113">
        <f t="shared" si="27"/>
        <v>80.959999999999994</v>
      </c>
      <c r="AN16" s="116">
        <f t="shared" si="4"/>
        <v>-0.95199999999999996</v>
      </c>
      <c r="AO16" s="116">
        <f>SUM(AO17:AO23)</f>
        <v>5</v>
      </c>
      <c r="AP16" s="116">
        <f>SUM(AP17:AP23)</f>
        <v>3.2</v>
      </c>
      <c r="AQ16" s="113">
        <f>AP16/AO16*100</f>
        <v>64</v>
      </c>
      <c r="AR16" s="116">
        <f>AP16-AO16</f>
        <v>-1.7999999999999998</v>
      </c>
      <c r="AS16" s="116">
        <f>SUM(AS17:AS23)</f>
        <v>5</v>
      </c>
      <c r="AT16" s="116">
        <f>SUM(AT17:AT23)</f>
        <v>0</v>
      </c>
      <c r="AU16" s="113">
        <f>AT16/AS16*100</f>
        <v>0</v>
      </c>
      <c r="AV16" s="116">
        <f>AT16-AS16</f>
        <v>-5</v>
      </c>
      <c r="AW16" s="116">
        <f>SUM(AW17:AW23)</f>
        <v>5</v>
      </c>
      <c r="AX16" s="116">
        <f>SUM(AX17:AX23)</f>
        <v>4.55</v>
      </c>
      <c r="AY16" s="113">
        <f>AX16/AW16*100</f>
        <v>90.999999999999986</v>
      </c>
      <c r="AZ16" s="116">
        <f>AX16-AW16</f>
        <v>-0.45000000000000018</v>
      </c>
      <c r="BA16" s="113">
        <f t="shared" si="8"/>
        <v>20</v>
      </c>
      <c r="BB16" s="116">
        <f>SUM(BB17:BB24)</f>
        <v>11.798</v>
      </c>
      <c r="BC16" s="113">
        <f>BB16/BA16*100</f>
        <v>58.989999999999995</v>
      </c>
      <c r="BD16" s="116">
        <f>BB16-BA16</f>
        <v>-8.202</v>
      </c>
      <c r="BE16" s="116">
        <f>SUM(BE17:BE23)</f>
        <v>0</v>
      </c>
      <c r="BF16" s="116">
        <f>SUM(BF17:BF23)</f>
        <v>0</v>
      </c>
      <c r="BG16" s="113"/>
      <c r="BH16" s="116">
        <f>BF16-BE16</f>
        <v>0</v>
      </c>
      <c r="BI16" s="116">
        <f>SUM(BI17:BI23)</f>
        <v>0</v>
      </c>
      <c r="BJ16" s="116">
        <f>SUM(BJ17:BJ23)</f>
        <v>0</v>
      </c>
      <c r="BK16" s="113"/>
      <c r="BL16" s="116">
        <f>BJ16-BI16</f>
        <v>0</v>
      </c>
      <c r="BM16" s="116">
        <f>SUM(BM17:BM23)</f>
        <v>12</v>
      </c>
      <c r="BN16" s="116">
        <f>SUM(BN17:BN23)</f>
        <v>0</v>
      </c>
      <c r="BO16" s="108">
        <f>BN16/BM16*100</f>
        <v>0</v>
      </c>
      <c r="BP16" s="116">
        <f t="shared" ref="BP16:BP23" si="32">BN16-BM16</f>
        <v>-12</v>
      </c>
      <c r="BQ16" s="154">
        <f>SUM(BQ17:BQ23)</f>
        <v>0.4</v>
      </c>
      <c r="BR16" s="116">
        <f>SUM(BR17:BR23)</f>
        <v>0</v>
      </c>
      <c r="BS16" s="116"/>
      <c r="BT16" s="123">
        <f t="shared" si="28"/>
        <v>-0.4</v>
      </c>
      <c r="BU16" s="116">
        <f>SUM(BU17:BU23)</f>
        <v>54</v>
      </c>
      <c r="BV16" s="154">
        <f>SUM(BV17:BV23)</f>
        <v>3.15</v>
      </c>
      <c r="BW16" s="117">
        <f>BV16/BU16*100</f>
        <v>5.833333333333333</v>
      </c>
      <c r="BX16" s="123">
        <f t="shared" si="20"/>
        <v>-50.85</v>
      </c>
      <c r="BY16" s="154">
        <f>SUM(BY17:BY23)</f>
        <v>1.5</v>
      </c>
      <c r="BZ16" s="116">
        <f>SUM(BZ17:BZ23)</f>
        <v>0</v>
      </c>
      <c r="CA16" s="117">
        <f>BZ16/BY16*100</f>
        <v>0</v>
      </c>
      <c r="CB16" s="123">
        <f>BZ16-BY16</f>
        <v>-1.5</v>
      </c>
      <c r="CC16" s="116">
        <f>SUM(CC17:CC23)</f>
        <v>202.9</v>
      </c>
      <c r="CD16" s="116">
        <f>SUM(CD17:CD24)</f>
        <v>293.87126000000001</v>
      </c>
      <c r="CE16" s="116">
        <f t="shared" si="13"/>
        <v>144.83551503203549</v>
      </c>
      <c r="CF16" s="116">
        <f t="shared" si="14"/>
        <v>90.971260000000001</v>
      </c>
      <c r="CG16" s="141">
        <v>66.5</v>
      </c>
      <c r="CH16" s="137">
        <f t="shared" si="16"/>
        <v>293.87125999999989</v>
      </c>
      <c r="CI16" s="137">
        <f t="shared" si="17"/>
        <v>301.89999999999998</v>
      </c>
      <c r="CK16" s="146">
        <f t="shared" si="15"/>
        <v>293.87125999999989</v>
      </c>
    </row>
    <row r="17" spans="1:89" ht="12.75" customHeight="1">
      <c r="A17" s="122"/>
      <c r="B17" s="893" t="s">
        <v>266</v>
      </c>
      <c r="C17" s="894"/>
      <c r="D17" s="895"/>
      <c r="E17" s="108">
        <v>7</v>
      </c>
      <c r="F17" s="108"/>
      <c r="G17" s="108">
        <f t="shared" si="22"/>
        <v>0</v>
      </c>
      <c r="H17" s="108">
        <f t="shared" si="29"/>
        <v>-7</v>
      </c>
      <c r="I17" s="108">
        <v>7</v>
      </c>
      <c r="J17" s="108"/>
      <c r="K17" s="108"/>
      <c r="L17" s="122">
        <f t="shared" si="21"/>
        <v>-7</v>
      </c>
      <c r="M17" s="108">
        <v>7</v>
      </c>
      <c r="N17" s="108"/>
      <c r="O17" s="108"/>
      <c r="P17" s="122">
        <f t="shared" si="23"/>
        <v>-7</v>
      </c>
      <c r="Q17" s="108">
        <v>7</v>
      </c>
      <c r="R17" s="108"/>
      <c r="S17" s="109">
        <f t="shared" si="24"/>
        <v>0</v>
      </c>
      <c r="T17" s="109">
        <f t="shared" ref="T17:T28" si="33">R17-Q17</f>
        <v>-7</v>
      </c>
      <c r="U17" s="108">
        <v>7</v>
      </c>
      <c r="V17" s="108"/>
      <c r="W17" s="108"/>
      <c r="X17" s="122">
        <f t="shared" si="25"/>
        <v>-7</v>
      </c>
      <c r="Y17" s="108">
        <v>7</v>
      </c>
      <c r="Z17" s="108"/>
      <c r="AA17" s="108"/>
      <c r="AB17" s="122">
        <f t="shared" si="1"/>
        <v>-7</v>
      </c>
      <c r="AC17" s="108">
        <v>7</v>
      </c>
      <c r="AD17" s="108"/>
      <c r="AE17" s="108"/>
      <c r="AF17" s="122">
        <f t="shared" si="2"/>
        <v>-7</v>
      </c>
      <c r="AG17" s="106">
        <f t="shared" si="3"/>
        <v>49</v>
      </c>
      <c r="AH17" s="108">
        <f t="shared" ref="AH17:AH23" si="34">F17+J17+N17+R17+V17+Z17+AD17</f>
        <v>0</v>
      </c>
      <c r="AI17" s="108">
        <f t="shared" si="31"/>
        <v>0</v>
      </c>
      <c r="AJ17" s="122">
        <f t="shared" si="26"/>
        <v>-49</v>
      </c>
      <c r="AK17" s="108"/>
      <c r="AL17" s="108"/>
      <c r="AM17" s="108" t="e">
        <f t="shared" si="27"/>
        <v>#DIV/0!</v>
      </c>
      <c r="AN17" s="108">
        <f t="shared" si="4"/>
        <v>0</v>
      </c>
      <c r="AO17" s="108"/>
      <c r="AP17" s="108"/>
      <c r="AQ17" s="108" t="e">
        <f>AP17/AO17*100</f>
        <v>#DIV/0!</v>
      </c>
      <c r="AR17" s="108">
        <f>AP17-AO17</f>
        <v>0</v>
      </c>
      <c r="AS17" s="108"/>
      <c r="AT17" s="108"/>
      <c r="AU17" s="108" t="e">
        <f>AT17/AS17*100</f>
        <v>#DIV/0!</v>
      </c>
      <c r="AV17" s="108">
        <f>AT17-AS17</f>
        <v>0</v>
      </c>
      <c r="AW17" s="108"/>
      <c r="AX17" s="108"/>
      <c r="AY17" s="108" t="e">
        <f>AX17/AW17*100</f>
        <v>#DIV/0!</v>
      </c>
      <c r="AZ17" s="108">
        <f>AX17-AW17</f>
        <v>0</v>
      </c>
      <c r="BA17" s="106">
        <f t="shared" si="8"/>
        <v>0</v>
      </c>
      <c r="BB17" s="108"/>
      <c r="BC17" s="108" t="e">
        <f>BB17/BA17*100</f>
        <v>#DIV/0!</v>
      </c>
      <c r="BD17" s="108">
        <f>BB17-BA17</f>
        <v>0</v>
      </c>
      <c r="BE17" s="108"/>
      <c r="BF17" s="108"/>
      <c r="BG17" s="108" t="e">
        <f>BF17/BE17*100</f>
        <v>#DIV/0!</v>
      </c>
      <c r="BH17" s="108">
        <f>BF17-BE17</f>
        <v>0</v>
      </c>
      <c r="BI17" s="108"/>
      <c r="BJ17" s="108"/>
      <c r="BK17" s="108" t="e">
        <f>BJ17/BI17*100</f>
        <v>#DIV/0!</v>
      </c>
      <c r="BL17" s="108">
        <f>BJ17-BI17</f>
        <v>0</v>
      </c>
      <c r="BM17" s="108"/>
      <c r="BN17" s="108"/>
      <c r="BO17" s="108"/>
      <c r="BP17" s="108">
        <f t="shared" si="32"/>
        <v>0</v>
      </c>
      <c r="BQ17" s="108"/>
      <c r="BR17" s="108"/>
      <c r="BS17" s="108"/>
      <c r="BT17" s="122">
        <f t="shared" si="28"/>
        <v>0</v>
      </c>
      <c r="BU17" s="108"/>
      <c r="BV17" s="153"/>
      <c r="BW17" s="110"/>
      <c r="BX17" s="122">
        <f t="shared" si="20"/>
        <v>0</v>
      </c>
      <c r="BY17" s="122"/>
      <c r="BZ17" s="122"/>
      <c r="CA17" s="122"/>
      <c r="CB17" s="122"/>
      <c r="CC17" s="106">
        <f t="shared" ref="CC17:CC65" si="35">AG17+BA17+BE17+BI17+BM17+BQ17+BU17+BY17</f>
        <v>49</v>
      </c>
      <c r="CD17" s="108">
        <f t="shared" ref="CD17:CD23" si="36">R17+V17+Z17+AD17+BR17+BV17+F17+J17+N17+AL17+BZ17+AP17+AT17+AX17+BF17</f>
        <v>0</v>
      </c>
      <c r="CE17" s="109">
        <f t="shared" si="13"/>
        <v>0</v>
      </c>
      <c r="CF17" s="108">
        <f t="shared" si="14"/>
        <v>-49</v>
      </c>
      <c r="CH17" s="142">
        <f t="shared" si="16"/>
        <v>0</v>
      </c>
      <c r="CI17" s="137">
        <f t="shared" si="17"/>
        <v>49</v>
      </c>
      <c r="CK17" s="146">
        <f t="shared" si="15"/>
        <v>0</v>
      </c>
    </row>
    <row r="18" spans="1:89" ht="13.5" hidden="1" customHeight="1">
      <c r="A18" s="122"/>
      <c r="B18" s="893" t="s">
        <v>407</v>
      </c>
      <c r="C18" s="894"/>
      <c r="D18" s="895"/>
      <c r="E18" s="108"/>
      <c r="F18" s="108"/>
      <c r="G18" s="108"/>
      <c r="H18" s="108"/>
      <c r="I18" s="108"/>
      <c r="J18" s="108"/>
      <c r="K18" s="108"/>
      <c r="L18" s="122"/>
      <c r="M18" s="108"/>
      <c r="N18" s="108"/>
      <c r="O18" s="108"/>
      <c r="P18" s="122"/>
      <c r="Q18" s="108"/>
      <c r="R18" s="108"/>
      <c r="S18" s="109"/>
      <c r="T18" s="109"/>
      <c r="U18" s="108"/>
      <c r="V18" s="108"/>
      <c r="W18" s="108"/>
      <c r="X18" s="122"/>
      <c r="Y18" s="108"/>
      <c r="Z18" s="108"/>
      <c r="AA18" s="108"/>
      <c r="AB18" s="122"/>
      <c r="AC18" s="108"/>
      <c r="AD18" s="108"/>
      <c r="AE18" s="108"/>
      <c r="AF18" s="122"/>
      <c r="AG18" s="106">
        <f t="shared" si="3"/>
        <v>0</v>
      </c>
      <c r="AH18" s="108">
        <f t="shared" si="34"/>
        <v>0</v>
      </c>
      <c r="AI18" s="108" t="e">
        <f t="shared" si="31"/>
        <v>#DIV/0!</v>
      </c>
      <c r="AJ18" s="122">
        <f t="shared" si="26"/>
        <v>0</v>
      </c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6">
        <f t="shared" si="8"/>
        <v>0</v>
      </c>
      <c r="BB18" s="108">
        <f t="shared" ref="BB18:BB23" si="37">AL18+AP18+AT18+AX18</f>
        <v>0</v>
      </c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>
        <f t="shared" si="32"/>
        <v>0</v>
      </c>
      <c r="BQ18" s="108"/>
      <c r="BR18" s="108"/>
      <c r="BS18" s="108"/>
      <c r="BT18" s="122"/>
      <c r="BU18" s="108"/>
      <c r="BV18" s="153"/>
      <c r="BW18" s="110"/>
      <c r="BX18" s="122"/>
      <c r="BY18" s="122"/>
      <c r="BZ18" s="122"/>
      <c r="CA18" s="122"/>
      <c r="CB18" s="122"/>
      <c r="CC18" s="106">
        <f t="shared" si="35"/>
        <v>0</v>
      </c>
      <c r="CD18" s="108">
        <f t="shared" si="36"/>
        <v>0</v>
      </c>
      <c r="CE18" s="109" t="e">
        <f t="shared" si="13"/>
        <v>#DIV/0!</v>
      </c>
      <c r="CF18" s="108">
        <f>CD18-CC18</f>
        <v>0</v>
      </c>
      <c r="CH18" s="142">
        <f t="shared" si="16"/>
        <v>0</v>
      </c>
      <c r="CI18" s="137">
        <f t="shared" si="17"/>
        <v>0</v>
      </c>
      <c r="CK18" s="146">
        <f t="shared" si="15"/>
        <v>0</v>
      </c>
    </row>
    <row r="19" spans="1:89" ht="13.5" customHeight="1">
      <c r="A19" s="122"/>
      <c r="B19" s="893" t="s">
        <v>207</v>
      </c>
      <c r="C19" s="894"/>
      <c r="D19" s="895"/>
      <c r="E19" s="108"/>
      <c r="F19" s="108"/>
      <c r="G19" s="108"/>
      <c r="H19" s="108"/>
      <c r="I19" s="108"/>
      <c r="J19" s="108"/>
      <c r="K19" s="108"/>
      <c r="L19" s="122">
        <f t="shared" si="21"/>
        <v>0</v>
      </c>
      <c r="M19" s="108"/>
      <c r="N19" s="108"/>
      <c r="O19" s="108"/>
      <c r="P19" s="122">
        <f t="shared" si="23"/>
        <v>0</v>
      </c>
      <c r="Q19" s="108"/>
      <c r="R19" s="108"/>
      <c r="S19" s="109"/>
      <c r="T19" s="109">
        <f t="shared" si="33"/>
        <v>0</v>
      </c>
      <c r="U19" s="108"/>
      <c r="V19" s="108"/>
      <c r="W19" s="108"/>
      <c r="X19" s="122"/>
      <c r="Y19" s="108"/>
      <c r="Z19" s="108"/>
      <c r="AA19" s="108"/>
      <c r="AB19" s="122">
        <f t="shared" si="1"/>
        <v>0</v>
      </c>
      <c r="AC19" s="108"/>
      <c r="AD19" s="108"/>
      <c r="AE19" s="108"/>
      <c r="AF19" s="122">
        <f t="shared" si="2"/>
        <v>0</v>
      </c>
      <c r="AG19" s="106">
        <f t="shared" si="3"/>
        <v>0</v>
      </c>
      <c r="AH19" s="108">
        <f t="shared" si="34"/>
        <v>0</v>
      </c>
      <c r="AI19" s="108" t="e">
        <f t="shared" si="31"/>
        <v>#DIV/0!</v>
      </c>
      <c r="AJ19" s="122">
        <f t="shared" si="26"/>
        <v>0</v>
      </c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6">
        <f t="shared" si="8"/>
        <v>0</v>
      </c>
      <c r="BB19" s="108">
        <f t="shared" si="37"/>
        <v>0</v>
      </c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>
        <f t="shared" si="32"/>
        <v>0</v>
      </c>
      <c r="BQ19" s="108"/>
      <c r="BR19" s="108"/>
      <c r="BS19" s="108"/>
      <c r="BT19" s="122"/>
      <c r="BU19" s="108">
        <v>14</v>
      </c>
      <c r="BV19" s="153">
        <v>3.15</v>
      </c>
      <c r="BW19" s="110"/>
      <c r="BX19" s="122">
        <f t="shared" si="20"/>
        <v>-10.85</v>
      </c>
      <c r="BY19" s="122"/>
      <c r="BZ19" s="122"/>
      <c r="CA19" s="122"/>
      <c r="CB19" s="122"/>
      <c r="CC19" s="106">
        <f t="shared" si="35"/>
        <v>14</v>
      </c>
      <c r="CD19" s="108">
        <f t="shared" si="36"/>
        <v>3.15</v>
      </c>
      <c r="CE19" s="109">
        <f t="shared" si="13"/>
        <v>22.5</v>
      </c>
      <c r="CF19" s="108">
        <f>CD19-CC19</f>
        <v>-10.85</v>
      </c>
      <c r="CH19" s="142">
        <f t="shared" si="16"/>
        <v>3.15</v>
      </c>
      <c r="CI19" s="137">
        <f t="shared" si="17"/>
        <v>14</v>
      </c>
      <c r="CK19" s="146">
        <f t="shared" si="15"/>
        <v>3.15</v>
      </c>
    </row>
    <row r="20" spans="1:89" ht="13.5" hidden="1" customHeight="1">
      <c r="A20" s="122"/>
      <c r="B20" s="893" t="s">
        <v>270</v>
      </c>
      <c r="C20" s="894"/>
      <c r="D20" s="895"/>
      <c r="E20" s="108"/>
      <c r="F20" s="108"/>
      <c r="G20" s="108"/>
      <c r="H20" s="108"/>
      <c r="I20" s="108"/>
      <c r="J20" s="108"/>
      <c r="K20" s="108"/>
      <c r="L20" s="122"/>
      <c r="M20" s="108"/>
      <c r="N20" s="108"/>
      <c r="O20" s="108"/>
      <c r="P20" s="122"/>
      <c r="Q20" s="108"/>
      <c r="R20" s="108"/>
      <c r="S20" s="109"/>
      <c r="T20" s="109">
        <f t="shared" si="33"/>
        <v>0</v>
      </c>
      <c r="U20" s="108"/>
      <c r="V20" s="108"/>
      <c r="W20" s="108"/>
      <c r="X20" s="122"/>
      <c r="Y20" s="108"/>
      <c r="Z20" s="108"/>
      <c r="AA20" s="108"/>
      <c r="AB20" s="122"/>
      <c r="AC20" s="108"/>
      <c r="AD20" s="108"/>
      <c r="AE20" s="108"/>
      <c r="AF20" s="122"/>
      <c r="AG20" s="106">
        <f t="shared" si="3"/>
        <v>0</v>
      </c>
      <c r="AH20" s="108">
        <f t="shared" si="34"/>
        <v>0</v>
      </c>
      <c r="AI20" s="108" t="e">
        <f t="shared" si="31"/>
        <v>#DIV/0!</v>
      </c>
      <c r="AJ20" s="122">
        <f t="shared" si="26"/>
        <v>0</v>
      </c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6">
        <f t="shared" si="8"/>
        <v>0</v>
      </c>
      <c r="BB20" s="108">
        <f t="shared" si="37"/>
        <v>0</v>
      </c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>
        <f t="shared" si="32"/>
        <v>0</v>
      </c>
      <c r="BQ20" s="108"/>
      <c r="BR20" s="108"/>
      <c r="BS20" s="108"/>
      <c r="BT20" s="122"/>
      <c r="BU20" s="108"/>
      <c r="BV20" s="153"/>
      <c r="BW20" s="110" t="e">
        <f>BV20/BU20*100</f>
        <v>#DIV/0!</v>
      </c>
      <c r="BX20" s="122">
        <f t="shared" si="20"/>
        <v>0</v>
      </c>
      <c r="BY20" s="122"/>
      <c r="BZ20" s="122"/>
      <c r="CA20" s="122"/>
      <c r="CB20" s="122"/>
      <c r="CC20" s="106">
        <f t="shared" si="35"/>
        <v>0</v>
      </c>
      <c r="CD20" s="108">
        <f t="shared" si="36"/>
        <v>0</v>
      </c>
      <c r="CE20" s="109" t="e">
        <f t="shared" si="13"/>
        <v>#DIV/0!</v>
      </c>
      <c r="CF20" s="108">
        <f>CD20-CC20</f>
        <v>0</v>
      </c>
      <c r="CH20" s="142">
        <f t="shared" si="16"/>
        <v>0</v>
      </c>
      <c r="CI20" s="137">
        <f t="shared" si="17"/>
        <v>0</v>
      </c>
      <c r="CK20" s="146">
        <f t="shared" si="15"/>
        <v>0</v>
      </c>
    </row>
    <row r="21" spans="1:89" ht="13.5" customHeight="1">
      <c r="A21" s="122"/>
      <c r="B21" s="893" t="s">
        <v>290</v>
      </c>
      <c r="C21" s="894"/>
      <c r="D21" s="895"/>
      <c r="E21" s="108">
        <v>3</v>
      </c>
      <c r="F21" s="108"/>
      <c r="G21" s="108"/>
      <c r="H21" s="108"/>
      <c r="I21" s="108">
        <v>10</v>
      </c>
      <c r="J21" s="108"/>
      <c r="K21" s="108"/>
      <c r="L21" s="122"/>
      <c r="M21" s="108">
        <v>15</v>
      </c>
      <c r="N21" s="108"/>
      <c r="O21" s="108"/>
      <c r="P21" s="122"/>
      <c r="Q21" s="108">
        <v>15</v>
      </c>
      <c r="R21" s="108">
        <v>0.6</v>
      </c>
      <c r="S21" s="109"/>
      <c r="T21" s="109"/>
      <c r="U21" s="108">
        <v>3</v>
      </c>
      <c r="V21" s="108"/>
      <c r="W21" s="108"/>
      <c r="X21" s="122"/>
      <c r="Y21" s="108">
        <v>10</v>
      </c>
      <c r="Z21" s="108">
        <v>5.38246</v>
      </c>
      <c r="AA21" s="108"/>
      <c r="AB21" s="122"/>
      <c r="AC21" s="108">
        <v>10</v>
      </c>
      <c r="AD21" s="108">
        <v>2.0499999999999998</v>
      </c>
      <c r="AE21" s="108"/>
      <c r="AF21" s="122"/>
      <c r="AG21" s="106">
        <f t="shared" si="3"/>
        <v>66</v>
      </c>
      <c r="AH21" s="108">
        <f t="shared" si="34"/>
        <v>8.0324600000000004</v>
      </c>
      <c r="AI21" s="108">
        <f t="shared" si="31"/>
        <v>12.170393939393941</v>
      </c>
      <c r="AJ21" s="122">
        <f t="shared" si="26"/>
        <v>-57.96754</v>
      </c>
      <c r="AK21" s="108">
        <v>5</v>
      </c>
      <c r="AL21" s="108">
        <v>4.048</v>
      </c>
      <c r="AM21" s="108"/>
      <c r="AN21" s="108"/>
      <c r="AO21" s="108">
        <v>5</v>
      </c>
      <c r="AP21" s="108">
        <v>3.2</v>
      </c>
      <c r="AQ21" s="108"/>
      <c r="AR21" s="108"/>
      <c r="AS21" s="108">
        <v>5</v>
      </c>
      <c r="AT21" s="108"/>
      <c r="AU21" s="108"/>
      <c r="AV21" s="108"/>
      <c r="AW21" s="108">
        <v>5</v>
      </c>
      <c r="AX21" s="108">
        <v>4.55</v>
      </c>
      <c r="AY21" s="108"/>
      <c r="AZ21" s="108"/>
      <c r="BA21" s="106">
        <f t="shared" si="8"/>
        <v>20</v>
      </c>
      <c r="BB21" s="108">
        <f t="shared" si="37"/>
        <v>11.798</v>
      </c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>
        <v>12</v>
      </c>
      <c r="BN21" s="108"/>
      <c r="BO21" s="108">
        <f>BN21/BM21*100</f>
        <v>0</v>
      </c>
      <c r="BP21" s="108">
        <f t="shared" si="32"/>
        <v>-12</v>
      </c>
      <c r="BQ21" s="153">
        <v>0.4</v>
      </c>
      <c r="BR21" s="153"/>
      <c r="BS21" s="108"/>
      <c r="BT21" s="122"/>
      <c r="BU21" s="108"/>
      <c r="BV21" s="153"/>
      <c r="BW21" s="110"/>
      <c r="BX21" s="122"/>
      <c r="BY21" s="122"/>
      <c r="BZ21" s="122"/>
      <c r="CA21" s="122"/>
      <c r="CB21" s="122"/>
      <c r="CC21" s="106">
        <f t="shared" si="35"/>
        <v>98.4</v>
      </c>
      <c r="CD21" s="108">
        <f t="shared" si="36"/>
        <v>19.830460000000002</v>
      </c>
      <c r="CE21" s="109">
        <f t="shared" si="13"/>
        <v>20.15290650406504</v>
      </c>
      <c r="CF21" s="108">
        <f>CD21-CC21</f>
        <v>-78.569540000000003</v>
      </c>
      <c r="CH21" s="142">
        <f t="shared" si="16"/>
        <v>19.830460000000002</v>
      </c>
      <c r="CI21" s="137">
        <f t="shared" si="17"/>
        <v>98.4</v>
      </c>
      <c r="CK21" s="146">
        <f t="shared" si="15"/>
        <v>19.830460000000002</v>
      </c>
    </row>
    <row r="22" spans="1:89" ht="12.6" customHeight="1">
      <c r="A22" s="122"/>
      <c r="B22" s="893" t="s">
        <v>268</v>
      </c>
      <c r="C22" s="894"/>
      <c r="D22" s="895"/>
      <c r="E22" s="108"/>
      <c r="F22" s="108">
        <v>2.6</v>
      </c>
      <c r="G22" s="108" t="e">
        <f>F22/E22*100</f>
        <v>#DIV/0!</v>
      </c>
      <c r="H22" s="108"/>
      <c r="I22" s="108"/>
      <c r="J22" s="108"/>
      <c r="K22" s="108"/>
      <c r="L22" s="122">
        <f t="shared" ref="L22:L28" si="38">J22-I22</f>
        <v>0</v>
      </c>
      <c r="M22" s="108"/>
      <c r="N22" s="108">
        <v>186.29499999999999</v>
      </c>
      <c r="O22" s="108"/>
      <c r="P22" s="122">
        <f t="shared" si="23"/>
        <v>186.29499999999999</v>
      </c>
      <c r="Q22" s="108"/>
      <c r="R22" s="108"/>
      <c r="S22" s="108" t="e">
        <f>R22/Q22*100</f>
        <v>#DIV/0!</v>
      </c>
      <c r="T22" s="108">
        <f t="shared" si="33"/>
        <v>0</v>
      </c>
      <c r="U22" s="108"/>
      <c r="V22" s="108"/>
      <c r="W22" s="108"/>
      <c r="X22" s="122">
        <f>V22-U22</f>
        <v>0</v>
      </c>
      <c r="Y22" s="108"/>
      <c r="Z22" s="108"/>
      <c r="AA22" s="108"/>
      <c r="AB22" s="122">
        <f>Z22-Y22</f>
        <v>0</v>
      </c>
      <c r="AC22" s="108"/>
      <c r="AD22" s="108"/>
      <c r="AE22" s="108" t="e">
        <f>AD22/AC22*100</f>
        <v>#DIV/0!</v>
      </c>
      <c r="AF22" s="122"/>
      <c r="AG22" s="106">
        <f t="shared" si="3"/>
        <v>0</v>
      </c>
      <c r="AH22" s="108">
        <f t="shared" si="34"/>
        <v>188.89499999999998</v>
      </c>
      <c r="AI22" s="108" t="e">
        <f t="shared" si="31"/>
        <v>#DIV/0!</v>
      </c>
      <c r="AJ22" s="122">
        <f t="shared" si="26"/>
        <v>188.89499999999998</v>
      </c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6">
        <f t="shared" si="8"/>
        <v>0</v>
      </c>
      <c r="BB22" s="108">
        <f t="shared" si="37"/>
        <v>0</v>
      </c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>
        <f t="shared" si="32"/>
        <v>0</v>
      </c>
      <c r="BQ22" s="153"/>
      <c r="BR22" s="108"/>
      <c r="BS22" s="108"/>
      <c r="BT22" s="122">
        <f>BR22-BQ22</f>
        <v>0</v>
      </c>
      <c r="BU22" s="108">
        <v>40</v>
      </c>
      <c r="BV22" s="153"/>
      <c r="BW22" s="110">
        <f>BV22/BU22*100</f>
        <v>0</v>
      </c>
      <c r="BX22" s="122">
        <f t="shared" si="20"/>
        <v>-40</v>
      </c>
      <c r="BY22" s="156">
        <v>1.5</v>
      </c>
      <c r="BZ22" s="122"/>
      <c r="CA22" s="122"/>
      <c r="CB22" s="122"/>
      <c r="CC22" s="106">
        <f t="shared" si="35"/>
        <v>41.5</v>
      </c>
      <c r="CD22" s="108">
        <f t="shared" si="36"/>
        <v>188.89499999999998</v>
      </c>
      <c r="CE22" s="109">
        <f t="shared" si="13"/>
        <v>455.16867469879514</v>
      </c>
      <c r="CF22" s="108">
        <f>CD22-CC22</f>
        <v>147.39499999999998</v>
      </c>
      <c r="CH22" s="142">
        <f t="shared" si="16"/>
        <v>188.89499999999998</v>
      </c>
      <c r="CI22" s="137">
        <f t="shared" si="17"/>
        <v>41.5</v>
      </c>
      <c r="CK22" s="146">
        <f t="shared" si="15"/>
        <v>188.89499999999998</v>
      </c>
    </row>
    <row r="23" spans="1:89" ht="12.75" hidden="1" customHeight="1">
      <c r="A23" s="122"/>
      <c r="B23" s="893" t="s">
        <v>208</v>
      </c>
      <c r="C23" s="894"/>
      <c r="D23" s="895"/>
      <c r="E23" s="108"/>
      <c r="F23" s="108"/>
      <c r="G23" s="108" t="e">
        <f>F23/E23*100</f>
        <v>#DIV/0!</v>
      </c>
      <c r="H23" s="108">
        <f t="shared" si="29"/>
        <v>0</v>
      </c>
      <c r="I23" s="108"/>
      <c r="J23" s="108"/>
      <c r="K23" s="108"/>
      <c r="L23" s="122">
        <f t="shared" si="38"/>
        <v>0</v>
      </c>
      <c r="M23" s="108"/>
      <c r="N23" s="108"/>
      <c r="O23" s="108"/>
      <c r="P23" s="122">
        <f t="shared" si="23"/>
        <v>0</v>
      </c>
      <c r="Q23" s="108"/>
      <c r="R23" s="108"/>
      <c r="S23" s="108"/>
      <c r="T23" s="108">
        <f t="shared" si="33"/>
        <v>0</v>
      </c>
      <c r="U23" s="108"/>
      <c r="V23" s="108"/>
      <c r="W23" s="108" t="e">
        <f>V23/U23*100</f>
        <v>#DIV/0!</v>
      </c>
      <c r="X23" s="122"/>
      <c r="Y23" s="108"/>
      <c r="Z23" s="108"/>
      <c r="AA23" s="108"/>
      <c r="AB23" s="122">
        <f>Z23-Y23</f>
        <v>0</v>
      </c>
      <c r="AC23" s="108"/>
      <c r="AD23" s="108"/>
      <c r="AE23" s="108" t="e">
        <f>AD23/AC23*100</f>
        <v>#DIV/0!</v>
      </c>
      <c r="AF23" s="122">
        <f>AD23-AC23</f>
        <v>0</v>
      </c>
      <c r="AG23" s="106">
        <f t="shared" si="3"/>
        <v>0</v>
      </c>
      <c r="AH23" s="108">
        <f t="shared" si="34"/>
        <v>0</v>
      </c>
      <c r="AI23" s="108" t="e">
        <f t="shared" si="31"/>
        <v>#DIV/0!</v>
      </c>
      <c r="AJ23" s="122">
        <f t="shared" si="26"/>
        <v>0</v>
      </c>
      <c r="AK23" s="108"/>
      <c r="AL23" s="108"/>
      <c r="AM23" s="108"/>
      <c r="AN23" s="108">
        <f>AL23-AK23</f>
        <v>0</v>
      </c>
      <c r="AO23" s="108"/>
      <c r="AP23" s="108"/>
      <c r="AQ23" s="108"/>
      <c r="AR23" s="108">
        <f>AP23-AO23</f>
        <v>0</v>
      </c>
      <c r="AS23" s="108"/>
      <c r="AT23" s="108"/>
      <c r="AU23" s="108"/>
      <c r="AV23" s="108">
        <f>AT23-AS23</f>
        <v>0</v>
      </c>
      <c r="AW23" s="108"/>
      <c r="AX23" s="108"/>
      <c r="AY23" s="108"/>
      <c r="AZ23" s="108">
        <f>AX23-AW23</f>
        <v>0</v>
      </c>
      <c r="BA23" s="106">
        <f t="shared" si="8"/>
        <v>0</v>
      </c>
      <c r="BB23" s="108">
        <f t="shared" si="37"/>
        <v>0</v>
      </c>
      <c r="BC23" s="108"/>
      <c r="BD23" s="108">
        <f>BB23-BA23</f>
        <v>0</v>
      </c>
      <c r="BE23" s="108"/>
      <c r="BF23" s="108"/>
      <c r="BG23" s="108"/>
      <c r="BH23" s="108">
        <f>BF23-BE23</f>
        <v>0</v>
      </c>
      <c r="BI23" s="108"/>
      <c r="BJ23" s="108"/>
      <c r="BK23" s="108"/>
      <c r="BL23" s="108">
        <f>BJ23-BI23</f>
        <v>0</v>
      </c>
      <c r="BM23" s="108"/>
      <c r="BN23" s="108"/>
      <c r="BO23" s="108"/>
      <c r="BP23" s="108">
        <f t="shared" si="32"/>
        <v>0</v>
      </c>
      <c r="BQ23" s="108"/>
      <c r="BR23" s="108"/>
      <c r="BS23" s="108"/>
      <c r="BT23" s="122"/>
      <c r="BU23" s="108"/>
      <c r="BV23" s="153"/>
      <c r="BW23" s="110"/>
      <c r="BX23" s="122"/>
      <c r="BY23" s="122"/>
      <c r="BZ23" s="122"/>
      <c r="CA23" s="122"/>
      <c r="CB23" s="122"/>
      <c r="CC23" s="106">
        <f t="shared" si="35"/>
        <v>0</v>
      </c>
      <c r="CD23" s="108">
        <f t="shared" si="36"/>
        <v>0</v>
      </c>
      <c r="CE23" s="108" t="e">
        <f t="shared" si="13"/>
        <v>#DIV/0!</v>
      </c>
      <c r="CF23" s="108">
        <f t="shared" si="14"/>
        <v>0</v>
      </c>
      <c r="CH23" s="142">
        <f t="shared" si="16"/>
        <v>0</v>
      </c>
      <c r="CI23" s="137">
        <f t="shared" si="17"/>
        <v>0</v>
      </c>
      <c r="CK23" s="146">
        <f t="shared" si="15"/>
        <v>0</v>
      </c>
    </row>
    <row r="24" spans="1:89" ht="12.75" customHeight="1">
      <c r="A24" s="122"/>
      <c r="B24" s="875" t="s">
        <v>246</v>
      </c>
      <c r="C24" s="876"/>
      <c r="D24" s="877"/>
      <c r="E24" s="108">
        <v>11</v>
      </c>
      <c r="F24" s="108">
        <v>3.01756</v>
      </c>
      <c r="G24" s="108"/>
      <c r="H24" s="108"/>
      <c r="I24" s="108">
        <v>11</v>
      </c>
      <c r="J24" s="108">
        <v>32.907589999999999</v>
      </c>
      <c r="K24" s="109">
        <f>J24/I24*100</f>
        <v>299.15990909090908</v>
      </c>
      <c r="L24" s="108">
        <f>J24-I24</f>
        <v>21.907589999999999</v>
      </c>
      <c r="M24" s="108">
        <v>20</v>
      </c>
      <c r="N24" s="108">
        <v>9.8832000000000004</v>
      </c>
      <c r="O24" s="108"/>
      <c r="P24" s="108"/>
      <c r="Q24" s="108">
        <v>20</v>
      </c>
      <c r="R24" s="108">
        <v>12</v>
      </c>
      <c r="S24" s="108"/>
      <c r="T24" s="122"/>
      <c r="U24" s="108">
        <v>11</v>
      </c>
      <c r="V24" s="108">
        <v>4.5634499999999996</v>
      </c>
      <c r="W24" s="108"/>
      <c r="X24" s="122"/>
      <c r="Y24" s="108">
        <v>15</v>
      </c>
      <c r="Z24" s="108"/>
      <c r="AA24" s="108"/>
      <c r="AB24" s="122"/>
      <c r="AC24" s="108">
        <v>11</v>
      </c>
      <c r="AD24" s="108">
        <v>19.623999999999999</v>
      </c>
      <c r="AE24" s="108"/>
      <c r="AF24" s="122"/>
      <c r="AG24" s="106">
        <f>E24+I24+M24+Q24+U24+Y24+AC24</f>
        <v>99</v>
      </c>
      <c r="AH24" s="108">
        <f>F24+J24+N24+R24+V24+Z24+AD24</f>
        <v>81.995800000000003</v>
      </c>
      <c r="AI24" s="108">
        <f>AH24/AG24*100</f>
        <v>82.824040404040417</v>
      </c>
      <c r="AJ24" s="108">
        <f>AH24-AG24</f>
        <v>-17.004199999999997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6">
        <f>AK24+AO24+AS24+AW24</f>
        <v>0</v>
      </c>
      <c r="BB24" s="108">
        <f>AL24+AP24+AT24+AX24</f>
        <v>0</v>
      </c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22"/>
      <c r="BU24" s="108"/>
      <c r="BV24" s="153"/>
      <c r="BW24" s="110"/>
      <c r="BX24" s="122"/>
      <c r="BY24" s="122"/>
      <c r="BZ24" s="122"/>
      <c r="CA24" s="122"/>
      <c r="CB24" s="122"/>
      <c r="CC24" s="106">
        <f>AG24+BA24+BE24+BI24+BM24+BQ24+BU24+BY24</f>
        <v>99</v>
      </c>
      <c r="CD24" s="108">
        <f>R24+V24+Z24+AD24+BR24+BV24+F24+J24+N24+AL24+BZ24+AP24+AT24+AX24+BF24</f>
        <v>81.995800000000003</v>
      </c>
      <c r="CE24" s="108">
        <f>CD24/CC24*100</f>
        <v>82.824040404040417</v>
      </c>
      <c r="CF24" s="108">
        <f>CD24-CC24</f>
        <v>-17.004199999999997</v>
      </c>
      <c r="CH24" s="142">
        <f>F24+J24+N24+R24+V24+Z24+AD24+AL24+AP24+AT24+AX24+BF24+BJ24+BN24+BR24+BV24+BZ24</f>
        <v>81.995800000000003</v>
      </c>
      <c r="CI24" s="137">
        <f>E24+I24+M24+Q24+U24+Y24+AC24+AG24+AK24+AO24+AS24+AW24+BE24+BI24+BM24+BQ24+BU24+BY24-AG24</f>
        <v>99</v>
      </c>
      <c r="CK24" s="146">
        <f t="shared" si="15"/>
        <v>81.995800000000003</v>
      </c>
    </row>
    <row r="25" spans="1:89" s="141" customFormat="1" ht="15" customHeight="1">
      <c r="A25" s="123">
        <v>226</v>
      </c>
      <c r="B25" s="887" t="s">
        <v>118</v>
      </c>
      <c r="C25" s="888"/>
      <c r="D25" s="889"/>
      <c r="E25" s="116">
        <f>SUM(E26:E44)</f>
        <v>93</v>
      </c>
      <c r="F25" s="116">
        <f>SUM(F26:F44)</f>
        <v>103.81162999999999</v>
      </c>
      <c r="G25" s="113">
        <f>F25/E25*100</f>
        <v>111.62540860215053</v>
      </c>
      <c r="H25" s="116">
        <f t="shared" si="29"/>
        <v>10.811629999999994</v>
      </c>
      <c r="I25" s="116">
        <f>SUM(I26:I44)</f>
        <v>128</v>
      </c>
      <c r="J25" s="116">
        <f>SUM(J26:J44)</f>
        <v>92.800049999999999</v>
      </c>
      <c r="K25" s="116">
        <f>J25/I25*100</f>
        <v>72.500039062499994</v>
      </c>
      <c r="L25" s="123">
        <f t="shared" si="38"/>
        <v>-35.199950000000001</v>
      </c>
      <c r="M25" s="116">
        <f>SUM(M26:M44)</f>
        <v>193</v>
      </c>
      <c r="N25" s="116">
        <f>SUM(N26:N44)</f>
        <v>136.39225999999999</v>
      </c>
      <c r="O25" s="116">
        <f>N25/M25*100</f>
        <v>70.669564766839372</v>
      </c>
      <c r="P25" s="123">
        <f t="shared" si="23"/>
        <v>-56.607740000000007</v>
      </c>
      <c r="Q25" s="116">
        <f>SUM(Q26:Q44)</f>
        <v>193</v>
      </c>
      <c r="R25" s="116">
        <f>SUM(R26:R44)</f>
        <v>262.88150999999999</v>
      </c>
      <c r="S25" s="116">
        <f>R25/Q25*100</f>
        <v>136.20803626943007</v>
      </c>
      <c r="T25" s="116">
        <f t="shared" si="33"/>
        <v>69.881509999999992</v>
      </c>
      <c r="U25" s="116">
        <f>SUM(U26:U44)</f>
        <v>146</v>
      </c>
      <c r="V25" s="116">
        <f>SUM(V26:V44)</f>
        <v>123.3271</v>
      </c>
      <c r="W25" s="113">
        <f>V25/U25*100</f>
        <v>84.47061643835616</v>
      </c>
      <c r="X25" s="116">
        <f>V25-U25</f>
        <v>-22.672899999999998</v>
      </c>
      <c r="Y25" s="116">
        <f>SUM(Y26:Y44)</f>
        <v>140</v>
      </c>
      <c r="Z25" s="116">
        <f>SUM(Z26:Z44)</f>
        <v>131.88126</v>
      </c>
      <c r="AA25" s="116">
        <f>Z25/Y25*100</f>
        <v>94.200900000000004</v>
      </c>
      <c r="AB25" s="123">
        <f>Z25-Y25</f>
        <v>-8.1187400000000025</v>
      </c>
      <c r="AC25" s="116">
        <f>SUM(AC26:AC44)</f>
        <v>128</v>
      </c>
      <c r="AD25" s="116">
        <f>SUM(AD26:AD44)</f>
        <v>127.22905</v>
      </c>
      <c r="AE25" s="113">
        <f>AD25/AC25*100</f>
        <v>99.397695312500005</v>
      </c>
      <c r="AF25" s="123">
        <f>AD25-AC25</f>
        <v>-0.77094999999999914</v>
      </c>
      <c r="AG25" s="113">
        <f t="shared" si="3"/>
        <v>1021</v>
      </c>
      <c r="AH25" s="116">
        <f>SUM(AH26:AH44)</f>
        <v>978.32285999999999</v>
      </c>
      <c r="AI25" s="116">
        <f t="shared" si="31"/>
        <v>95.820064642507347</v>
      </c>
      <c r="AJ25" s="116">
        <f t="shared" si="26"/>
        <v>-42.677140000000009</v>
      </c>
      <c r="AK25" s="116">
        <f>SUM(AK26:AK44)</f>
        <v>0</v>
      </c>
      <c r="AL25" s="116">
        <f>SUM(AL26:AL44)</f>
        <v>162.93269000000001</v>
      </c>
      <c r="AM25" s="113" t="e">
        <f>AL25/AK25*100</f>
        <v>#DIV/0!</v>
      </c>
      <c r="AN25" s="116">
        <f>AL25-AK25</f>
        <v>162.93269000000001</v>
      </c>
      <c r="AO25" s="116">
        <f>SUM(AO26:AO44)</f>
        <v>0</v>
      </c>
      <c r="AP25" s="116">
        <f>SUM(AP26:AP44)</f>
        <v>17.75</v>
      </c>
      <c r="AQ25" s="113" t="e">
        <f>AP25/AO25*100</f>
        <v>#DIV/0!</v>
      </c>
      <c r="AR25" s="116">
        <f>AP25-AO25</f>
        <v>17.75</v>
      </c>
      <c r="AS25" s="116">
        <f>SUM(AS26:AS44)</f>
        <v>0</v>
      </c>
      <c r="AT25" s="116">
        <f>SUM(AT26:AT44)</f>
        <v>18.394659999999998</v>
      </c>
      <c r="AU25" s="113" t="e">
        <f>AT25/AS25*100</f>
        <v>#DIV/0!</v>
      </c>
      <c r="AV25" s="116">
        <f>AT25-AS25</f>
        <v>18.394659999999998</v>
      </c>
      <c r="AW25" s="116">
        <f>SUM(AW26:AW44)</f>
        <v>0</v>
      </c>
      <c r="AX25" s="116">
        <f>SUM(AX26:AX44)</f>
        <v>21.685949999999998</v>
      </c>
      <c r="AY25" s="113" t="e">
        <f>AX25/AW25*100</f>
        <v>#DIV/0!</v>
      </c>
      <c r="AZ25" s="116">
        <f>AX25-AW25</f>
        <v>21.685949999999998</v>
      </c>
      <c r="BA25" s="113">
        <f t="shared" si="8"/>
        <v>0</v>
      </c>
      <c r="BB25" s="116">
        <f>SUM(BB26:BB44)</f>
        <v>220.76330000000002</v>
      </c>
      <c r="BC25" s="113" t="e">
        <f>BB25/BA25*100</f>
        <v>#DIV/0!</v>
      </c>
      <c r="BD25" s="116">
        <f>BB25-BA25</f>
        <v>220.76330000000002</v>
      </c>
      <c r="BE25" s="116">
        <f>SUM(BE26:BE44)</f>
        <v>0</v>
      </c>
      <c r="BF25" s="116">
        <f>SUM(BF26:BF44)</f>
        <v>0</v>
      </c>
      <c r="BG25" s="113" t="e">
        <f>BF25/BE25*100</f>
        <v>#DIV/0!</v>
      </c>
      <c r="BH25" s="116">
        <f>BF25-BE25</f>
        <v>0</v>
      </c>
      <c r="BI25" s="116">
        <f>SUM(BI26:BI44)</f>
        <v>0</v>
      </c>
      <c r="BJ25" s="116">
        <f>SUM(BJ26:BJ44)</f>
        <v>1.64</v>
      </c>
      <c r="BK25" s="113" t="e">
        <f>BJ25/BI25*100</f>
        <v>#DIV/0!</v>
      </c>
      <c r="BL25" s="116">
        <f>BJ25-BI25</f>
        <v>1.64</v>
      </c>
      <c r="BM25" s="116">
        <f>SUM(BM26:BM44)</f>
        <v>0</v>
      </c>
      <c r="BN25" s="116">
        <f>SUM(BN26:BN44)</f>
        <v>0</v>
      </c>
      <c r="BO25" s="113" t="e">
        <f>BN25/BM25*100</f>
        <v>#DIV/0!</v>
      </c>
      <c r="BP25" s="116">
        <f>BN25-BM25</f>
        <v>0</v>
      </c>
      <c r="BQ25" s="154">
        <f>SUM(BQ26:BQ44)</f>
        <v>10.6</v>
      </c>
      <c r="BR25" s="116">
        <f>SUM(BR26:BR44)</f>
        <v>0</v>
      </c>
      <c r="BS25" s="116">
        <f>BR25/BQ25*100</f>
        <v>0</v>
      </c>
      <c r="BT25" s="123">
        <f>BR25-BQ25</f>
        <v>-10.6</v>
      </c>
      <c r="BU25" s="116">
        <f>SUM(BU26:BU44)</f>
        <v>97</v>
      </c>
      <c r="BV25" s="154">
        <f>SUM(BV26:BV44)</f>
        <v>100.05083999999999</v>
      </c>
      <c r="BW25" s="117">
        <f>BV25/BU25*100</f>
        <v>103.14519587628865</v>
      </c>
      <c r="BX25" s="123">
        <f t="shared" si="20"/>
        <v>3.0508399999999938</v>
      </c>
      <c r="BY25" s="154">
        <f>SUM(BY26:BY44)</f>
        <v>9.5</v>
      </c>
      <c r="BZ25" s="116">
        <f>SUM(BZ26:BZ44)</f>
        <v>5.0999999999999996</v>
      </c>
      <c r="CA25" s="117">
        <f>BZ25/BY25*100</f>
        <v>53.684210526315788</v>
      </c>
      <c r="CB25" s="123">
        <f>BZ25-BY25</f>
        <v>-4.4000000000000004</v>
      </c>
      <c r="CC25" s="113">
        <f t="shared" si="35"/>
        <v>1138.0999999999999</v>
      </c>
      <c r="CD25" s="116">
        <f>SUM(CD26:CD44)</f>
        <v>1305.8770000000002</v>
      </c>
      <c r="CE25" s="116">
        <f t="shared" si="13"/>
        <v>114.7418504525086</v>
      </c>
      <c r="CF25" s="116">
        <f t="shared" si="14"/>
        <v>167.77700000000027</v>
      </c>
      <c r="CG25" s="141">
        <v>9.6</v>
      </c>
      <c r="CH25" s="137">
        <f t="shared" si="16"/>
        <v>1305.877</v>
      </c>
      <c r="CI25" s="137">
        <f t="shared" si="17"/>
        <v>1138.0999999999999</v>
      </c>
      <c r="CK25" s="146">
        <f t="shared" si="15"/>
        <v>1305.877</v>
      </c>
    </row>
    <row r="26" spans="1:89" ht="22.5" customHeight="1">
      <c r="A26" s="122"/>
      <c r="B26" s="893" t="s">
        <v>209</v>
      </c>
      <c r="C26" s="894"/>
      <c r="D26" s="895"/>
      <c r="E26" s="108"/>
      <c r="F26" s="108"/>
      <c r="G26" s="108"/>
      <c r="H26" s="108"/>
      <c r="I26" s="108"/>
      <c r="J26" s="108"/>
      <c r="K26" s="109"/>
      <c r="L26" s="122">
        <f t="shared" si="38"/>
        <v>0</v>
      </c>
      <c r="M26" s="108"/>
      <c r="N26" s="108"/>
      <c r="O26" s="108"/>
      <c r="P26" s="122">
        <f t="shared" si="23"/>
        <v>0</v>
      </c>
      <c r="Q26" s="108"/>
      <c r="R26" s="108"/>
      <c r="S26" s="108"/>
      <c r="T26" s="122">
        <f t="shared" si="33"/>
        <v>0</v>
      </c>
      <c r="U26" s="108"/>
      <c r="V26" s="108"/>
      <c r="W26" s="108"/>
      <c r="X26" s="122">
        <f>V26-U26</f>
        <v>0</v>
      </c>
      <c r="Y26" s="108"/>
      <c r="Z26" s="108"/>
      <c r="AA26" s="108"/>
      <c r="AB26" s="122">
        <f>Z26-Y26</f>
        <v>0</v>
      </c>
      <c r="AC26" s="108"/>
      <c r="AD26" s="108"/>
      <c r="AE26" s="108"/>
      <c r="AF26" s="122"/>
      <c r="AG26" s="106">
        <f t="shared" si="3"/>
        <v>0</v>
      </c>
      <c r="AH26" s="108">
        <f t="shared" ref="AH26:AH44" si="39">F26+J26+N26+R26+V26+Z26+AD26</f>
        <v>0</v>
      </c>
      <c r="AI26" s="108" t="e">
        <f t="shared" ref="AI26:AI34" si="40">AH26/AG26*100</f>
        <v>#DIV/0!</v>
      </c>
      <c r="AJ26" s="108">
        <f t="shared" si="26"/>
        <v>0</v>
      </c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6">
        <f t="shared" si="8"/>
        <v>0</v>
      </c>
      <c r="BB26" s="108">
        <f t="shared" ref="BB26:BB44" si="41">AL26+AP26+AT26+AX26</f>
        <v>0</v>
      </c>
      <c r="BC26" s="108"/>
      <c r="BD26" s="108">
        <f>BB26-BA26</f>
        <v>0</v>
      </c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22">
        <f>BR26-BQ26</f>
        <v>0</v>
      </c>
      <c r="BU26" s="108"/>
      <c r="BV26" s="153">
        <v>12</v>
      </c>
      <c r="BW26" s="110"/>
      <c r="BX26" s="122"/>
      <c r="BY26" s="122"/>
      <c r="BZ26" s="122"/>
      <c r="CA26" s="122"/>
      <c r="CB26" s="122"/>
      <c r="CC26" s="106">
        <f t="shared" si="35"/>
        <v>0</v>
      </c>
      <c r="CD26" s="108">
        <f>R26+V26+Z26+AD26+BR26+BV26+F26+J26+N26+AL26+BZ26+AP26+AT26+AX26+BF26</f>
        <v>12</v>
      </c>
      <c r="CE26" s="108" t="e">
        <f t="shared" si="13"/>
        <v>#DIV/0!</v>
      </c>
      <c r="CF26" s="108">
        <f>CD26-CC26</f>
        <v>12</v>
      </c>
      <c r="CH26" s="142">
        <f t="shared" si="16"/>
        <v>12</v>
      </c>
      <c r="CI26" s="137">
        <f t="shared" si="17"/>
        <v>0</v>
      </c>
      <c r="CK26" s="146">
        <f t="shared" si="15"/>
        <v>12</v>
      </c>
    </row>
    <row r="27" spans="1:89" ht="13.5" customHeight="1">
      <c r="A27" s="122"/>
      <c r="B27" s="893" t="s">
        <v>409</v>
      </c>
      <c r="C27" s="894"/>
      <c r="D27" s="895"/>
      <c r="E27" s="108"/>
      <c r="F27" s="108"/>
      <c r="G27" s="108"/>
      <c r="H27" s="108"/>
      <c r="I27" s="108"/>
      <c r="J27" s="108"/>
      <c r="K27" s="109"/>
      <c r="L27" s="122">
        <f t="shared" si="38"/>
        <v>0</v>
      </c>
      <c r="M27" s="108"/>
      <c r="N27" s="108"/>
      <c r="O27" s="108"/>
      <c r="P27" s="122">
        <f t="shared" si="23"/>
        <v>0</v>
      </c>
      <c r="Q27" s="108"/>
      <c r="R27" s="108"/>
      <c r="S27" s="108"/>
      <c r="T27" s="122"/>
      <c r="U27" s="108"/>
      <c r="V27" s="108"/>
      <c r="W27" s="108"/>
      <c r="X27" s="122"/>
      <c r="Y27" s="108"/>
      <c r="Z27" s="108"/>
      <c r="AA27" s="108"/>
      <c r="AB27" s="122"/>
      <c r="AC27" s="108"/>
      <c r="AD27" s="108"/>
      <c r="AE27" s="108"/>
      <c r="AF27" s="122"/>
      <c r="AG27" s="106">
        <f t="shared" si="3"/>
        <v>0</v>
      </c>
      <c r="AH27" s="108">
        <f>F27+J27+N27+R27+V27+Z27+AD27</f>
        <v>0</v>
      </c>
      <c r="AI27" s="108" t="e">
        <f>AH27/AG27*100</f>
        <v>#DIV/0!</v>
      </c>
      <c r="AJ27" s="108">
        <f>AH27-AG27</f>
        <v>0</v>
      </c>
      <c r="AK27" s="108"/>
      <c r="AL27" s="108">
        <v>162.93269000000001</v>
      </c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6">
        <f t="shared" si="8"/>
        <v>0</v>
      </c>
      <c r="BB27" s="108">
        <f>AL27+AP27+AT27+AX27</f>
        <v>162.93269000000001</v>
      </c>
      <c r="BC27" s="108" t="e">
        <f>BB27/BA27*100</f>
        <v>#DIV/0!</v>
      </c>
      <c r="BD27" s="108">
        <f>BB27-BA27</f>
        <v>162.93269000000001</v>
      </c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22"/>
      <c r="BU27" s="108"/>
      <c r="BV27" s="153"/>
      <c r="BW27" s="110"/>
      <c r="BX27" s="122"/>
      <c r="BY27" s="122"/>
      <c r="BZ27" s="122"/>
      <c r="CA27" s="122"/>
      <c r="CB27" s="122"/>
      <c r="CC27" s="106">
        <f t="shared" si="35"/>
        <v>0</v>
      </c>
      <c r="CD27" s="108">
        <f>R27+V27+Z27+AD27+BR27+BV27+F27+J27+N27+AL27+BZ27+AP27+AT27+AX27+BF27</f>
        <v>162.93269000000001</v>
      </c>
      <c r="CE27" s="108" t="e">
        <f>CD27/CC27*100</f>
        <v>#DIV/0!</v>
      </c>
      <c r="CF27" s="108">
        <f>CD27-CC27</f>
        <v>162.93269000000001</v>
      </c>
      <c r="CH27" s="142">
        <f t="shared" si="16"/>
        <v>162.93269000000001</v>
      </c>
      <c r="CI27" s="137">
        <f t="shared" si="17"/>
        <v>0</v>
      </c>
      <c r="CK27" s="146">
        <f t="shared" si="15"/>
        <v>162.93269000000001</v>
      </c>
    </row>
    <row r="28" spans="1:89" ht="12.75" hidden="1" customHeight="1">
      <c r="A28" s="122"/>
      <c r="B28" s="875" t="s">
        <v>210</v>
      </c>
      <c r="C28" s="876"/>
      <c r="D28" s="877"/>
      <c r="E28" s="108"/>
      <c r="F28" s="108"/>
      <c r="G28" s="108"/>
      <c r="H28" s="108"/>
      <c r="I28" s="108"/>
      <c r="J28" s="108"/>
      <c r="K28" s="109"/>
      <c r="L28" s="122">
        <f t="shared" si="38"/>
        <v>0</v>
      </c>
      <c r="M28" s="108"/>
      <c r="N28" s="108"/>
      <c r="O28" s="108"/>
      <c r="P28" s="122">
        <f t="shared" si="23"/>
        <v>0</v>
      </c>
      <c r="Q28" s="108"/>
      <c r="R28" s="108"/>
      <c r="S28" s="108"/>
      <c r="T28" s="122">
        <f t="shared" si="33"/>
        <v>0</v>
      </c>
      <c r="U28" s="108"/>
      <c r="V28" s="108"/>
      <c r="W28" s="108"/>
      <c r="X28" s="122">
        <f>V28-U28</f>
        <v>0</v>
      </c>
      <c r="Y28" s="108"/>
      <c r="Z28" s="108"/>
      <c r="AA28" s="108"/>
      <c r="AB28" s="122">
        <f>Z28-Y28</f>
        <v>0</v>
      </c>
      <c r="AC28" s="108"/>
      <c r="AD28" s="108"/>
      <c r="AE28" s="108"/>
      <c r="AF28" s="122"/>
      <c r="AG28" s="106">
        <f t="shared" si="3"/>
        <v>0</v>
      </c>
      <c r="AH28" s="108">
        <f t="shared" si="39"/>
        <v>0</v>
      </c>
      <c r="AI28" s="108"/>
      <c r="AJ28" s="108">
        <f t="shared" si="26"/>
        <v>0</v>
      </c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6">
        <f t="shared" si="8"/>
        <v>0</v>
      </c>
      <c r="BB28" s="108">
        <f t="shared" si="41"/>
        <v>0</v>
      </c>
      <c r="BC28" s="108"/>
      <c r="BD28" s="108">
        <f>BB28-BA28</f>
        <v>0</v>
      </c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22">
        <f>BR28-BQ28</f>
        <v>0</v>
      </c>
      <c r="BU28" s="108"/>
      <c r="BV28" s="153"/>
      <c r="BW28" s="110"/>
      <c r="BX28" s="122">
        <f t="shared" si="20"/>
        <v>0</v>
      </c>
      <c r="BY28" s="122"/>
      <c r="BZ28" s="122"/>
      <c r="CA28" s="122"/>
      <c r="CB28" s="122"/>
      <c r="CC28" s="106">
        <f t="shared" si="35"/>
        <v>0</v>
      </c>
      <c r="CD28" s="108">
        <f>R28+V28+Z28+AD28+BR28+BV28+F28+J28+N28+AL28+BZ28+AP28+AT28+AX28+BF28+BN28</f>
        <v>0</v>
      </c>
      <c r="CE28" s="108"/>
      <c r="CF28" s="108">
        <f t="shared" si="14"/>
        <v>0</v>
      </c>
      <c r="CH28" s="142">
        <f t="shared" si="16"/>
        <v>0</v>
      </c>
      <c r="CI28" s="137">
        <f t="shared" si="17"/>
        <v>0</v>
      </c>
      <c r="CK28" s="146">
        <f t="shared" si="15"/>
        <v>0</v>
      </c>
    </row>
    <row r="29" spans="1:89" ht="12.75" customHeight="1">
      <c r="A29" s="122"/>
      <c r="B29" s="875" t="s">
        <v>211</v>
      </c>
      <c r="C29" s="876"/>
      <c r="D29" s="877"/>
      <c r="E29" s="108">
        <v>5</v>
      </c>
      <c r="F29" s="108"/>
      <c r="G29" s="108"/>
      <c r="H29" s="108"/>
      <c r="I29" s="108">
        <v>10</v>
      </c>
      <c r="J29" s="108"/>
      <c r="K29" s="109"/>
      <c r="L29" s="122"/>
      <c r="M29" s="108">
        <v>15</v>
      </c>
      <c r="N29" s="108"/>
      <c r="O29" s="108"/>
      <c r="P29" s="122">
        <f t="shared" si="23"/>
        <v>-15</v>
      </c>
      <c r="Q29" s="108">
        <v>15</v>
      </c>
      <c r="R29" s="108"/>
      <c r="S29" s="108"/>
      <c r="T29" s="122"/>
      <c r="U29" s="108">
        <v>5</v>
      </c>
      <c r="V29" s="108"/>
      <c r="W29" s="108"/>
      <c r="X29" s="122"/>
      <c r="Y29" s="108">
        <v>15</v>
      </c>
      <c r="Z29" s="108"/>
      <c r="AA29" s="108"/>
      <c r="AB29" s="122"/>
      <c r="AC29" s="108">
        <v>10</v>
      </c>
      <c r="AD29" s="108"/>
      <c r="AE29" s="108"/>
      <c r="AF29" s="122"/>
      <c r="AG29" s="106">
        <f t="shared" si="3"/>
        <v>75</v>
      </c>
      <c r="AH29" s="108">
        <f t="shared" si="39"/>
        <v>0</v>
      </c>
      <c r="AI29" s="108">
        <f t="shared" si="40"/>
        <v>0</v>
      </c>
      <c r="AJ29" s="108">
        <f t="shared" si="26"/>
        <v>-75</v>
      </c>
      <c r="AK29" s="108"/>
      <c r="AL29" s="108"/>
      <c r="AM29" s="108" t="e">
        <f>AL29/AK29*100</f>
        <v>#DIV/0!</v>
      </c>
      <c r="AN29" s="108">
        <f t="shared" ref="AN29:AN43" si="42">AL29-AK29</f>
        <v>0</v>
      </c>
      <c r="AO29" s="108"/>
      <c r="AP29" s="108"/>
      <c r="AQ29" s="108" t="e">
        <f>AP29/AO29*100</f>
        <v>#DIV/0!</v>
      </c>
      <c r="AR29" s="108">
        <f t="shared" ref="AR29:AR43" si="43">AP29-AO29</f>
        <v>0</v>
      </c>
      <c r="AS29" s="108"/>
      <c r="AT29" s="108"/>
      <c r="AU29" s="108" t="e">
        <f>AT29/AS29*100</f>
        <v>#DIV/0!</v>
      </c>
      <c r="AV29" s="108">
        <f t="shared" ref="AV29:AV43" si="44">AT29-AS29</f>
        <v>0</v>
      </c>
      <c r="AW29" s="108"/>
      <c r="AX29" s="108"/>
      <c r="AY29" s="108" t="e">
        <f>AX29/AW29*100</f>
        <v>#DIV/0!</v>
      </c>
      <c r="AZ29" s="108">
        <f t="shared" ref="AZ29:AZ43" si="45">AX29-AW29</f>
        <v>0</v>
      </c>
      <c r="BA29" s="106">
        <f t="shared" si="8"/>
        <v>0</v>
      </c>
      <c r="BB29" s="108">
        <f t="shared" si="41"/>
        <v>0</v>
      </c>
      <c r="BC29" s="108" t="e">
        <f>BB29/BA29*100</f>
        <v>#DIV/0!</v>
      </c>
      <c r="BD29" s="108">
        <f t="shared" ref="BD29:BD43" si="46">BB29-BA29</f>
        <v>0</v>
      </c>
      <c r="BE29" s="108"/>
      <c r="BF29" s="108"/>
      <c r="BG29" s="108"/>
      <c r="BH29" s="108">
        <f t="shared" ref="BH29:BH43" si="47">BF29-BE29</f>
        <v>0</v>
      </c>
      <c r="BI29" s="108"/>
      <c r="BJ29" s="108"/>
      <c r="BK29" s="108"/>
      <c r="BL29" s="108">
        <f t="shared" ref="BL29:BL43" si="48">BJ29-BI29</f>
        <v>0</v>
      </c>
      <c r="BM29" s="108"/>
      <c r="BN29" s="108"/>
      <c r="BO29" s="108"/>
      <c r="BP29" s="108">
        <f t="shared" ref="BP29:BP43" si="49">BN29-BM29</f>
        <v>0</v>
      </c>
      <c r="BQ29" s="108"/>
      <c r="BR29" s="108"/>
      <c r="BS29" s="108"/>
      <c r="BT29" s="122">
        <f t="shared" ref="BT29:BT40" si="50">BR29-BQ29</f>
        <v>0</v>
      </c>
      <c r="BU29" s="108"/>
      <c r="BV29" s="153">
        <v>3.5</v>
      </c>
      <c r="BW29" s="110"/>
      <c r="BX29" s="122"/>
      <c r="BY29" s="122"/>
      <c r="BZ29" s="122"/>
      <c r="CA29" s="122"/>
      <c r="CB29" s="122"/>
      <c r="CC29" s="106">
        <f t="shared" si="35"/>
        <v>75</v>
      </c>
      <c r="CD29" s="108">
        <f>R29+V29+Z29+AD29+BR29+BV29+F29+J29+N29+AL29+BZ29+AP29+AT29+AX29+BF29</f>
        <v>3.5</v>
      </c>
      <c r="CE29" s="108">
        <f t="shared" si="13"/>
        <v>4.666666666666667</v>
      </c>
      <c r="CF29" s="108">
        <f t="shared" si="14"/>
        <v>-71.5</v>
      </c>
      <c r="CH29" s="142">
        <f t="shared" si="16"/>
        <v>3.5</v>
      </c>
      <c r="CI29" s="137">
        <f t="shared" si="17"/>
        <v>75</v>
      </c>
      <c r="CK29" s="146">
        <f t="shared" si="15"/>
        <v>3.5</v>
      </c>
    </row>
    <row r="30" spans="1:89" ht="12.75" hidden="1" customHeight="1">
      <c r="A30" s="122"/>
      <c r="B30" s="875" t="s">
        <v>451</v>
      </c>
      <c r="C30" s="876"/>
      <c r="D30" s="877"/>
      <c r="E30" s="108"/>
      <c r="F30" s="108"/>
      <c r="G30" s="108"/>
      <c r="H30" s="108">
        <f t="shared" si="29"/>
        <v>0</v>
      </c>
      <c r="I30" s="108"/>
      <c r="J30" s="108"/>
      <c r="K30" s="109" t="e">
        <f>J30/I30*100</f>
        <v>#DIV/0!</v>
      </c>
      <c r="L30" s="108">
        <f>J30-I30</f>
        <v>0</v>
      </c>
      <c r="M30" s="108"/>
      <c r="N30" s="108"/>
      <c r="O30" s="108" t="e">
        <f>N30/M30*100</f>
        <v>#DIV/0!</v>
      </c>
      <c r="P30" s="122">
        <f t="shared" si="23"/>
        <v>0</v>
      </c>
      <c r="Q30" s="108"/>
      <c r="R30" s="108"/>
      <c r="S30" s="108" t="e">
        <f>R30/Q30*100</f>
        <v>#DIV/0!</v>
      </c>
      <c r="T30" s="122">
        <f t="shared" ref="T30:T44" si="51">R30-Q30</f>
        <v>0</v>
      </c>
      <c r="U30" s="108"/>
      <c r="V30" s="108"/>
      <c r="W30" s="108"/>
      <c r="X30" s="122">
        <f t="shared" ref="X30:X37" si="52">V30-U30</f>
        <v>0</v>
      </c>
      <c r="Y30" s="108"/>
      <c r="Z30" s="108"/>
      <c r="AA30" s="108" t="e">
        <f>Z30/Y30*100</f>
        <v>#DIV/0!</v>
      </c>
      <c r="AB30" s="122">
        <f>Z30-Y30</f>
        <v>0</v>
      </c>
      <c r="AC30" s="108"/>
      <c r="AD30" s="108"/>
      <c r="AE30" s="108"/>
      <c r="AF30" s="122">
        <f>AD30-AC30</f>
        <v>0</v>
      </c>
      <c r="AG30" s="106">
        <f t="shared" si="3"/>
        <v>0</v>
      </c>
      <c r="AH30" s="108">
        <f t="shared" si="39"/>
        <v>0</v>
      </c>
      <c r="AI30" s="108" t="e">
        <f t="shared" si="40"/>
        <v>#DIV/0!</v>
      </c>
      <c r="AJ30" s="108">
        <f t="shared" si="26"/>
        <v>0</v>
      </c>
      <c r="AK30" s="108"/>
      <c r="AL30" s="108"/>
      <c r="AM30" s="108"/>
      <c r="AN30" s="108">
        <f t="shared" si="42"/>
        <v>0</v>
      </c>
      <c r="AO30" s="108"/>
      <c r="AP30" s="108"/>
      <c r="AQ30" s="108"/>
      <c r="AR30" s="108">
        <f t="shared" si="43"/>
        <v>0</v>
      </c>
      <c r="AS30" s="108"/>
      <c r="AT30" s="108"/>
      <c r="AU30" s="108"/>
      <c r="AV30" s="108">
        <f t="shared" si="44"/>
        <v>0</v>
      </c>
      <c r="AW30" s="108"/>
      <c r="AX30" s="108"/>
      <c r="AY30" s="108"/>
      <c r="AZ30" s="108">
        <f t="shared" si="45"/>
        <v>0</v>
      </c>
      <c r="BA30" s="106">
        <f t="shared" si="8"/>
        <v>0</v>
      </c>
      <c r="BB30" s="108">
        <f t="shared" si="41"/>
        <v>0</v>
      </c>
      <c r="BC30" s="108"/>
      <c r="BD30" s="108">
        <f t="shared" si="46"/>
        <v>0</v>
      </c>
      <c r="BE30" s="108"/>
      <c r="BF30" s="108"/>
      <c r="BG30" s="108"/>
      <c r="BH30" s="108">
        <f t="shared" si="47"/>
        <v>0</v>
      </c>
      <c r="BI30" s="108"/>
      <c r="BJ30" s="108"/>
      <c r="BK30" s="108"/>
      <c r="BL30" s="108">
        <f t="shared" si="48"/>
        <v>0</v>
      </c>
      <c r="BM30" s="108"/>
      <c r="BN30" s="108"/>
      <c r="BO30" s="108"/>
      <c r="BP30" s="108">
        <f t="shared" si="49"/>
        <v>0</v>
      </c>
      <c r="BQ30" s="108"/>
      <c r="BR30" s="108"/>
      <c r="BS30" s="108"/>
      <c r="BT30" s="122">
        <f t="shared" si="50"/>
        <v>0</v>
      </c>
      <c r="BU30" s="108"/>
      <c r="BV30" s="153"/>
      <c r="BW30" s="110"/>
      <c r="BX30" s="122">
        <f t="shared" si="20"/>
        <v>0</v>
      </c>
      <c r="BY30" s="122"/>
      <c r="BZ30" s="122"/>
      <c r="CA30" s="122"/>
      <c r="CB30" s="122"/>
      <c r="CC30" s="106">
        <f t="shared" si="35"/>
        <v>0</v>
      </c>
      <c r="CD30" s="108">
        <f>R30+V30+Z30+AD30+BR30+BV30+F30+J30+N30+AL30+BZ30+AP30+AT30+AX30+BF30</f>
        <v>0</v>
      </c>
      <c r="CE30" s="108" t="e">
        <f t="shared" si="13"/>
        <v>#DIV/0!</v>
      </c>
      <c r="CF30" s="108">
        <f t="shared" si="14"/>
        <v>0</v>
      </c>
      <c r="CH30" s="142">
        <f t="shared" si="16"/>
        <v>0</v>
      </c>
      <c r="CI30" s="137">
        <f t="shared" si="17"/>
        <v>0</v>
      </c>
      <c r="CK30" s="146">
        <f t="shared" si="15"/>
        <v>0</v>
      </c>
    </row>
    <row r="31" spans="1:89" ht="12.75" hidden="1" customHeight="1">
      <c r="A31" s="122"/>
      <c r="B31" s="896" t="s">
        <v>267</v>
      </c>
      <c r="C31" s="897"/>
      <c r="D31" s="898"/>
      <c r="E31" s="108"/>
      <c r="F31" s="108"/>
      <c r="G31" s="108"/>
      <c r="H31" s="108">
        <f t="shared" si="29"/>
        <v>0</v>
      </c>
      <c r="I31" s="108"/>
      <c r="J31" s="108"/>
      <c r="K31" s="109"/>
      <c r="L31" s="108">
        <f>J31-I31</f>
        <v>0</v>
      </c>
      <c r="M31" s="108"/>
      <c r="N31" s="108"/>
      <c r="O31" s="108"/>
      <c r="P31" s="122">
        <f t="shared" si="23"/>
        <v>0</v>
      </c>
      <c r="Q31" s="108"/>
      <c r="R31" s="108"/>
      <c r="S31" s="108"/>
      <c r="T31" s="122">
        <f t="shared" si="51"/>
        <v>0</v>
      </c>
      <c r="U31" s="108"/>
      <c r="V31" s="108"/>
      <c r="W31" s="108"/>
      <c r="X31" s="122">
        <f t="shared" si="52"/>
        <v>0</v>
      </c>
      <c r="Y31" s="108"/>
      <c r="Z31" s="108"/>
      <c r="AA31" s="108"/>
      <c r="AB31" s="122">
        <f>Z31-Y31</f>
        <v>0</v>
      </c>
      <c r="AC31" s="108"/>
      <c r="AD31" s="108"/>
      <c r="AE31" s="108"/>
      <c r="AF31" s="122"/>
      <c r="AG31" s="106">
        <f t="shared" si="3"/>
        <v>0</v>
      </c>
      <c r="AH31" s="108">
        <f t="shared" si="39"/>
        <v>0</v>
      </c>
      <c r="AI31" s="108" t="e">
        <f t="shared" si="40"/>
        <v>#DIV/0!</v>
      </c>
      <c r="AJ31" s="108">
        <f t="shared" si="26"/>
        <v>0</v>
      </c>
      <c r="AK31" s="108"/>
      <c r="AL31" s="108"/>
      <c r="AM31" s="108"/>
      <c r="AN31" s="108">
        <f t="shared" si="42"/>
        <v>0</v>
      </c>
      <c r="AO31" s="108"/>
      <c r="AP31" s="108"/>
      <c r="AQ31" s="108"/>
      <c r="AR31" s="108">
        <f t="shared" si="43"/>
        <v>0</v>
      </c>
      <c r="AS31" s="108"/>
      <c r="AT31" s="108"/>
      <c r="AU31" s="108"/>
      <c r="AV31" s="108">
        <f t="shared" si="44"/>
        <v>0</v>
      </c>
      <c r="AW31" s="108"/>
      <c r="AX31" s="108"/>
      <c r="AY31" s="108"/>
      <c r="AZ31" s="108">
        <f t="shared" si="45"/>
        <v>0</v>
      </c>
      <c r="BA31" s="106">
        <f t="shared" si="8"/>
        <v>0</v>
      </c>
      <c r="BB31" s="108">
        <f t="shared" si="41"/>
        <v>0</v>
      </c>
      <c r="BC31" s="108"/>
      <c r="BD31" s="108">
        <f t="shared" si="46"/>
        <v>0</v>
      </c>
      <c r="BE31" s="108"/>
      <c r="BF31" s="108"/>
      <c r="BG31" s="108"/>
      <c r="BH31" s="108">
        <f t="shared" si="47"/>
        <v>0</v>
      </c>
      <c r="BI31" s="108"/>
      <c r="BJ31" s="108"/>
      <c r="BK31" s="108"/>
      <c r="BL31" s="108">
        <f t="shared" si="48"/>
        <v>0</v>
      </c>
      <c r="BM31" s="108"/>
      <c r="BN31" s="108"/>
      <c r="BO31" s="108"/>
      <c r="BP31" s="108">
        <f t="shared" si="49"/>
        <v>0</v>
      </c>
      <c r="BQ31" s="108"/>
      <c r="BR31" s="108"/>
      <c r="BS31" s="108"/>
      <c r="BT31" s="122">
        <f t="shared" si="50"/>
        <v>0</v>
      </c>
      <c r="BU31" s="108"/>
      <c r="BV31" s="153"/>
      <c r="BW31" s="110"/>
      <c r="BX31" s="122">
        <f t="shared" si="20"/>
        <v>0</v>
      </c>
      <c r="BY31" s="122"/>
      <c r="BZ31" s="122"/>
      <c r="CA31" s="122"/>
      <c r="CB31" s="122"/>
      <c r="CC31" s="106">
        <f t="shared" si="35"/>
        <v>0</v>
      </c>
      <c r="CD31" s="108">
        <f>R31+V31+Z31+AD31+BR31+BV31+F31+J31+N31+AL31+BZ31+AP31+AT31+AX31+BF31</f>
        <v>0</v>
      </c>
      <c r="CE31" s="108" t="e">
        <f t="shared" si="13"/>
        <v>#DIV/0!</v>
      </c>
      <c r="CF31" s="108">
        <f t="shared" si="14"/>
        <v>0</v>
      </c>
      <c r="CH31" s="142">
        <f t="shared" si="16"/>
        <v>0</v>
      </c>
      <c r="CI31" s="137">
        <f t="shared" si="17"/>
        <v>0</v>
      </c>
      <c r="CK31" s="146">
        <f t="shared" si="15"/>
        <v>0</v>
      </c>
    </row>
    <row r="32" spans="1:89" ht="12.75" customHeight="1">
      <c r="A32" s="122"/>
      <c r="B32" s="896" t="s">
        <v>419</v>
      </c>
      <c r="C32" s="897"/>
      <c r="D32" s="898"/>
      <c r="E32" s="108"/>
      <c r="F32" s="108"/>
      <c r="G32" s="108"/>
      <c r="H32" s="108">
        <f t="shared" si="29"/>
        <v>0</v>
      </c>
      <c r="I32" s="108"/>
      <c r="J32" s="108"/>
      <c r="K32" s="109"/>
      <c r="L32" s="108"/>
      <c r="M32" s="108"/>
      <c r="N32" s="108"/>
      <c r="O32" s="108"/>
      <c r="P32" s="122">
        <f t="shared" si="23"/>
        <v>0</v>
      </c>
      <c r="Q32" s="108"/>
      <c r="R32" s="108"/>
      <c r="S32" s="108"/>
      <c r="T32" s="122">
        <f t="shared" si="51"/>
        <v>0</v>
      </c>
      <c r="U32" s="108"/>
      <c r="V32" s="108"/>
      <c r="W32" s="108"/>
      <c r="X32" s="122">
        <f t="shared" si="52"/>
        <v>0</v>
      </c>
      <c r="Y32" s="108"/>
      <c r="Z32" s="108"/>
      <c r="AA32" s="108"/>
      <c r="AB32" s="122"/>
      <c r="AC32" s="108"/>
      <c r="AD32" s="108"/>
      <c r="AE32" s="108"/>
      <c r="AF32" s="122">
        <f>AD32-AC32</f>
        <v>0</v>
      </c>
      <c r="AG32" s="106">
        <f t="shared" si="3"/>
        <v>0</v>
      </c>
      <c r="AH32" s="108">
        <f t="shared" si="39"/>
        <v>0</v>
      </c>
      <c r="AI32" s="108"/>
      <c r="AJ32" s="108">
        <f t="shared" si="26"/>
        <v>0</v>
      </c>
      <c r="AK32" s="108"/>
      <c r="AL32" s="108"/>
      <c r="AM32" s="108"/>
      <c r="AN32" s="108">
        <f t="shared" si="42"/>
        <v>0</v>
      </c>
      <c r="AO32" s="108"/>
      <c r="AP32" s="108"/>
      <c r="AQ32" s="108"/>
      <c r="AR32" s="108">
        <f t="shared" si="43"/>
        <v>0</v>
      </c>
      <c r="AS32" s="108"/>
      <c r="AT32" s="108"/>
      <c r="AU32" s="108"/>
      <c r="AV32" s="108">
        <f t="shared" si="44"/>
        <v>0</v>
      </c>
      <c r="AW32" s="108"/>
      <c r="AX32" s="108"/>
      <c r="AY32" s="108"/>
      <c r="AZ32" s="108">
        <f t="shared" si="45"/>
        <v>0</v>
      </c>
      <c r="BA32" s="106">
        <f t="shared" si="8"/>
        <v>0</v>
      </c>
      <c r="BB32" s="108">
        <f t="shared" si="41"/>
        <v>0</v>
      </c>
      <c r="BC32" s="108"/>
      <c r="BD32" s="108">
        <f t="shared" si="46"/>
        <v>0</v>
      </c>
      <c r="BE32" s="108"/>
      <c r="BF32" s="108"/>
      <c r="BG32" s="108"/>
      <c r="BH32" s="108">
        <f t="shared" si="47"/>
        <v>0</v>
      </c>
      <c r="BI32" s="108"/>
      <c r="BJ32" s="108"/>
      <c r="BK32" s="108"/>
      <c r="BL32" s="108">
        <f t="shared" si="48"/>
        <v>0</v>
      </c>
      <c r="BM32" s="108"/>
      <c r="BN32" s="108"/>
      <c r="BO32" s="108"/>
      <c r="BP32" s="108">
        <f t="shared" si="49"/>
        <v>0</v>
      </c>
      <c r="BQ32" s="108"/>
      <c r="BR32" s="108"/>
      <c r="BS32" s="108"/>
      <c r="BT32" s="122">
        <f t="shared" si="50"/>
        <v>0</v>
      </c>
      <c r="BU32" s="153">
        <v>29.6</v>
      </c>
      <c r="BV32" s="153"/>
      <c r="BW32" s="110"/>
      <c r="BX32" s="122"/>
      <c r="BY32" s="122"/>
      <c r="BZ32" s="122"/>
      <c r="CA32" s="122"/>
      <c r="CB32" s="122"/>
      <c r="CC32" s="106">
        <f t="shared" si="35"/>
        <v>29.6</v>
      </c>
      <c r="CD32" s="108">
        <f>R32+V32+Z32+AD32+BR32+BV32+F32+J32+N32+AL32+BZ32+AP32+AT32+AX32+BF32+BJ32</f>
        <v>0</v>
      </c>
      <c r="CE32" s="108">
        <f t="shared" si="13"/>
        <v>0</v>
      </c>
      <c r="CF32" s="108">
        <f t="shared" si="14"/>
        <v>-29.6</v>
      </c>
      <c r="CH32" s="142">
        <f t="shared" si="16"/>
        <v>0</v>
      </c>
      <c r="CI32" s="137">
        <f t="shared" si="17"/>
        <v>29.6</v>
      </c>
      <c r="CK32" s="146">
        <f t="shared" si="15"/>
        <v>0</v>
      </c>
    </row>
    <row r="33" spans="1:89" hidden="1">
      <c r="A33" s="122"/>
      <c r="B33" s="896" t="s">
        <v>243</v>
      </c>
      <c r="C33" s="897"/>
      <c r="D33" s="898"/>
      <c r="E33" s="108"/>
      <c r="F33" s="108"/>
      <c r="G33" s="108"/>
      <c r="H33" s="108">
        <f t="shared" si="29"/>
        <v>0</v>
      </c>
      <c r="I33" s="108"/>
      <c r="J33" s="108"/>
      <c r="K33" s="109" t="e">
        <f>J33/I33*100</f>
        <v>#DIV/0!</v>
      </c>
      <c r="L33" s="108"/>
      <c r="M33" s="108"/>
      <c r="N33" s="108"/>
      <c r="O33" s="108"/>
      <c r="P33" s="122">
        <f>N33-M33</f>
        <v>0</v>
      </c>
      <c r="Q33" s="108"/>
      <c r="R33" s="108"/>
      <c r="S33" s="108" t="e">
        <f>R33/Q33*100</f>
        <v>#DIV/0!</v>
      </c>
      <c r="T33" s="122">
        <f t="shared" si="51"/>
        <v>0</v>
      </c>
      <c r="U33" s="108"/>
      <c r="V33" s="108"/>
      <c r="W33" s="108"/>
      <c r="X33" s="122">
        <f t="shared" si="52"/>
        <v>0</v>
      </c>
      <c r="Y33" s="108"/>
      <c r="Z33" s="108"/>
      <c r="AA33" s="108"/>
      <c r="AB33" s="122">
        <f t="shared" ref="AB33:AB39" si="53">Z33-Y33</f>
        <v>0</v>
      </c>
      <c r="AC33" s="108"/>
      <c r="AD33" s="108"/>
      <c r="AE33" s="108"/>
      <c r="AF33" s="122"/>
      <c r="AG33" s="106">
        <f t="shared" si="3"/>
        <v>0</v>
      </c>
      <c r="AH33" s="108">
        <f t="shared" si="39"/>
        <v>0</v>
      </c>
      <c r="AI33" s="108" t="e">
        <f t="shared" si="40"/>
        <v>#DIV/0!</v>
      </c>
      <c r="AJ33" s="108">
        <f t="shared" si="26"/>
        <v>0</v>
      </c>
      <c r="AK33" s="108"/>
      <c r="AL33" s="108"/>
      <c r="AM33" s="108"/>
      <c r="AN33" s="108">
        <f t="shared" si="42"/>
        <v>0</v>
      </c>
      <c r="AO33" s="108"/>
      <c r="AP33" s="108"/>
      <c r="AQ33" s="108"/>
      <c r="AR33" s="108">
        <f t="shared" si="43"/>
        <v>0</v>
      </c>
      <c r="AS33" s="108"/>
      <c r="AT33" s="108"/>
      <c r="AU33" s="108"/>
      <c r="AV33" s="108">
        <f t="shared" si="44"/>
        <v>0</v>
      </c>
      <c r="AW33" s="108"/>
      <c r="AX33" s="108"/>
      <c r="AY33" s="108"/>
      <c r="AZ33" s="108">
        <f t="shared" si="45"/>
        <v>0</v>
      </c>
      <c r="BA33" s="106">
        <f t="shared" si="8"/>
        <v>0</v>
      </c>
      <c r="BB33" s="108">
        <f t="shared" si="41"/>
        <v>0</v>
      </c>
      <c r="BC33" s="108"/>
      <c r="BD33" s="108">
        <f t="shared" si="46"/>
        <v>0</v>
      </c>
      <c r="BE33" s="108"/>
      <c r="BF33" s="108"/>
      <c r="BG33" s="108"/>
      <c r="BH33" s="108">
        <f t="shared" si="47"/>
        <v>0</v>
      </c>
      <c r="BI33" s="108"/>
      <c r="BJ33" s="108"/>
      <c r="BK33" s="108"/>
      <c r="BL33" s="108">
        <f t="shared" si="48"/>
        <v>0</v>
      </c>
      <c r="BM33" s="108"/>
      <c r="BN33" s="108"/>
      <c r="BO33" s="108"/>
      <c r="BP33" s="108">
        <f t="shared" si="49"/>
        <v>0</v>
      </c>
      <c r="BQ33" s="108"/>
      <c r="BR33" s="108"/>
      <c r="BS33" s="108"/>
      <c r="BT33" s="122">
        <f t="shared" si="50"/>
        <v>0</v>
      </c>
      <c r="BU33" s="108"/>
      <c r="BV33" s="153"/>
      <c r="BW33" s="110"/>
      <c r="BX33" s="122"/>
      <c r="BY33" s="122"/>
      <c r="BZ33" s="122"/>
      <c r="CA33" s="122"/>
      <c r="CB33" s="122"/>
      <c r="CC33" s="106">
        <f t="shared" si="35"/>
        <v>0</v>
      </c>
      <c r="CD33" s="108">
        <f>R33+V33+Z33+AD33+BR33+BV33+F33+J33+N33+AL33+BZ33+AP33+AT33+AX33+BF33</f>
        <v>0</v>
      </c>
      <c r="CE33" s="108" t="e">
        <f t="shared" si="13"/>
        <v>#DIV/0!</v>
      </c>
      <c r="CF33" s="108">
        <f t="shared" si="14"/>
        <v>0</v>
      </c>
      <c r="CH33" s="142">
        <f t="shared" si="16"/>
        <v>0</v>
      </c>
      <c r="CI33" s="137">
        <f t="shared" si="17"/>
        <v>0</v>
      </c>
      <c r="CK33" s="146">
        <f t="shared" si="15"/>
        <v>0</v>
      </c>
    </row>
    <row r="34" spans="1:89">
      <c r="A34" s="122"/>
      <c r="B34" s="896" t="s">
        <v>452</v>
      </c>
      <c r="C34" s="897"/>
      <c r="D34" s="898"/>
      <c r="E34" s="108">
        <v>10</v>
      </c>
      <c r="F34" s="108"/>
      <c r="G34" s="108"/>
      <c r="H34" s="108">
        <f t="shared" si="29"/>
        <v>-10</v>
      </c>
      <c r="I34" s="108">
        <v>15</v>
      </c>
      <c r="J34" s="108"/>
      <c r="K34" s="109"/>
      <c r="L34" s="108">
        <f>J34-I34</f>
        <v>-15</v>
      </c>
      <c r="M34" s="108">
        <v>25</v>
      </c>
      <c r="N34" s="108"/>
      <c r="O34" s="108"/>
      <c r="P34" s="122">
        <f>N34-M34</f>
        <v>-25</v>
      </c>
      <c r="Q34" s="108">
        <v>25</v>
      </c>
      <c r="R34" s="108">
        <v>14.52</v>
      </c>
      <c r="S34" s="108"/>
      <c r="T34" s="122">
        <f t="shared" si="51"/>
        <v>-10.48</v>
      </c>
      <c r="U34" s="108">
        <v>10</v>
      </c>
      <c r="V34" s="108"/>
      <c r="W34" s="108"/>
      <c r="X34" s="122">
        <f t="shared" si="52"/>
        <v>-10</v>
      </c>
      <c r="Y34" s="108">
        <v>15</v>
      </c>
      <c r="Z34" s="108"/>
      <c r="AA34" s="108"/>
      <c r="AB34" s="122">
        <f t="shared" si="53"/>
        <v>-15</v>
      </c>
      <c r="AC34" s="108">
        <v>15</v>
      </c>
      <c r="AD34" s="108">
        <v>14.52</v>
      </c>
      <c r="AE34" s="108"/>
      <c r="AF34" s="122">
        <f>AD34-AC34</f>
        <v>-0.48000000000000043</v>
      </c>
      <c r="AG34" s="106">
        <f t="shared" si="3"/>
        <v>115</v>
      </c>
      <c r="AH34" s="108">
        <f t="shared" si="39"/>
        <v>29.04</v>
      </c>
      <c r="AI34" s="108">
        <f t="shared" si="40"/>
        <v>25.252173913043478</v>
      </c>
      <c r="AJ34" s="108">
        <f t="shared" si="26"/>
        <v>-85.960000000000008</v>
      </c>
      <c r="AK34" s="108"/>
      <c r="AL34" s="108"/>
      <c r="AM34" s="108"/>
      <c r="AN34" s="108">
        <f t="shared" si="42"/>
        <v>0</v>
      </c>
      <c r="AO34" s="108"/>
      <c r="AP34" s="108"/>
      <c r="AQ34" s="108"/>
      <c r="AR34" s="108">
        <f t="shared" si="43"/>
        <v>0</v>
      </c>
      <c r="AS34" s="108"/>
      <c r="AT34" s="108"/>
      <c r="AU34" s="108"/>
      <c r="AV34" s="108">
        <f t="shared" si="44"/>
        <v>0</v>
      </c>
      <c r="AW34" s="108"/>
      <c r="AX34" s="108"/>
      <c r="AY34" s="108"/>
      <c r="AZ34" s="108">
        <f t="shared" si="45"/>
        <v>0</v>
      </c>
      <c r="BA34" s="106">
        <f t="shared" si="8"/>
        <v>0</v>
      </c>
      <c r="BB34" s="108">
        <f t="shared" si="41"/>
        <v>0</v>
      </c>
      <c r="BC34" s="108"/>
      <c r="BD34" s="108">
        <f t="shared" si="46"/>
        <v>0</v>
      </c>
      <c r="BE34" s="108"/>
      <c r="BF34" s="108"/>
      <c r="BG34" s="108"/>
      <c r="BH34" s="108">
        <f t="shared" si="47"/>
        <v>0</v>
      </c>
      <c r="BI34" s="108"/>
      <c r="BJ34" s="108"/>
      <c r="BK34" s="108"/>
      <c r="BL34" s="108">
        <f t="shared" si="48"/>
        <v>0</v>
      </c>
      <c r="BM34" s="108"/>
      <c r="BN34" s="108"/>
      <c r="BO34" s="108"/>
      <c r="BP34" s="108">
        <f t="shared" si="49"/>
        <v>0</v>
      </c>
      <c r="BQ34" s="108"/>
      <c r="BR34" s="108"/>
      <c r="BS34" s="108"/>
      <c r="BT34" s="122">
        <f t="shared" si="50"/>
        <v>0</v>
      </c>
      <c r="BU34" s="108"/>
      <c r="BV34" s="153"/>
      <c r="BW34" s="110"/>
      <c r="BX34" s="122">
        <f t="shared" si="20"/>
        <v>0</v>
      </c>
      <c r="BY34" s="122"/>
      <c r="BZ34" s="122"/>
      <c r="CA34" s="122"/>
      <c r="CB34" s="122"/>
      <c r="CC34" s="106">
        <f t="shared" si="35"/>
        <v>115</v>
      </c>
      <c r="CD34" s="108">
        <f>R34+V34+Z34+AD34+BR34+BV34+F34+J34+N34+AL34+BZ34+AP34+AT34+AX34+BF34</f>
        <v>29.04</v>
      </c>
      <c r="CE34" s="108">
        <f t="shared" si="13"/>
        <v>25.252173913043478</v>
      </c>
      <c r="CF34" s="108">
        <f t="shared" si="14"/>
        <v>-85.960000000000008</v>
      </c>
      <c r="CH34" s="142">
        <f t="shared" si="16"/>
        <v>29.04</v>
      </c>
      <c r="CI34" s="137">
        <f t="shared" si="17"/>
        <v>115</v>
      </c>
      <c r="CK34" s="146">
        <f t="shared" si="15"/>
        <v>29.04</v>
      </c>
    </row>
    <row r="35" spans="1:89">
      <c r="A35" s="122"/>
      <c r="B35" s="896" t="s">
        <v>212</v>
      </c>
      <c r="C35" s="897"/>
      <c r="D35" s="898"/>
      <c r="E35" s="108"/>
      <c r="F35" s="108">
        <v>62.068080000000002</v>
      </c>
      <c r="G35" s="108"/>
      <c r="H35" s="108">
        <f t="shared" si="29"/>
        <v>62.068080000000002</v>
      </c>
      <c r="I35" s="108"/>
      <c r="J35" s="108">
        <v>34.74579</v>
      </c>
      <c r="K35" s="109" t="e">
        <f>J35/I35*100</f>
        <v>#DIV/0!</v>
      </c>
      <c r="L35" s="108">
        <f>J35-I35</f>
        <v>34.74579</v>
      </c>
      <c r="M35" s="108"/>
      <c r="N35" s="108">
        <v>57.05</v>
      </c>
      <c r="O35" s="108"/>
      <c r="P35" s="122">
        <f t="shared" si="23"/>
        <v>57.05</v>
      </c>
      <c r="Q35" s="108"/>
      <c r="R35" s="108">
        <v>80.241640000000004</v>
      </c>
      <c r="S35" s="108" t="e">
        <f>R35/Q35*100</f>
        <v>#DIV/0!</v>
      </c>
      <c r="T35" s="122">
        <f t="shared" si="51"/>
        <v>80.241640000000004</v>
      </c>
      <c r="U35" s="108"/>
      <c r="V35" s="108">
        <v>32.44</v>
      </c>
      <c r="W35" s="108"/>
      <c r="X35" s="122">
        <f t="shared" si="52"/>
        <v>32.44</v>
      </c>
      <c r="Y35" s="108"/>
      <c r="Z35" s="108">
        <v>63.924999999999997</v>
      </c>
      <c r="AA35" s="108"/>
      <c r="AB35" s="122">
        <f t="shared" si="53"/>
        <v>63.924999999999997</v>
      </c>
      <c r="AC35" s="108"/>
      <c r="AD35" s="108">
        <v>50.26079</v>
      </c>
      <c r="AE35" s="108" t="e">
        <f>AD35/AC35*100</f>
        <v>#DIV/0!</v>
      </c>
      <c r="AF35" s="122">
        <f>AD35-AC35</f>
        <v>50.26079</v>
      </c>
      <c r="AG35" s="106">
        <f t="shared" si="3"/>
        <v>0</v>
      </c>
      <c r="AH35" s="108">
        <f t="shared" si="39"/>
        <v>380.73130000000003</v>
      </c>
      <c r="AI35" s="108" t="e">
        <f>AH35/AG35*100</f>
        <v>#DIV/0!</v>
      </c>
      <c r="AJ35" s="108">
        <f t="shared" si="26"/>
        <v>380.73130000000003</v>
      </c>
      <c r="AK35" s="108"/>
      <c r="AL35" s="108"/>
      <c r="AM35" s="108"/>
      <c r="AN35" s="108">
        <f t="shared" si="42"/>
        <v>0</v>
      </c>
      <c r="AO35" s="108"/>
      <c r="AP35" s="108">
        <v>17.75</v>
      </c>
      <c r="AQ35" s="108"/>
      <c r="AR35" s="108">
        <f t="shared" si="43"/>
        <v>17.75</v>
      </c>
      <c r="AS35" s="108"/>
      <c r="AT35" s="108">
        <v>18.394659999999998</v>
      </c>
      <c r="AU35" s="108"/>
      <c r="AV35" s="108">
        <f t="shared" si="44"/>
        <v>18.394659999999998</v>
      </c>
      <c r="AW35" s="108"/>
      <c r="AX35" s="108">
        <v>21.685949999999998</v>
      </c>
      <c r="AY35" s="108"/>
      <c r="AZ35" s="108">
        <f t="shared" si="45"/>
        <v>21.685949999999998</v>
      </c>
      <c r="BA35" s="106">
        <f t="shared" si="8"/>
        <v>0</v>
      </c>
      <c r="BB35" s="108">
        <f t="shared" si="41"/>
        <v>57.83061</v>
      </c>
      <c r="BC35" s="108"/>
      <c r="BD35" s="108">
        <f t="shared" si="46"/>
        <v>57.83061</v>
      </c>
      <c r="BE35" s="108"/>
      <c r="BF35" s="108"/>
      <c r="BG35" s="108"/>
      <c r="BH35" s="108">
        <f t="shared" si="47"/>
        <v>0</v>
      </c>
      <c r="BI35" s="108"/>
      <c r="BJ35" s="108">
        <v>1.64</v>
      </c>
      <c r="BK35" s="108"/>
      <c r="BL35" s="108">
        <f t="shared" si="48"/>
        <v>1.64</v>
      </c>
      <c r="BM35" s="108"/>
      <c r="BN35" s="108"/>
      <c r="BO35" s="108"/>
      <c r="BP35" s="108">
        <f t="shared" si="49"/>
        <v>0</v>
      </c>
      <c r="BQ35" s="153">
        <v>10.6</v>
      </c>
      <c r="BR35" s="108"/>
      <c r="BS35" s="109"/>
      <c r="BT35" s="122">
        <f t="shared" si="50"/>
        <v>-10.6</v>
      </c>
      <c r="BU35" s="153">
        <v>35.4</v>
      </c>
      <c r="BV35" s="153">
        <v>22.3</v>
      </c>
      <c r="BW35" s="108">
        <f>BV35/BU35*100</f>
        <v>62.994350282485875</v>
      </c>
      <c r="BX35" s="122">
        <f t="shared" si="20"/>
        <v>-13.099999999999998</v>
      </c>
      <c r="BY35" s="156">
        <v>9.5</v>
      </c>
      <c r="BZ35" s="122"/>
      <c r="CA35" s="122"/>
      <c r="CB35" s="122"/>
      <c r="CC35" s="106">
        <f t="shared" si="35"/>
        <v>55.5</v>
      </c>
      <c r="CD35" s="108">
        <f>R35+V35+Z35+AD35+BR35+BV35+F35+J35+N35+AL35+BZ35+AP35+AT35+AX35+BF35+BN35+BJ35</f>
        <v>462.50191000000001</v>
      </c>
      <c r="CE35" s="108">
        <f t="shared" si="13"/>
        <v>833.33677477477477</v>
      </c>
      <c r="CF35" s="108">
        <f t="shared" si="14"/>
        <v>407.00191000000001</v>
      </c>
      <c r="CH35" s="142">
        <f t="shared" si="16"/>
        <v>462.50191000000001</v>
      </c>
      <c r="CI35" s="137">
        <f t="shared" si="17"/>
        <v>55.5</v>
      </c>
      <c r="CK35" s="146">
        <f t="shared" si="15"/>
        <v>462.50191000000001</v>
      </c>
    </row>
    <row r="36" spans="1:89" hidden="1">
      <c r="A36" s="122"/>
      <c r="B36" s="896" t="s">
        <v>271</v>
      </c>
      <c r="C36" s="897"/>
      <c r="D36" s="898"/>
      <c r="E36" s="108"/>
      <c r="F36" s="108"/>
      <c r="G36" s="108"/>
      <c r="H36" s="108">
        <f t="shared" si="29"/>
        <v>0</v>
      </c>
      <c r="I36" s="108"/>
      <c r="J36" s="108"/>
      <c r="K36" s="109"/>
      <c r="L36" s="108"/>
      <c r="M36" s="108"/>
      <c r="N36" s="108"/>
      <c r="O36" s="108"/>
      <c r="P36" s="122"/>
      <c r="Q36" s="108"/>
      <c r="R36" s="108"/>
      <c r="S36" s="108"/>
      <c r="T36" s="122"/>
      <c r="U36" s="108"/>
      <c r="V36" s="108"/>
      <c r="W36" s="108"/>
      <c r="X36" s="122">
        <f t="shared" si="52"/>
        <v>0</v>
      </c>
      <c r="Y36" s="108"/>
      <c r="Z36" s="108"/>
      <c r="AA36" s="108"/>
      <c r="AB36" s="122">
        <f t="shared" si="53"/>
        <v>0</v>
      </c>
      <c r="AC36" s="108"/>
      <c r="AD36" s="108"/>
      <c r="AE36" s="108"/>
      <c r="AF36" s="122"/>
      <c r="AG36" s="106">
        <f t="shared" si="3"/>
        <v>0</v>
      </c>
      <c r="AH36" s="108">
        <f t="shared" si="39"/>
        <v>0</v>
      </c>
      <c r="AI36" s="108" t="e">
        <f>AH36/AG36*100</f>
        <v>#DIV/0!</v>
      </c>
      <c r="AJ36" s="108">
        <f t="shared" ref="AJ36:AJ43" si="54">AH36-AG36</f>
        <v>0</v>
      </c>
      <c r="AK36" s="108"/>
      <c r="AL36" s="108"/>
      <c r="AM36" s="108"/>
      <c r="AN36" s="108">
        <f t="shared" si="42"/>
        <v>0</v>
      </c>
      <c r="AO36" s="108"/>
      <c r="AP36" s="108"/>
      <c r="AQ36" s="108"/>
      <c r="AR36" s="108">
        <f t="shared" si="43"/>
        <v>0</v>
      </c>
      <c r="AS36" s="108"/>
      <c r="AT36" s="108"/>
      <c r="AU36" s="108"/>
      <c r="AV36" s="108">
        <f t="shared" si="44"/>
        <v>0</v>
      </c>
      <c r="AW36" s="108"/>
      <c r="AX36" s="108"/>
      <c r="AY36" s="108"/>
      <c r="AZ36" s="108">
        <f t="shared" si="45"/>
        <v>0</v>
      </c>
      <c r="BA36" s="106">
        <f t="shared" si="8"/>
        <v>0</v>
      </c>
      <c r="BB36" s="108">
        <f t="shared" si="41"/>
        <v>0</v>
      </c>
      <c r="BC36" s="108"/>
      <c r="BD36" s="108">
        <f t="shared" si="46"/>
        <v>0</v>
      </c>
      <c r="BE36" s="108"/>
      <c r="BF36" s="108"/>
      <c r="BG36" s="108"/>
      <c r="BH36" s="108">
        <f t="shared" si="47"/>
        <v>0</v>
      </c>
      <c r="BI36" s="108"/>
      <c r="BJ36" s="108"/>
      <c r="BK36" s="108"/>
      <c r="BL36" s="108">
        <f t="shared" si="48"/>
        <v>0</v>
      </c>
      <c r="BM36" s="108"/>
      <c r="BN36" s="108"/>
      <c r="BO36" s="108"/>
      <c r="BP36" s="108">
        <f t="shared" si="49"/>
        <v>0</v>
      </c>
      <c r="BQ36" s="108"/>
      <c r="BR36" s="108"/>
      <c r="BS36" s="108"/>
      <c r="BT36" s="122">
        <f t="shared" si="50"/>
        <v>0</v>
      </c>
      <c r="BU36" s="108"/>
      <c r="BV36" s="153"/>
      <c r="BW36" s="108"/>
      <c r="BX36" s="122"/>
      <c r="BY36" s="122"/>
      <c r="BZ36" s="122"/>
      <c r="CA36" s="122"/>
      <c r="CB36" s="122"/>
      <c r="CC36" s="106">
        <f t="shared" si="35"/>
        <v>0</v>
      </c>
      <c r="CD36" s="108">
        <f>R36+V36+Z36+AD36+BR36+BV36+F36+J36+N36+AL36+BZ36+AP36+AT36+AX36+BF36</f>
        <v>0</v>
      </c>
      <c r="CE36" s="108" t="e">
        <f t="shared" si="13"/>
        <v>#DIV/0!</v>
      </c>
      <c r="CF36" s="108">
        <f t="shared" si="14"/>
        <v>0</v>
      </c>
      <c r="CH36" s="142">
        <f t="shared" si="16"/>
        <v>0</v>
      </c>
      <c r="CI36" s="137">
        <f t="shared" si="17"/>
        <v>0</v>
      </c>
      <c r="CK36" s="146">
        <f t="shared" si="15"/>
        <v>0</v>
      </c>
    </row>
    <row r="37" spans="1:89" hidden="1">
      <c r="A37" s="122"/>
      <c r="B37" s="896" t="s">
        <v>213</v>
      </c>
      <c r="C37" s="897"/>
      <c r="D37" s="898"/>
      <c r="E37" s="108"/>
      <c r="F37" s="108"/>
      <c r="G37" s="108"/>
      <c r="H37" s="108">
        <f t="shared" si="29"/>
        <v>0</v>
      </c>
      <c r="I37" s="108"/>
      <c r="J37" s="108"/>
      <c r="K37" s="109"/>
      <c r="L37" s="108">
        <f>J37-I37</f>
        <v>0</v>
      </c>
      <c r="M37" s="108"/>
      <c r="N37" s="108"/>
      <c r="O37" s="108"/>
      <c r="P37" s="122">
        <f t="shared" si="23"/>
        <v>0</v>
      </c>
      <c r="Q37" s="108"/>
      <c r="R37" s="108"/>
      <c r="S37" s="108"/>
      <c r="T37" s="122">
        <f t="shared" si="51"/>
        <v>0</v>
      </c>
      <c r="U37" s="108"/>
      <c r="V37" s="108"/>
      <c r="W37" s="108"/>
      <c r="X37" s="122">
        <f t="shared" si="52"/>
        <v>0</v>
      </c>
      <c r="Y37" s="108"/>
      <c r="Z37" s="108"/>
      <c r="AA37" s="108"/>
      <c r="AB37" s="122">
        <f t="shared" si="53"/>
        <v>0</v>
      </c>
      <c r="AC37" s="108"/>
      <c r="AD37" s="108"/>
      <c r="AE37" s="108"/>
      <c r="AF37" s="122"/>
      <c r="AG37" s="106">
        <f t="shared" si="3"/>
        <v>0</v>
      </c>
      <c r="AH37" s="108">
        <f t="shared" si="39"/>
        <v>0</v>
      </c>
      <c r="AI37" s="108"/>
      <c r="AJ37" s="108">
        <f t="shared" si="54"/>
        <v>0</v>
      </c>
      <c r="AK37" s="108"/>
      <c r="AL37" s="108"/>
      <c r="AM37" s="108"/>
      <c r="AN37" s="108">
        <f t="shared" si="42"/>
        <v>0</v>
      </c>
      <c r="AO37" s="108"/>
      <c r="AP37" s="108"/>
      <c r="AQ37" s="108"/>
      <c r="AR37" s="108">
        <f t="shared" si="43"/>
        <v>0</v>
      </c>
      <c r="AS37" s="108"/>
      <c r="AT37" s="108"/>
      <c r="AU37" s="108"/>
      <c r="AV37" s="108">
        <f t="shared" si="44"/>
        <v>0</v>
      </c>
      <c r="AW37" s="108"/>
      <c r="AX37" s="108"/>
      <c r="AY37" s="108"/>
      <c r="AZ37" s="108">
        <f t="shared" si="45"/>
        <v>0</v>
      </c>
      <c r="BA37" s="106">
        <f t="shared" si="8"/>
        <v>0</v>
      </c>
      <c r="BB37" s="108">
        <f t="shared" si="41"/>
        <v>0</v>
      </c>
      <c r="BC37" s="108"/>
      <c r="BD37" s="108">
        <f t="shared" si="46"/>
        <v>0</v>
      </c>
      <c r="BE37" s="108"/>
      <c r="BF37" s="108"/>
      <c r="BG37" s="108"/>
      <c r="BH37" s="108">
        <f t="shared" si="47"/>
        <v>0</v>
      </c>
      <c r="BI37" s="108"/>
      <c r="BJ37" s="108"/>
      <c r="BK37" s="108"/>
      <c r="BL37" s="108">
        <f t="shared" si="48"/>
        <v>0</v>
      </c>
      <c r="BM37" s="108"/>
      <c r="BN37" s="108"/>
      <c r="BO37" s="108"/>
      <c r="BP37" s="108">
        <f t="shared" si="49"/>
        <v>0</v>
      </c>
      <c r="BQ37" s="108"/>
      <c r="BR37" s="108"/>
      <c r="BS37" s="108"/>
      <c r="BT37" s="122">
        <f t="shared" si="50"/>
        <v>0</v>
      </c>
      <c r="BU37" s="108"/>
      <c r="BV37" s="153"/>
      <c r="BW37" s="108" t="e">
        <f>BV37/BU37*100</f>
        <v>#DIV/0!</v>
      </c>
      <c r="BX37" s="122">
        <f t="shared" si="20"/>
        <v>0</v>
      </c>
      <c r="BY37" s="122"/>
      <c r="BZ37" s="122"/>
      <c r="CA37" s="122"/>
      <c r="CB37" s="122"/>
      <c r="CC37" s="106">
        <f t="shared" si="35"/>
        <v>0</v>
      </c>
      <c r="CD37" s="108">
        <f>R37+V37+Z37+AD37+BR37+BV37+F37+J37+N37+AL37+BZ37+AP37+AT37+AX37+BF37</f>
        <v>0</v>
      </c>
      <c r="CE37" s="108" t="e">
        <f t="shared" si="13"/>
        <v>#DIV/0!</v>
      </c>
      <c r="CF37" s="108">
        <f t="shared" si="14"/>
        <v>0</v>
      </c>
      <c r="CH37" s="142">
        <f t="shared" si="16"/>
        <v>0</v>
      </c>
      <c r="CI37" s="137">
        <f t="shared" si="17"/>
        <v>0</v>
      </c>
      <c r="CK37" s="146">
        <f t="shared" si="15"/>
        <v>0</v>
      </c>
    </row>
    <row r="38" spans="1:89" ht="12.75" customHeight="1">
      <c r="A38" s="122"/>
      <c r="B38" s="875" t="s">
        <v>408</v>
      </c>
      <c r="C38" s="876"/>
      <c r="D38" s="877"/>
      <c r="E38" s="108"/>
      <c r="F38" s="108"/>
      <c r="G38" s="108"/>
      <c r="H38" s="108">
        <f t="shared" si="29"/>
        <v>0</v>
      </c>
      <c r="I38" s="108"/>
      <c r="J38" s="108">
        <v>29.643550000000001</v>
      </c>
      <c r="K38" s="109"/>
      <c r="L38" s="108">
        <f>J38-I38</f>
        <v>29.643550000000001</v>
      </c>
      <c r="M38" s="108"/>
      <c r="N38" s="108"/>
      <c r="O38" s="108"/>
      <c r="P38" s="122">
        <f t="shared" si="23"/>
        <v>0</v>
      </c>
      <c r="Q38" s="108"/>
      <c r="R38" s="108"/>
      <c r="S38" s="108"/>
      <c r="T38" s="122">
        <f t="shared" si="51"/>
        <v>0</v>
      </c>
      <c r="U38" s="108"/>
      <c r="V38" s="108"/>
      <c r="W38" s="108"/>
      <c r="X38" s="122">
        <f t="shared" ref="X38:X45" si="55">V38-U38</f>
        <v>0</v>
      </c>
      <c r="Y38" s="108"/>
      <c r="Z38" s="108"/>
      <c r="AA38" s="108"/>
      <c r="AB38" s="122">
        <f t="shared" si="53"/>
        <v>0</v>
      </c>
      <c r="AC38" s="108"/>
      <c r="AD38" s="108"/>
      <c r="AE38" s="108"/>
      <c r="AF38" s="122"/>
      <c r="AG38" s="106">
        <f t="shared" si="3"/>
        <v>0</v>
      </c>
      <c r="AH38" s="108">
        <f t="shared" si="39"/>
        <v>29.643550000000001</v>
      </c>
      <c r="AI38" s="108"/>
      <c r="AJ38" s="108">
        <f t="shared" si="54"/>
        <v>29.643550000000001</v>
      </c>
      <c r="AK38" s="108"/>
      <c r="AL38" s="108"/>
      <c r="AM38" s="108"/>
      <c r="AN38" s="108">
        <f t="shared" si="42"/>
        <v>0</v>
      </c>
      <c r="AO38" s="108"/>
      <c r="AP38" s="108"/>
      <c r="AQ38" s="108"/>
      <c r="AR38" s="108">
        <f t="shared" si="43"/>
        <v>0</v>
      </c>
      <c r="AS38" s="108"/>
      <c r="AT38" s="108"/>
      <c r="AU38" s="108"/>
      <c r="AV38" s="108">
        <f t="shared" si="44"/>
        <v>0</v>
      </c>
      <c r="AW38" s="108"/>
      <c r="AX38" s="108"/>
      <c r="AY38" s="108"/>
      <c r="AZ38" s="108">
        <f t="shared" si="45"/>
        <v>0</v>
      </c>
      <c r="BA38" s="106">
        <f t="shared" si="8"/>
        <v>0</v>
      </c>
      <c r="BB38" s="108">
        <f t="shared" si="41"/>
        <v>0</v>
      </c>
      <c r="BC38" s="108"/>
      <c r="BD38" s="108">
        <f t="shared" si="46"/>
        <v>0</v>
      </c>
      <c r="BE38" s="108"/>
      <c r="BF38" s="108"/>
      <c r="BG38" s="108"/>
      <c r="BH38" s="108">
        <f t="shared" si="47"/>
        <v>0</v>
      </c>
      <c r="BI38" s="108"/>
      <c r="BJ38" s="108"/>
      <c r="BK38" s="108"/>
      <c r="BL38" s="108">
        <f t="shared" si="48"/>
        <v>0</v>
      </c>
      <c r="BM38" s="108"/>
      <c r="BN38" s="108"/>
      <c r="BO38" s="108"/>
      <c r="BP38" s="108">
        <f t="shared" si="49"/>
        <v>0</v>
      </c>
      <c r="BQ38" s="108"/>
      <c r="BR38" s="108"/>
      <c r="BS38" s="108"/>
      <c r="BT38" s="122">
        <f t="shared" si="50"/>
        <v>0</v>
      </c>
      <c r="BU38" s="108"/>
      <c r="BV38" s="153"/>
      <c r="BW38" s="108"/>
      <c r="BX38" s="122">
        <f t="shared" ref="BX38:BX43" si="56">BV38-BU38</f>
        <v>0</v>
      </c>
      <c r="BY38" s="122"/>
      <c r="BZ38" s="122"/>
      <c r="CA38" s="122"/>
      <c r="CB38" s="122"/>
      <c r="CC38" s="106">
        <f t="shared" si="35"/>
        <v>0</v>
      </c>
      <c r="CD38" s="108">
        <f>R38+V38+Z38+AD38+BR38+BV38+F38+J38+N38+AL38+BZ38+AP38+AT38+AX38+BF38+BN38</f>
        <v>29.643550000000001</v>
      </c>
      <c r="CE38" s="108"/>
      <c r="CF38" s="108">
        <f t="shared" si="14"/>
        <v>29.643550000000001</v>
      </c>
      <c r="CH38" s="142">
        <f t="shared" si="16"/>
        <v>29.643550000000001</v>
      </c>
      <c r="CI38" s="137">
        <f t="shared" si="17"/>
        <v>0</v>
      </c>
      <c r="CK38" s="146">
        <f t="shared" si="15"/>
        <v>29.643550000000001</v>
      </c>
    </row>
    <row r="39" spans="1:89" ht="12.75" customHeight="1">
      <c r="A39" s="122"/>
      <c r="B39" s="875" t="s">
        <v>272</v>
      </c>
      <c r="C39" s="876"/>
      <c r="D39" s="877"/>
      <c r="E39" s="108">
        <v>53</v>
      </c>
      <c r="F39" s="108">
        <v>29.643550000000001</v>
      </c>
      <c r="G39" s="108"/>
      <c r="H39" s="108">
        <f t="shared" si="29"/>
        <v>-23.356449999999999</v>
      </c>
      <c r="I39" s="108">
        <v>53</v>
      </c>
      <c r="J39" s="108"/>
      <c r="K39" s="109"/>
      <c r="L39" s="108"/>
      <c r="M39" s="108">
        <v>53</v>
      </c>
      <c r="N39" s="108">
        <v>35.57226</v>
      </c>
      <c r="O39" s="108"/>
      <c r="P39" s="122"/>
      <c r="Q39" s="108">
        <v>53</v>
      </c>
      <c r="R39" s="108">
        <v>29.643550000000001</v>
      </c>
      <c r="S39" s="108"/>
      <c r="T39" s="122">
        <f t="shared" si="51"/>
        <v>-23.356449999999999</v>
      </c>
      <c r="U39" s="108">
        <v>106</v>
      </c>
      <c r="V39" s="108">
        <v>59.287100000000002</v>
      </c>
      <c r="W39" s="108"/>
      <c r="X39" s="122">
        <f t="shared" si="55"/>
        <v>-46.712899999999998</v>
      </c>
      <c r="Y39" s="108">
        <v>53</v>
      </c>
      <c r="Z39" s="108">
        <v>35.57226</v>
      </c>
      <c r="AA39" s="108"/>
      <c r="AB39" s="122">
        <f t="shared" si="53"/>
        <v>-17.42774</v>
      </c>
      <c r="AC39" s="108">
        <v>53</v>
      </c>
      <c r="AD39" s="108">
        <v>29.643550000000001</v>
      </c>
      <c r="AE39" s="108"/>
      <c r="AF39" s="122"/>
      <c r="AG39" s="106">
        <f t="shared" si="3"/>
        <v>424</v>
      </c>
      <c r="AH39" s="108">
        <f t="shared" si="39"/>
        <v>219.36227000000002</v>
      </c>
      <c r="AI39" s="108"/>
      <c r="AJ39" s="108">
        <f t="shared" si="54"/>
        <v>-204.63772999999998</v>
      </c>
      <c r="AK39" s="108"/>
      <c r="AL39" s="108"/>
      <c r="AM39" s="108"/>
      <c r="AN39" s="108">
        <f t="shared" si="42"/>
        <v>0</v>
      </c>
      <c r="AO39" s="108"/>
      <c r="AP39" s="108"/>
      <c r="AQ39" s="108"/>
      <c r="AR39" s="108">
        <f t="shared" si="43"/>
        <v>0</v>
      </c>
      <c r="AS39" s="108"/>
      <c r="AT39" s="108"/>
      <c r="AU39" s="108"/>
      <c r="AV39" s="108">
        <f t="shared" si="44"/>
        <v>0</v>
      </c>
      <c r="AW39" s="108"/>
      <c r="AX39" s="108"/>
      <c r="AY39" s="108"/>
      <c r="AZ39" s="108">
        <f t="shared" si="45"/>
        <v>0</v>
      </c>
      <c r="BA39" s="106">
        <f t="shared" si="8"/>
        <v>0</v>
      </c>
      <c r="BB39" s="108">
        <f t="shared" si="41"/>
        <v>0</v>
      </c>
      <c r="BC39" s="108"/>
      <c r="BD39" s="108">
        <f t="shared" si="46"/>
        <v>0</v>
      </c>
      <c r="BE39" s="108"/>
      <c r="BF39" s="108"/>
      <c r="BG39" s="108"/>
      <c r="BH39" s="108">
        <f t="shared" si="47"/>
        <v>0</v>
      </c>
      <c r="BI39" s="108"/>
      <c r="BJ39" s="108"/>
      <c r="BK39" s="108"/>
      <c r="BL39" s="108">
        <f t="shared" si="48"/>
        <v>0</v>
      </c>
      <c r="BM39" s="108"/>
      <c r="BN39" s="108"/>
      <c r="BO39" s="108"/>
      <c r="BP39" s="108">
        <f t="shared" si="49"/>
        <v>0</v>
      </c>
      <c r="BQ39" s="108"/>
      <c r="BR39" s="108"/>
      <c r="BS39" s="108"/>
      <c r="BT39" s="122">
        <f t="shared" si="50"/>
        <v>0</v>
      </c>
      <c r="BU39" s="108">
        <v>32</v>
      </c>
      <c r="BV39" s="153">
        <v>30.769829999999999</v>
      </c>
      <c r="BW39" s="108"/>
      <c r="BX39" s="122">
        <f t="shared" si="56"/>
        <v>-1.2301700000000011</v>
      </c>
      <c r="BY39" s="122"/>
      <c r="BZ39" s="122"/>
      <c r="CA39" s="122"/>
      <c r="CB39" s="122"/>
      <c r="CC39" s="106">
        <f t="shared" si="35"/>
        <v>456</v>
      </c>
      <c r="CD39" s="108">
        <f t="shared" ref="CD39:CD44" si="57">R39+V39+Z39+AD39+BR39+BV39+F39+J39+N39+AL39+BZ39+AP39+AT39+AX39+BF39</f>
        <v>250.13210000000001</v>
      </c>
      <c r="CE39" s="108">
        <f t="shared" si="13"/>
        <v>54.85353070175438</v>
      </c>
      <c r="CF39" s="108">
        <f t="shared" si="14"/>
        <v>-205.86789999999999</v>
      </c>
      <c r="CH39" s="142">
        <f t="shared" si="16"/>
        <v>250.13210000000004</v>
      </c>
      <c r="CI39" s="137">
        <f t="shared" si="17"/>
        <v>456</v>
      </c>
      <c r="CK39" s="146">
        <f t="shared" si="15"/>
        <v>250.13210000000004</v>
      </c>
    </row>
    <row r="40" spans="1:89" ht="12.75" customHeight="1">
      <c r="A40" s="122"/>
      <c r="B40" s="875" t="s">
        <v>214</v>
      </c>
      <c r="C40" s="876"/>
      <c r="D40" s="877"/>
      <c r="E40" s="108">
        <v>25</v>
      </c>
      <c r="F40" s="108">
        <v>12.1</v>
      </c>
      <c r="G40" s="108"/>
      <c r="H40" s="108">
        <f t="shared" si="29"/>
        <v>-12.9</v>
      </c>
      <c r="I40" s="108">
        <v>50</v>
      </c>
      <c r="J40" s="108">
        <v>28.410710000000002</v>
      </c>
      <c r="K40" s="109">
        <f>J40/I40*100</f>
        <v>56.821420000000003</v>
      </c>
      <c r="L40" s="108">
        <f t="shared" ref="L40:L46" si="58">J40-I40</f>
        <v>-21.589289999999998</v>
      </c>
      <c r="M40" s="108">
        <v>100</v>
      </c>
      <c r="N40" s="108">
        <v>43.77</v>
      </c>
      <c r="O40" s="108"/>
      <c r="P40" s="122"/>
      <c r="Q40" s="108">
        <v>100</v>
      </c>
      <c r="R40" s="108">
        <v>138.47631999999999</v>
      </c>
      <c r="S40" s="108">
        <f>R40/Q40*100</f>
        <v>138.47631999999999</v>
      </c>
      <c r="T40" s="122">
        <f t="shared" si="51"/>
        <v>38.476319999999987</v>
      </c>
      <c r="U40" s="108">
        <v>25</v>
      </c>
      <c r="V40" s="108">
        <v>31.6</v>
      </c>
      <c r="W40" s="108"/>
      <c r="X40" s="122">
        <f t="shared" si="55"/>
        <v>6.6000000000000014</v>
      </c>
      <c r="Y40" s="108">
        <v>57</v>
      </c>
      <c r="Z40" s="108">
        <v>32.384</v>
      </c>
      <c r="AA40" s="108">
        <f>Z40/Y40*100</f>
        <v>56.814035087719297</v>
      </c>
      <c r="AB40" s="122">
        <f t="shared" ref="AB40:AB46" si="59">Z40-Y40</f>
        <v>-24.616</v>
      </c>
      <c r="AC40" s="108">
        <v>50</v>
      </c>
      <c r="AD40" s="108">
        <v>32.80471</v>
      </c>
      <c r="AE40" s="108">
        <f>AD40/AC40*100</f>
        <v>65.60942</v>
      </c>
      <c r="AF40" s="122">
        <f>AD40-AC40</f>
        <v>-17.19529</v>
      </c>
      <c r="AG40" s="106">
        <f t="shared" si="3"/>
        <v>407</v>
      </c>
      <c r="AH40" s="108">
        <f t="shared" si="39"/>
        <v>319.54573999999997</v>
      </c>
      <c r="AI40" s="108">
        <f>AH40/AG40*100</f>
        <v>78.512466830466821</v>
      </c>
      <c r="AJ40" s="108">
        <f t="shared" si="54"/>
        <v>-87.454260000000033</v>
      </c>
      <c r="AK40" s="108"/>
      <c r="AL40" s="108"/>
      <c r="AM40" s="108"/>
      <c r="AN40" s="108">
        <f t="shared" si="42"/>
        <v>0</v>
      </c>
      <c r="AO40" s="108"/>
      <c r="AP40" s="108"/>
      <c r="AQ40" s="108"/>
      <c r="AR40" s="108">
        <f t="shared" si="43"/>
        <v>0</v>
      </c>
      <c r="AS40" s="108"/>
      <c r="AT40" s="108"/>
      <c r="AU40" s="108"/>
      <c r="AV40" s="108">
        <f t="shared" si="44"/>
        <v>0</v>
      </c>
      <c r="AW40" s="108"/>
      <c r="AX40" s="108"/>
      <c r="AY40" s="108"/>
      <c r="AZ40" s="108">
        <f t="shared" si="45"/>
        <v>0</v>
      </c>
      <c r="BA40" s="106">
        <f t="shared" si="8"/>
        <v>0</v>
      </c>
      <c r="BB40" s="108">
        <f t="shared" si="41"/>
        <v>0</v>
      </c>
      <c r="BC40" s="108"/>
      <c r="BD40" s="108">
        <f t="shared" si="46"/>
        <v>0</v>
      </c>
      <c r="BE40" s="108"/>
      <c r="BF40" s="108"/>
      <c r="BG40" s="108"/>
      <c r="BH40" s="108">
        <f t="shared" si="47"/>
        <v>0</v>
      </c>
      <c r="BI40" s="108"/>
      <c r="BJ40" s="108"/>
      <c r="BK40" s="108"/>
      <c r="BL40" s="108">
        <f t="shared" si="48"/>
        <v>0</v>
      </c>
      <c r="BM40" s="108"/>
      <c r="BN40" s="108"/>
      <c r="BO40" s="108"/>
      <c r="BP40" s="108">
        <f t="shared" si="49"/>
        <v>0</v>
      </c>
      <c r="BQ40" s="108"/>
      <c r="BR40" s="108"/>
      <c r="BS40" s="108"/>
      <c r="BT40" s="122">
        <f t="shared" si="50"/>
        <v>0</v>
      </c>
      <c r="BU40" s="108"/>
      <c r="BV40" s="153">
        <v>28.6</v>
      </c>
      <c r="BW40" s="108"/>
      <c r="BX40" s="122">
        <f t="shared" si="56"/>
        <v>28.6</v>
      </c>
      <c r="BY40" s="122"/>
      <c r="BZ40" s="122">
        <v>5.0999999999999996</v>
      </c>
      <c r="CA40" s="122"/>
      <c r="CB40" s="122"/>
      <c r="CC40" s="106">
        <f t="shared" si="35"/>
        <v>407</v>
      </c>
      <c r="CD40" s="108">
        <f t="shared" si="57"/>
        <v>353.24574000000001</v>
      </c>
      <c r="CE40" s="108">
        <f t="shared" si="13"/>
        <v>86.792565110565107</v>
      </c>
      <c r="CF40" s="108">
        <f t="shared" si="14"/>
        <v>-53.754259999999988</v>
      </c>
      <c r="CH40" s="142">
        <f t="shared" si="16"/>
        <v>353.24574000000001</v>
      </c>
      <c r="CI40" s="137">
        <f t="shared" si="17"/>
        <v>407</v>
      </c>
      <c r="CK40" s="146">
        <f t="shared" si="15"/>
        <v>353.24574000000001</v>
      </c>
    </row>
    <row r="41" spans="1:89" hidden="1">
      <c r="A41" s="122"/>
      <c r="B41" s="875" t="s">
        <v>498</v>
      </c>
      <c r="C41" s="876"/>
      <c r="D41" s="877"/>
      <c r="E41" s="108"/>
      <c r="F41" s="108"/>
      <c r="G41" s="108"/>
      <c r="H41" s="108">
        <f>F41-E41</f>
        <v>0</v>
      </c>
      <c r="I41" s="108"/>
      <c r="J41" s="108"/>
      <c r="K41" s="109"/>
      <c r="L41" s="108">
        <f t="shared" si="58"/>
        <v>0</v>
      </c>
      <c r="M41" s="108"/>
      <c r="N41" s="108"/>
      <c r="O41" s="108"/>
      <c r="P41" s="122">
        <f t="shared" ref="P41:P46" si="60">N41-M41</f>
        <v>0</v>
      </c>
      <c r="Q41" s="108"/>
      <c r="R41" s="108"/>
      <c r="S41" s="108"/>
      <c r="T41" s="122">
        <f>R41-Q41</f>
        <v>0</v>
      </c>
      <c r="U41" s="108"/>
      <c r="V41" s="108"/>
      <c r="W41" s="108"/>
      <c r="X41" s="122">
        <f>V41-U41</f>
        <v>0</v>
      </c>
      <c r="Y41" s="108"/>
      <c r="Z41" s="108"/>
      <c r="AA41" s="108"/>
      <c r="AB41" s="122">
        <f t="shared" si="59"/>
        <v>0</v>
      </c>
      <c r="AC41" s="108"/>
      <c r="AD41" s="108"/>
      <c r="AE41" s="108"/>
      <c r="AF41" s="122">
        <f>AD41-AC41</f>
        <v>0</v>
      </c>
      <c r="AG41" s="106">
        <f>E41+I41+M41+Q41+U41+Y41+AC41</f>
        <v>0</v>
      </c>
      <c r="AH41" s="108">
        <f>F41+J41+N41+R41+V41+Z41+AD41</f>
        <v>0</v>
      </c>
      <c r="AI41" s="108"/>
      <c r="AJ41" s="108">
        <f t="shared" si="54"/>
        <v>0</v>
      </c>
      <c r="AK41" s="108"/>
      <c r="AL41" s="108"/>
      <c r="AM41" s="108"/>
      <c r="AN41" s="108">
        <f>AL41-AK41</f>
        <v>0</v>
      </c>
      <c r="AO41" s="108"/>
      <c r="AP41" s="108"/>
      <c r="AQ41" s="108"/>
      <c r="AR41" s="108">
        <f>AP41-AO41</f>
        <v>0</v>
      </c>
      <c r="AS41" s="108"/>
      <c r="AT41" s="108"/>
      <c r="AU41" s="108"/>
      <c r="AV41" s="108">
        <f>AT41-AS41</f>
        <v>0</v>
      </c>
      <c r="AW41" s="108"/>
      <c r="AX41" s="108"/>
      <c r="AY41" s="108"/>
      <c r="AZ41" s="108">
        <f>AX41-AW41</f>
        <v>0</v>
      </c>
      <c r="BA41" s="106">
        <f>AK41+AO41+AS41+AW41</f>
        <v>0</v>
      </c>
      <c r="BB41" s="108">
        <f>AL41+AP41+AT41+AX41</f>
        <v>0</v>
      </c>
      <c r="BC41" s="108"/>
      <c r="BD41" s="108">
        <f>BB41-BA41</f>
        <v>0</v>
      </c>
      <c r="BE41" s="108"/>
      <c r="BF41" s="108"/>
      <c r="BG41" s="108"/>
      <c r="BH41" s="108">
        <f>BF41-BE41</f>
        <v>0</v>
      </c>
      <c r="BI41" s="108"/>
      <c r="BJ41" s="108"/>
      <c r="BK41" s="108"/>
      <c r="BL41" s="108">
        <f>BJ41-BI41</f>
        <v>0</v>
      </c>
      <c r="BM41" s="108"/>
      <c r="BN41" s="108"/>
      <c r="BO41" s="108"/>
      <c r="BP41" s="108">
        <f>BN41-BM41</f>
        <v>0</v>
      </c>
      <c r="BQ41" s="108"/>
      <c r="BR41" s="108"/>
      <c r="BS41" s="108"/>
      <c r="BT41" s="122">
        <f>BR41-BQ41</f>
        <v>0</v>
      </c>
      <c r="BU41" s="108"/>
      <c r="BV41" s="153"/>
      <c r="BW41" s="110"/>
      <c r="BX41" s="122">
        <f t="shared" si="56"/>
        <v>0</v>
      </c>
      <c r="BY41" s="122"/>
      <c r="BZ41" s="122"/>
      <c r="CA41" s="122"/>
      <c r="CB41" s="122"/>
      <c r="CC41" s="106">
        <f>AG41+BA41+BE41+BI41+BM41+BQ41+BU41+BY41</f>
        <v>0</v>
      </c>
      <c r="CD41" s="108">
        <f t="shared" si="57"/>
        <v>0</v>
      </c>
      <c r="CE41" s="108"/>
      <c r="CF41" s="108">
        <f>CD41-CC41</f>
        <v>0</v>
      </c>
      <c r="CH41" s="142">
        <f>F41+J41+N41+R41+V41+Z41+AD41+AL41+AP41+AT41+AX41+BF41+BJ41+BN41+BR41+BV41+BZ41</f>
        <v>0</v>
      </c>
      <c r="CI41" s="137">
        <f>E41+I41+M41+Q41+U41+Y41+AC41+AG41+AK41+AO41+AS41+AW41+BE41+BI41+BM41+BQ41+BU41+BY41-AG41</f>
        <v>0</v>
      </c>
      <c r="CK41" s="146">
        <f t="shared" si="15"/>
        <v>0</v>
      </c>
    </row>
    <row r="42" spans="1:89" hidden="1">
      <c r="A42" s="122"/>
      <c r="B42" s="875" t="s">
        <v>497</v>
      </c>
      <c r="C42" s="876"/>
      <c r="D42" s="877"/>
      <c r="E42" s="108"/>
      <c r="F42" s="108"/>
      <c r="G42" s="108"/>
      <c r="H42" s="108">
        <f>F42-E42</f>
        <v>0</v>
      </c>
      <c r="I42" s="108"/>
      <c r="J42" s="108"/>
      <c r="K42" s="109"/>
      <c r="L42" s="108">
        <f t="shared" si="58"/>
        <v>0</v>
      </c>
      <c r="M42" s="108"/>
      <c r="N42" s="108"/>
      <c r="O42" s="108"/>
      <c r="P42" s="122">
        <f t="shared" si="60"/>
        <v>0</v>
      </c>
      <c r="Q42" s="108"/>
      <c r="R42" s="108"/>
      <c r="S42" s="108"/>
      <c r="T42" s="122">
        <f>R42-Q42</f>
        <v>0</v>
      </c>
      <c r="U42" s="108"/>
      <c r="V42" s="108"/>
      <c r="W42" s="108"/>
      <c r="X42" s="122">
        <f>V42-U42</f>
        <v>0</v>
      </c>
      <c r="Y42" s="108"/>
      <c r="Z42" s="108"/>
      <c r="AA42" s="108"/>
      <c r="AB42" s="122">
        <f t="shared" si="59"/>
        <v>0</v>
      </c>
      <c r="AC42" s="108"/>
      <c r="AD42" s="108"/>
      <c r="AE42" s="108"/>
      <c r="AF42" s="122">
        <f>AD42-AC42</f>
        <v>0</v>
      </c>
      <c r="AG42" s="106">
        <f>E42+I42+M42+Q42+U42+Y42+AC42</f>
        <v>0</v>
      </c>
      <c r="AH42" s="108">
        <f>F42+J42+N42+R42+V42+Z42+AD42</f>
        <v>0</v>
      </c>
      <c r="AI42" s="108"/>
      <c r="AJ42" s="108">
        <f t="shared" si="54"/>
        <v>0</v>
      </c>
      <c r="AK42" s="108"/>
      <c r="AL42" s="108"/>
      <c r="AM42" s="108"/>
      <c r="AN42" s="108">
        <f>AL42-AK42</f>
        <v>0</v>
      </c>
      <c r="AO42" s="108"/>
      <c r="AP42" s="108"/>
      <c r="AQ42" s="108"/>
      <c r="AR42" s="108">
        <f>AP42-AO42</f>
        <v>0</v>
      </c>
      <c r="AS42" s="108"/>
      <c r="AT42" s="108"/>
      <c r="AU42" s="108"/>
      <c r="AV42" s="108">
        <f>AT42-AS42</f>
        <v>0</v>
      </c>
      <c r="AW42" s="108"/>
      <c r="AX42" s="108"/>
      <c r="AY42" s="108"/>
      <c r="AZ42" s="108">
        <f>AX42-AW42</f>
        <v>0</v>
      </c>
      <c r="BA42" s="106">
        <f>AK42+AO42+AS42+AW42</f>
        <v>0</v>
      </c>
      <c r="BB42" s="108">
        <f>AL42+AP42+AT42+AX42</f>
        <v>0</v>
      </c>
      <c r="BC42" s="108"/>
      <c r="BD42" s="108">
        <f>BB42-BA42</f>
        <v>0</v>
      </c>
      <c r="BE42" s="108"/>
      <c r="BF42" s="108"/>
      <c r="BG42" s="108"/>
      <c r="BH42" s="108">
        <f>BF42-BE42</f>
        <v>0</v>
      </c>
      <c r="BI42" s="108"/>
      <c r="BJ42" s="108"/>
      <c r="BK42" s="108"/>
      <c r="BL42" s="108">
        <f>BJ42-BI42</f>
        <v>0</v>
      </c>
      <c r="BM42" s="108"/>
      <c r="BN42" s="108"/>
      <c r="BO42" s="108"/>
      <c r="BP42" s="108">
        <f>BN42-BM42</f>
        <v>0</v>
      </c>
      <c r="BQ42" s="108"/>
      <c r="BR42" s="108"/>
      <c r="BS42" s="108"/>
      <c r="BT42" s="122">
        <f>BR42-BQ42</f>
        <v>0</v>
      </c>
      <c r="BU42" s="108"/>
      <c r="BV42" s="153"/>
      <c r="BW42" s="110"/>
      <c r="BX42" s="122">
        <f t="shared" si="56"/>
        <v>0</v>
      </c>
      <c r="BY42" s="122"/>
      <c r="BZ42" s="122"/>
      <c r="CA42" s="122"/>
      <c r="CB42" s="122"/>
      <c r="CC42" s="106">
        <f>AG42+BA42+BE42+BI42+BM42+BQ42+BU42+BY42</f>
        <v>0</v>
      </c>
      <c r="CD42" s="108">
        <f t="shared" si="57"/>
        <v>0</v>
      </c>
      <c r="CE42" s="108"/>
      <c r="CF42" s="108">
        <f>CD42-CC42</f>
        <v>0</v>
      </c>
      <c r="CH42" s="142">
        <f>F42+J42+N42+R42+V42+Z42+AD42+AL42+AP42+AT42+AX42+BF42+BJ42+BN42+BR42+BV42+BZ42</f>
        <v>0</v>
      </c>
      <c r="CI42" s="137">
        <f>E42+I42+M42+Q42+U42+Y42+AC42+AG42+AK42+AO42+AS42+AW42+BE42+BI42+BM42+BQ42+BU42+BY42-AG42</f>
        <v>0</v>
      </c>
      <c r="CK42" s="146">
        <f t="shared" si="15"/>
        <v>0</v>
      </c>
    </row>
    <row r="43" spans="1:89" ht="12.75" customHeight="1">
      <c r="A43" s="122"/>
      <c r="B43" s="875" t="s">
        <v>577</v>
      </c>
      <c r="C43" s="876"/>
      <c r="D43" s="877"/>
      <c r="E43" s="108"/>
      <c r="F43" s="108"/>
      <c r="G43" s="108"/>
      <c r="H43" s="108">
        <f t="shared" si="29"/>
        <v>0</v>
      </c>
      <c r="I43" s="108"/>
      <c r="J43" s="108"/>
      <c r="K43" s="109"/>
      <c r="L43" s="108">
        <f t="shared" si="58"/>
        <v>0</v>
      </c>
      <c r="M43" s="108"/>
      <c r="N43" s="108"/>
      <c r="O43" s="108"/>
      <c r="P43" s="108">
        <f t="shared" si="60"/>
        <v>0</v>
      </c>
      <c r="Q43" s="108"/>
      <c r="R43" s="108"/>
      <c r="S43" s="108" t="e">
        <f>R43/Q43*100</f>
        <v>#DIV/0!</v>
      </c>
      <c r="T43" s="122">
        <f t="shared" si="51"/>
        <v>0</v>
      </c>
      <c r="U43" s="108"/>
      <c r="V43" s="108"/>
      <c r="W43" s="108"/>
      <c r="X43" s="122">
        <f t="shared" si="55"/>
        <v>0</v>
      </c>
      <c r="Y43" s="108"/>
      <c r="Z43" s="108"/>
      <c r="AA43" s="108"/>
      <c r="AB43" s="122">
        <f t="shared" si="59"/>
        <v>0</v>
      </c>
      <c r="AC43" s="108"/>
      <c r="AD43" s="108"/>
      <c r="AE43" s="108"/>
      <c r="AF43" s="122"/>
      <c r="AG43" s="106">
        <f t="shared" si="3"/>
        <v>0</v>
      </c>
      <c r="AH43" s="108">
        <f t="shared" si="39"/>
        <v>0</v>
      </c>
      <c r="AI43" s="108" t="e">
        <f>AH43/AG43*100</f>
        <v>#DIV/0!</v>
      </c>
      <c r="AJ43" s="108">
        <f t="shared" si="54"/>
        <v>0</v>
      </c>
      <c r="AK43" s="108"/>
      <c r="AL43" s="108"/>
      <c r="AM43" s="108"/>
      <c r="AN43" s="108">
        <f t="shared" si="42"/>
        <v>0</v>
      </c>
      <c r="AO43" s="108"/>
      <c r="AP43" s="108"/>
      <c r="AQ43" s="108"/>
      <c r="AR43" s="108">
        <f t="shared" si="43"/>
        <v>0</v>
      </c>
      <c r="AS43" s="108"/>
      <c r="AT43" s="108"/>
      <c r="AU43" s="108"/>
      <c r="AV43" s="108">
        <f t="shared" si="44"/>
        <v>0</v>
      </c>
      <c r="AW43" s="108"/>
      <c r="AX43" s="108"/>
      <c r="AY43" s="108"/>
      <c r="AZ43" s="108">
        <f t="shared" si="45"/>
        <v>0</v>
      </c>
      <c r="BA43" s="106">
        <f t="shared" si="8"/>
        <v>0</v>
      </c>
      <c r="BB43" s="108">
        <f t="shared" si="41"/>
        <v>0</v>
      </c>
      <c r="BC43" s="108"/>
      <c r="BD43" s="108">
        <f t="shared" si="46"/>
        <v>0</v>
      </c>
      <c r="BE43" s="108"/>
      <c r="BF43" s="108"/>
      <c r="BG43" s="108"/>
      <c r="BH43" s="108">
        <f t="shared" si="47"/>
        <v>0</v>
      </c>
      <c r="BI43" s="108"/>
      <c r="BJ43" s="108"/>
      <c r="BK43" s="108"/>
      <c r="BL43" s="108">
        <f t="shared" si="48"/>
        <v>0</v>
      </c>
      <c r="BM43" s="108"/>
      <c r="BN43" s="108"/>
      <c r="BO43" s="108"/>
      <c r="BP43" s="108">
        <f t="shared" si="49"/>
        <v>0</v>
      </c>
      <c r="BQ43" s="108"/>
      <c r="BR43" s="108"/>
      <c r="BS43" s="108"/>
      <c r="BT43" s="122"/>
      <c r="BU43" s="108"/>
      <c r="BV43" s="153">
        <v>2.8810099999999998</v>
      </c>
      <c r="BW43" s="108"/>
      <c r="BX43" s="122">
        <f t="shared" si="56"/>
        <v>2.8810099999999998</v>
      </c>
      <c r="BY43" s="122"/>
      <c r="BZ43" s="122"/>
      <c r="CA43" s="122"/>
      <c r="CB43" s="122"/>
      <c r="CC43" s="106">
        <f t="shared" si="35"/>
        <v>0</v>
      </c>
      <c r="CD43" s="108">
        <f t="shared" si="57"/>
        <v>2.8810099999999998</v>
      </c>
      <c r="CE43" s="108" t="e">
        <f t="shared" si="13"/>
        <v>#DIV/0!</v>
      </c>
      <c r="CF43" s="108">
        <f t="shared" si="14"/>
        <v>2.8810099999999998</v>
      </c>
      <c r="CH43" s="142">
        <f t="shared" si="16"/>
        <v>2.8810099999999998</v>
      </c>
      <c r="CI43" s="137">
        <f t="shared" si="17"/>
        <v>0</v>
      </c>
      <c r="CK43" s="146">
        <f t="shared" si="15"/>
        <v>2.8810099999999998</v>
      </c>
    </row>
    <row r="44" spans="1:89" hidden="1">
      <c r="A44" s="122"/>
      <c r="B44" s="875" t="s">
        <v>269</v>
      </c>
      <c r="C44" s="876"/>
      <c r="D44" s="877"/>
      <c r="E44" s="108"/>
      <c r="F44" s="108"/>
      <c r="G44" s="108"/>
      <c r="H44" s="108">
        <f t="shared" si="29"/>
        <v>0</v>
      </c>
      <c r="I44" s="108"/>
      <c r="J44" s="108"/>
      <c r="K44" s="109"/>
      <c r="L44" s="108">
        <f t="shared" si="58"/>
        <v>0</v>
      </c>
      <c r="M44" s="108"/>
      <c r="N44" s="108"/>
      <c r="O44" s="108"/>
      <c r="P44" s="122">
        <f t="shared" si="60"/>
        <v>0</v>
      </c>
      <c r="Q44" s="108"/>
      <c r="R44" s="108"/>
      <c r="S44" s="108"/>
      <c r="T44" s="122">
        <f t="shared" si="51"/>
        <v>0</v>
      </c>
      <c r="U44" s="108"/>
      <c r="V44" s="108"/>
      <c r="W44" s="108"/>
      <c r="X44" s="122">
        <f t="shared" si="55"/>
        <v>0</v>
      </c>
      <c r="Y44" s="108"/>
      <c r="Z44" s="108"/>
      <c r="AA44" s="108"/>
      <c r="AB44" s="122">
        <f t="shared" si="59"/>
        <v>0</v>
      </c>
      <c r="AC44" s="108"/>
      <c r="AD44" s="108"/>
      <c r="AE44" s="108"/>
      <c r="AF44" s="122">
        <f>AD44-AC44</f>
        <v>0</v>
      </c>
      <c r="AG44" s="106">
        <f t="shared" si="3"/>
        <v>0</v>
      </c>
      <c r="AH44" s="108">
        <f t="shared" si="39"/>
        <v>0</v>
      </c>
      <c r="AI44" s="108"/>
      <c r="AJ44" s="108">
        <f t="shared" ref="AJ44:AJ66" si="61">AH44-AG44</f>
        <v>0</v>
      </c>
      <c r="AK44" s="108"/>
      <c r="AL44" s="108"/>
      <c r="AM44" s="108"/>
      <c r="AN44" s="108">
        <f>AL44-AK44</f>
        <v>0</v>
      </c>
      <c r="AO44" s="108"/>
      <c r="AP44" s="108"/>
      <c r="AQ44" s="108"/>
      <c r="AR44" s="108">
        <f>AP44-AO44</f>
        <v>0</v>
      </c>
      <c r="AS44" s="108"/>
      <c r="AT44" s="108"/>
      <c r="AU44" s="108"/>
      <c r="AV44" s="108">
        <f>AT44-AS44</f>
        <v>0</v>
      </c>
      <c r="AW44" s="108"/>
      <c r="AX44" s="108"/>
      <c r="AY44" s="108"/>
      <c r="AZ44" s="108">
        <f>AX44-AW44</f>
        <v>0</v>
      </c>
      <c r="BA44" s="106">
        <f t="shared" si="8"/>
        <v>0</v>
      </c>
      <c r="BB44" s="108">
        <f t="shared" si="41"/>
        <v>0</v>
      </c>
      <c r="BC44" s="108"/>
      <c r="BD44" s="108">
        <f>BB44-BA44</f>
        <v>0</v>
      </c>
      <c r="BE44" s="108"/>
      <c r="BF44" s="108"/>
      <c r="BG44" s="108"/>
      <c r="BH44" s="108">
        <f>BF44-BE44</f>
        <v>0</v>
      </c>
      <c r="BI44" s="108"/>
      <c r="BJ44" s="108"/>
      <c r="BK44" s="108"/>
      <c r="BL44" s="108">
        <f>BJ44-BI44</f>
        <v>0</v>
      </c>
      <c r="BM44" s="108"/>
      <c r="BN44" s="108"/>
      <c r="BO44" s="108"/>
      <c r="BP44" s="108">
        <f>BN44-BM44</f>
        <v>0</v>
      </c>
      <c r="BQ44" s="108"/>
      <c r="BR44" s="108"/>
      <c r="BS44" s="108"/>
      <c r="BT44" s="122">
        <f>BR44-BQ44</f>
        <v>0</v>
      </c>
      <c r="BU44" s="108"/>
      <c r="BV44" s="153"/>
      <c r="BW44" s="110"/>
      <c r="BX44" s="122">
        <f t="shared" si="20"/>
        <v>0</v>
      </c>
      <c r="BY44" s="122"/>
      <c r="BZ44" s="122"/>
      <c r="CA44" s="122"/>
      <c r="CB44" s="122"/>
      <c r="CC44" s="106">
        <f t="shared" si="35"/>
        <v>0</v>
      </c>
      <c r="CD44" s="108">
        <f t="shared" si="57"/>
        <v>0</v>
      </c>
      <c r="CE44" s="108"/>
      <c r="CF44" s="108">
        <f t="shared" si="14"/>
        <v>0</v>
      </c>
      <c r="CH44" s="142">
        <f t="shared" si="16"/>
        <v>0</v>
      </c>
      <c r="CI44" s="137">
        <f t="shared" si="17"/>
        <v>0</v>
      </c>
      <c r="CK44" s="146">
        <f t="shared" si="15"/>
        <v>0</v>
      </c>
    </row>
    <row r="45" spans="1:89" s="141" customFormat="1" ht="13.5">
      <c r="A45" s="123">
        <v>290</v>
      </c>
      <c r="B45" s="887" t="s">
        <v>67</v>
      </c>
      <c r="C45" s="888"/>
      <c r="D45" s="889"/>
      <c r="E45" s="116">
        <f>E46+E50+E47</f>
        <v>0</v>
      </c>
      <c r="F45" s="116">
        <f>F46+F50</f>
        <v>0.55045999999999995</v>
      </c>
      <c r="G45" s="113"/>
      <c r="H45" s="116">
        <f t="shared" si="29"/>
        <v>0.55045999999999995</v>
      </c>
      <c r="I45" s="116">
        <f>I46+I50</f>
        <v>0</v>
      </c>
      <c r="J45" s="116">
        <f>J46+J50</f>
        <v>0.56135000000000002</v>
      </c>
      <c r="K45" s="116"/>
      <c r="L45" s="116">
        <f t="shared" si="58"/>
        <v>0.56135000000000002</v>
      </c>
      <c r="M45" s="116">
        <f>M46+M50</f>
        <v>0</v>
      </c>
      <c r="N45" s="116">
        <f>N46+N50</f>
        <v>0.5</v>
      </c>
      <c r="O45" s="116"/>
      <c r="P45" s="123">
        <f t="shared" si="60"/>
        <v>0.5</v>
      </c>
      <c r="Q45" s="116">
        <f>Q46+Q50+Q47</f>
        <v>0</v>
      </c>
      <c r="R45" s="116">
        <f>R46+R50</f>
        <v>0</v>
      </c>
      <c r="S45" s="116"/>
      <c r="T45" s="116">
        <f>R45-Q45</f>
        <v>0</v>
      </c>
      <c r="U45" s="116">
        <f>U46+U50+U47</f>
        <v>0</v>
      </c>
      <c r="V45" s="116">
        <f>V46+V50</f>
        <v>8.3424800000000001</v>
      </c>
      <c r="W45" s="123"/>
      <c r="X45" s="114">
        <f t="shared" si="55"/>
        <v>8.3424800000000001</v>
      </c>
      <c r="Y45" s="116">
        <f>Y46+Y50+Y47</f>
        <v>0</v>
      </c>
      <c r="Z45" s="116">
        <f>Z46+Z50</f>
        <v>3.7</v>
      </c>
      <c r="AA45" s="116"/>
      <c r="AB45" s="123">
        <f t="shared" si="59"/>
        <v>3.7</v>
      </c>
      <c r="AC45" s="116">
        <f>AC46+AC50+AC47</f>
        <v>0</v>
      </c>
      <c r="AD45" s="116">
        <f>AD46+AD50</f>
        <v>0.70316000000000001</v>
      </c>
      <c r="AE45" s="116"/>
      <c r="AF45" s="116">
        <f>AF46+AF47+AF48+AF50</f>
        <v>0</v>
      </c>
      <c r="AG45" s="113">
        <f t="shared" si="3"/>
        <v>0</v>
      </c>
      <c r="AH45" s="116">
        <f>AH46+AH47+AH48+AH50+AH49</f>
        <v>14.35745</v>
      </c>
      <c r="AI45" s="116" t="e">
        <f>AH45/AG45*100</f>
        <v>#DIV/0!</v>
      </c>
      <c r="AJ45" s="116">
        <f t="shared" si="61"/>
        <v>14.35745</v>
      </c>
      <c r="AK45" s="116">
        <f>AK46+AK50+AK47</f>
        <v>0</v>
      </c>
      <c r="AL45" s="116">
        <f>AL46+AL50</f>
        <v>0</v>
      </c>
      <c r="AM45" s="113"/>
      <c r="AN45" s="116">
        <f>AL45-AK45</f>
        <v>0</v>
      </c>
      <c r="AO45" s="116">
        <f>AO46+AO50</f>
        <v>0</v>
      </c>
      <c r="AP45" s="116">
        <f>AP46+AP50</f>
        <v>2</v>
      </c>
      <c r="AQ45" s="113"/>
      <c r="AR45" s="116">
        <f>AP45-AO45</f>
        <v>2</v>
      </c>
      <c r="AS45" s="116">
        <f>AS46+AS50+AS47</f>
        <v>0</v>
      </c>
      <c r="AT45" s="116">
        <f t="shared" ref="AT45:BJ45" si="62">AT46+AT50+AT47</f>
        <v>3</v>
      </c>
      <c r="AU45" s="116">
        <f t="shared" si="62"/>
        <v>0</v>
      </c>
      <c r="AV45" s="116">
        <f t="shared" si="62"/>
        <v>3</v>
      </c>
      <c r="AW45" s="116">
        <f t="shared" si="62"/>
        <v>0</v>
      </c>
      <c r="AX45" s="116">
        <f t="shared" si="62"/>
        <v>0.5</v>
      </c>
      <c r="AY45" s="116">
        <f t="shared" si="62"/>
        <v>0</v>
      </c>
      <c r="AZ45" s="116">
        <f t="shared" si="62"/>
        <v>0.5</v>
      </c>
      <c r="BA45" s="113">
        <f t="shared" si="8"/>
        <v>0</v>
      </c>
      <c r="BB45" s="116">
        <f t="shared" si="62"/>
        <v>5.5</v>
      </c>
      <c r="BC45" s="116">
        <f t="shared" si="62"/>
        <v>0</v>
      </c>
      <c r="BD45" s="116">
        <f t="shared" si="62"/>
        <v>5.5</v>
      </c>
      <c r="BE45" s="116">
        <f t="shared" si="62"/>
        <v>0</v>
      </c>
      <c r="BF45" s="116">
        <f t="shared" si="62"/>
        <v>0</v>
      </c>
      <c r="BG45" s="116">
        <f t="shared" si="62"/>
        <v>0</v>
      </c>
      <c r="BH45" s="116">
        <f t="shared" si="62"/>
        <v>0</v>
      </c>
      <c r="BI45" s="116">
        <f t="shared" si="62"/>
        <v>0</v>
      </c>
      <c r="BJ45" s="116">
        <f t="shared" si="62"/>
        <v>0</v>
      </c>
      <c r="BK45" s="116">
        <f t="shared" ref="BK45:CB45" si="63">BK46+BK50+BK47</f>
        <v>0</v>
      </c>
      <c r="BL45" s="116">
        <f t="shared" si="63"/>
        <v>0</v>
      </c>
      <c r="BM45" s="116">
        <f t="shared" si="63"/>
        <v>0</v>
      </c>
      <c r="BN45" s="116">
        <f t="shared" si="63"/>
        <v>0</v>
      </c>
      <c r="BO45" s="116">
        <f t="shared" si="63"/>
        <v>0</v>
      </c>
      <c r="BP45" s="116">
        <f t="shared" si="63"/>
        <v>0</v>
      </c>
      <c r="BQ45" s="116">
        <f t="shared" si="63"/>
        <v>8</v>
      </c>
      <c r="BR45" s="116">
        <f t="shared" si="63"/>
        <v>1</v>
      </c>
      <c r="BS45" s="116">
        <f t="shared" si="63"/>
        <v>0</v>
      </c>
      <c r="BT45" s="116">
        <f t="shared" si="63"/>
        <v>-7</v>
      </c>
      <c r="BU45" s="116">
        <f t="shared" si="63"/>
        <v>281</v>
      </c>
      <c r="BV45" s="154">
        <f>BV46+BV50+BV47+BV48</f>
        <v>151.24199999999999</v>
      </c>
      <c r="BW45" s="116">
        <f t="shared" si="63"/>
        <v>0</v>
      </c>
      <c r="BX45" s="116">
        <f t="shared" si="63"/>
        <v>-129.75800000000001</v>
      </c>
      <c r="BY45" s="116">
        <f t="shared" si="63"/>
        <v>0</v>
      </c>
      <c r="BZ45" s="191">
        <f t="shared" si="63"/>
        <v>6.5</v>
      </c>
      <c r="CA45" s="116">
        <f t="shared" si="63"/>
        <v>0</v>
      </c>
      <c r="CB45" s="116">
        <f t="shared" si="63"/>
        <v>0</v>
      </c>
      <c r="CC45" s="113">
        <f t="shared" si="35"/>
        <v>289</v>
      </c>
      <c r="CD45" s="116">
        <f>CD46+CD50+CD47</f>
        <v>178.59944999999999</v>
      </c>
      <c r="CE45" s="116" t="e">
        <f>CE46+CE50+CE47</f>
        <v>#DIV/0!</v>
      </c>
      <c r="CF45" s="116">
        <f>CF46+CF50+CF47</f>
        <v>-110.40055000000001</v>
      </c>
      <c r="CG45" s="116">
        <f>CG46+CG50+CG47</f>
        <v>0</v>
      </c>
      <c r="CH45" s="137">
        <f t="shared" si="16"/>
        <v>178.59944999999999</v>
      </c>
      <c r="CI45" s="137">
        <f t="shared" si="17"/>
        <v>289</v>
      </c>
      <c r="CK45" s="146">
        <f t="shared" si="15"/>
        <v>178.59944999999999</v>
      </c>
    </row>
    <row r="46" spans="1:89">
      <c r="A46" s="122"/>
      <c r="B46" s="890" t="s">
        <v>245</v>
      </c>
      <c r="C46" s="891"/>
      <c r="D46" s="892"/>
      <c r="E46" s="108"/>
      <c r="F46" s="108">
        <v>0.55045999999999995</v>
      </c>
      <c r="G46" s="108"/>
      <c r="H46" s="108">
        <f t="shared" si="29"/>
        <v>0.55045999999999995</v>
      </c>
      <c r="I46" s="108"/>
      <c r="J46" s="108">
        <v>0.56135000000000002</v>
      </c>
      <c r="K46" s="108"/>
      <c r="L46" s="108">
        <f t="shared" si="58"/>
        <v>0.56135000000000002</v>
      </c>
      <c r="M46" s="108"/>
      <c r="N46" s="108">
        <v>0.5</v>
      </c>
      <c r="O46" s="108"/>
      <c r="P46" s="122">
        <f t="shared" si="60"/>
        <v>0.5</v>
      </c>
      <c r="Q46" s="108"/>
      <c r="R46" s="108"/>
      <c r="S46" s="108"/>
      <c r="T46" s="108">
        <f>R46-Q46</f>
        <v>0</v>
      </c>
      <c r="U46" s="108"/>
      <c r="V46" s="108">
        <v>8.3424800000000001</v>
      </c>
      <c r="W46" s="122"/>
      <c r="X46" s="122"/>
      <c r="Y46" s="108"/>
      <c r="Z46" s="108">
        <v>3.7</v>
      </c>
      <c r="AA46" s="108"/>
      <c r="AB46" s="122">
        <f t="shared" si="59"/>
        <v>3.7</v>
      </c>
      <c r="AC46" s="108"/>
      <c r="AD46" s="108">
        <v>0.70316000000000001</v>
      </c>
      <c r="AE46" s="108"/>
      <c r="AF46" s="122"/>
      <c r="AG46" s="106">
        <f t="shared" si="3"/>
        <v>0</v>
      </c>
      <c r="AH46" s="108">
        <f>F46+J46+N46+R46+V46+Z46+AD46</f>
        <v>14.35745</v>
      </c>
      <c r="AI46" s="108"/>
      <c r="AJ46" s="108">
        <f t="shared" si="61"/>
        <v>14.35745</v>
      </c>
      <c r="AK46" s="108"/>
      <c r="AL46" s="108"/>
      <c r="AM46" s="108"/>
      <c r="AN46" s="108">
        <f>AL46-AK46</f>
        <v>0</v>
      </c>
      <c r="AO46" s="108"/>
      <c r="AP46" s="108">
        <v>2</v>
      </c>
      <c r="AQ46" s="108"/>
      <c r="AR46" s="108">
        <f>AP46-AO46</f>
        <v>2</v>
      </c>
      <c r="AS46" s="108"/>
      <c r="AT46" s="108">
        <v>3</v>
      </c>
      <c r="AU46" s="108"/>
      <c r="AV46" s="108">
        <f>AT46-AS46</f>
        <v>3</v>
      </c>
      <c r="AW46" s="108"/>
      <c r="AX46" s="108">
        <v>0.5</v>
      </c>
      <c r="AY46" s="108"/>
      <c r="AZ46" s="108">
        <f>AX46-AW46</f>
        <v>0.5</v>
      </c>
      <c r="BA46" s="106">
        <f t="shared" si="8"/>
        <v>0</v>
      </c>
      <c r="BB46" s="108">
        <f>AL46+AP46+AT46+AX46</f>
        <v>5.5</v>
      </c>
      <c r="BC46" s="108"/>
      <c r="BD46" s="108">
        <f>BB46-BA46</f>
        <v>5.5</v>
      </c>
      <c r="BE46" s="108"/>
      <c r="BF46" s="108"/>
      <c r="BG46" s="108"/>
      <c r="BH46" s="108">
        <f>BF46-BE46</f>
        <v>0</v>
      </c>
      <c r="BI46" s="108"/>
      <c r="BJ46" s="108"/>
      <c r="BK46" s="108"/>
      <c r="BL46" s="108">
        <f>BJ46-BI46</f>
        <v>0</v>
      </c>
      <c r="BM46" s="108"/>
      <c r="BN46" s="153"/>
      <c r="BO46" s="108"/>
      <c r="BP46" s="108">
        <f>BN46-BM46</f>
        <v>0</v>
      </c>
      <c r="BQ46" s="108"/>
      <c r="BR46" s="108"/>
      <c r="BS46" s="108"/>
      <c r="BT46" s="122"/>
      <c r="BU46" s="108"/>
      <c r="BV46" s="153"/>
      <c r="BW46" s="110"/>
      <c r="BX46" s="122">
        <f t="shared" si="20"/>
        <v>0</v>
      </c>
      <c r="BY46" s="122"/>
      <c r="BZ46" s="192"/>
      <c r="CA46" s="122"/>
      <c r="CB46" s="122"/>
      <c r="CC46" s="106">
        <f t="shared" si="35"/>
        <v>0</v>
      </c>
      <c r="CD46" s="108">
        <f>R46+V46+Z46+AD46+BR46+BV46+F46+J46+N46+AL46+BZ46+AP46+AT46+AX46+BF46</f>
        <v>19.85745</v>
      </c>
      <c r="CE46" s="108" t="e">
        <f t="shared" si="13"/>
        <v>#DIV/0!</v>
      </c>
      <c r="CF46" s="108">
        <f t="shared" si="14"/>
        <v>19.85745</v>
      </c>
      <c r="CH46" s="142">
        <f t="shared" si="16"/>
        <v>19.85745</v>
      </c>
      <c r="CI46" s="137">
        <f t="shared" si="17"/>
        <v>0</v>
      </c>
      <c r="CK46" s="146">
        <f t="shared" si="15"/>
        <v>19.85745</v>
      </c>
    </row>
    <row r="47" spans="1:89">
      <c r="A47" s="122"/>
      <c r="B47" s="875" t="s">
        <v>215</v>
      </c>
      <c r="C47" s="876"/>
      <c r="D47" s="877"/>
      <c r="E47" s="108"/>
      <c r="F47" s="108"/>
      <c r="G47" s="108"/>
      <c r="H47" s="108"/>
      <c r="I47" s="108"/>
      <c r="J47" s="108"/>
      <c r="K47" s="122"/>
      <c r="L47" s="122"/>
      <c r="M47" s="108"/>
      <c r="N47" s="108"/>
      <c r="O47" s="108"/>
      <c r="P47" s="122"/>
      <c r="Q47" s="108"/>
      <c r="R47" s="108"/>
      <c r="S47" s="108"/>
      <c r="T47" s="108">
        <f>R47-Q47</f>
        <v>0</v>
      </c>
      <c r="U47" s="108"/>
      <c r="V47" s="108"/>
      <c r="W47" s="122"/>
      <c r="X47" s="122"/>
      <c r="Y47" s="108"/>
      <c r="Z47" s="108"/>
      <c r="AA47" s="108"/>
      <c r="AB47" s="122"/>
      <c r="AC47" s="108"/>
      <c r="AD47" s="108"/>
      <c r="AE47" s="108"/>
      <c r="AF47" s="122"/>
      <c r="AG47" s="106">
        <f t="shared" si="3"/>
        <v>0</v>
      </c>
      <c r="AH47" s="108">
        <f>F47+J47+N47+R47+V47+Z47+AD47</f>
        <v>0</v>
      </c>
      <c r="AI47" s="108" t="e">
        <f>AH47/AG47*100</f>
        <v>#DIV/0!</v>
      </c>
      <c r="AJ47" s="108">
        <f t="shared" si="61"/>
        <v>0</v>
      </c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6">
        <f t="shared" si="8"/>
        <v>0</v>
      </c>
      <c r="BB47" s="108">
        <f>AL47+AP47+AT47+AX47</f>
        <v>0</v>
      </c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22"/>
      <c r="BU47" s="108">
        <v>21</v>
      </c>
      <c r="BV47" s="153"/>
      <c r="BW47" s="110"/>
      <c r="BX47" s="122">
        <f t="shared" si="20"/>
        <v>-21</v>
      </c>
      <c r="BY47" s="122"/>
      <c r="BZ47" s="122"/>
      <c r="CA47" s="122"/>
      <c r="CB47" s="122"/>
      <c r="CC47" s="106">
        <f t="shared" si="35"/>
        <v>21</v>
      </c>
      <c r="CD47" s="108">
        <f>R47+V47+Z47+AD47+BR47+BV47+F47+J47+N47+AL47+BZ47+AP47+AT47+AX47+BF47</f>
        <v>0</v>
      </c>
      <c r="CE47" s="108">
        <f t="shared" si="13"/>
        <v>0</v>
      </c>
      <c r="CF47" s="108">
        <f t="shared" si="14"/>
        <v>-21</v>
      </c>
      <c r="CH47" s="142">
        <f t="shared" si="16"/>
        <v>0</v>
      </c>
      <c r="CI47" s="137">
        <f t="shared" si="17"/>
        <v>21</v>
      </c>
      <c r="CK47" s="146">
        <f t="shared" si="15"/>
        <v>0</v>
      </c>
    </row>
    <row r="48" spans="1:89" hidden="1">
      <c r="A48" s="122"/>
      <c r="B48" s="875" t="s">
        <v>216</v>
      </c>
      <c r="C48" s="876"/>
      <c r="D48" s="877"/>
      <c r="E48" s="108"/>
      <c r="F48" s="108"/>
      <c r="G48" s="108"/>
      <c r="H48" s="108"/>
      <c r="I48" s="108"/>
      <c r="J48" s="108"/>
      <c r="K48" s="122"/>
      <c r="L48" s="122"/>
      <c r="M48" s="108"/>
      <c r="N48" s="108"/>
      <c r="O48" s="108"/>
      <c r="P48" s="122"/>
      <c r="Q48" s="108"/>
      <c r="R48" s="108"/>
      <c r="S48" s="108"/>
      <c r="T48" s="122"/>
      <c r="U48" s="108"/>
      <c r="V48" s="108"/>
      <c r="W48" s="122"/>
      <c r="X48" s="122"/>
      <c r="Y48" s="108"/>
      <c r="Z48" s="108"/>
      <c r="AA48" s="108"/>
      <c r="AB48" s="122"/>
      <c r="AC48" s="108"/>
      <c r="AD48" s="108"/>
      <c r="AE48" s="108"/>
      <c r="AF48" s="122"/>
      <c r="AG48" s="106">
        <f t="shared" si="3"/>
        <v>0</v>
      </c>
      <c r="AH48" s="108">
        <f>F48+J48+N48+R48+V48+Z48+AD48</f>
        <v>0</v>
      </c>
      <c r="AI48" s="108" t="e">
        <f>AH48/AG48*100</f>
        <v>#DIV/0!</v>
      </c>
      <c r="AJ48" s="108">
        <f t="shared" si="61"/>
        <v>0</v>
      </c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6">
        <f t="shared" si="8"/>
        <v>0</v>
      </c>
      <c r="BB48" s="108">
        <f>AL48+AP48+AT48+AX48</f>
        <v>0</v>
      </c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22"/>
      <c r="BU48" s="108"/>
      <c r="BV48" s="153"/>
      <c r="BW48" s="110"/>
      <c r="BX48" s="122">
        <f t="shared" si="20"/>
        <v>0</v>
      </c>
      <c r="BY48" s="122"/>
      <c r="BZ48" s="122"/>
      <c r="CA48" s="122"/>
      <c r="CB48" s="122"/>
      <c r="CC48" s="106">
        <f t="shared" si="35"/>
        <v>0</v>
      </c>
      <c r="CD48" s="108">
        <f>R48+V48+Z48+AD48+BR48+BV48+F48+J48+N48+AL48+BZ48+AP48+AT48+AX48+BF48</f>
        <v>0</v>
      </c>
      <c r="CE48" s="108" t="e">
        <f t="shared" si="13"/>
        <v>#DIV/0!</v>
      </c>
      <c r="CF48" s="108">
        <f t="shared" si="14"/>
        <v>0</v>
      </c>
      <c r="CH48" s="142">
        <f t="shared" si="16"/>
        <v>0</v>
      </c>
      <c r="CI48" s="137">
        <f t="shared" si="17"/>
        <v>0</v>
      </c>
      <c r="CK48" s="146">
        <f t="shared" si="15"/>
        <v>0</v>
      </c>
    </row>
    <row r="49" spans="1:89" hidden="1">
      <c r="A49" s="122"/>
      <c r="B49" s="875" t="s">
        <v>241</v>
      </c>
      <c r="C49" s="876"/>
      <c r="D49" s="877"/>
      <c r="E49" s="108"/>
      <c r="F49" s="108"/>
      <c r="G49" s="108"/>
      <c r="H49" s="108"/>
      <c r="I49" s="108"/>
      <c r="J49" s="108"/>
      <c r="K49" s="122"/>
      <c r="L49" s="122"/>
      <c r="M49" s="108"/>
      <c r="N49" s="108"/>
      <c r="O49" s="108"/>
      <c r="P49" s="122"/>
      <c r="Q49" s="108"/>
      <c r="R49" s="108"/>
      <c r="S49" s="108"/>
      <c r="T49" s="122"/>
      <c r="U49" s="108"/>
      <c r="V49" s="108"/>
      <c r="W49" s="122"/>
      <c r="X49" s="122"/>
      <c r="Y49" s="108"/>
      <c r="Z49" s="108"/>
      <c r="AA49" s="108"/>
      <c r="AB49" s="122"/>
      <c r="AC49" s="108"/>
      <c r="AD49" s="108"/>
      <c r="AE49" s="108"/>
      <c r="AF49" s="122"/>
      <c r="AG49" s="106">
        <f t="shared" si="3"/>
        <v>0</v>
      </c>
      <c r="AH49" s="108">
        <f>F49+J49+N49+R49+V49+Z49+AD49</f>
        <v>0</v>
      </c>
      <c r="AI49" s="108" t="e">
        <f>AH49/AG49*100</f>
        <v>#DIV/0!</v>
      </c>
      <c r="AJ49" s="108">
        <f t="shared" si="61"/>
        <v>0</v>
      </c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6">
        <f t="shared" si="8"/>
        <v>0</v>
      </c>
      <c r="BB49" s="108">
        <f>AL49+AP49+AT49+AX49</f>
        <v>0</v>
      </c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22"/>
      <c r="BU49" s="108"/>
      <c r="BV49" s="153"/>
      <c r="BW49" s="110"/>
      <c r="BX49" s="122"/>
      <c r="BY49" s="122"/>
      <c r="BZ49" s="122"/>
      <c r="CA49" s="122"/>
      <c r="CB49" s="122"/>
      <c r="CC49" s="106">
        <f t="shared" si="35"/>
        <v>0</v>
      </c>
      <c r="CD49" s="108">
        <f>R49+V49+Z49+AD49+BR49+BV49+F49+J49+N49+AL49+BZ49+AP49+AT49+AX49+BF49</f>
        <v>0</v>
      </c>
      <c r="CE49" s="108"/>
      <c r="CF49" s="108">
        <f>CD49-CC49</f>
        <v>0</v>
      </c>
      <c r="CH49" s="142">
        <f t="shared" si="16"/>
        <v>0</v>
      </c>
      <c r="CI49" s="137">
        <f t="shared" si="17"/>
        <v>0</v>
      </c>
      <c r="CK49" s="146">
        <f t="shared" si="15"/>
        <v>0</v>
      </c>
    </row>
    <row r="50" spans="1:89" ht="16.5" customHeight="1">
      <c r="A50" s="122"/>
      <c r="B50" s="893" t="s">
        <v>210</v>
      </c>
      <c r="C50" s="894"/>
      <c r="D50" s="895"/>
      <c r="E50" s="108"/>
      <c r="F50" s="108"/>
      <c r="G50" s="108"/>
      <c r="H50" s="108"/>
      <c r="I50" s="108"/>
      <c r="J50" s="108"/>
      <c r="K50" s="122"/>
      <c r="L50" s="122"/>
      <c r="M50" s="108"/>
      <c r="N50" s="108"/>
      <c r="O50" s="108"/>
      <c r="P50" s="122">
        <f t="shared" si="23"/>
        <v>0</v>
      </c>
      <c r="Q50" s="108"/>
      <c r="R50" s="108"/>
      <c r="S50" s="108"/>
      <c r="T50" s="108">
        <f>R50-Q50</f>
        <v>0</v>
      </c>
      <c r="U50" s="108"/>
      <c r="V50" s="108"/>
      <c r="W50" s="122"/>
      <c r="X50" s="122">
        <f>V50-U50</f>
        <v>0</v>
      </c>
      <c r="Y50" s="108"/>
      <c r="Z50" s="108"/>
      <c r="AA50" s="108"/>
      <c r="AB50" s="122">
        <f t="shared" ref="AB50:AB58" si="64">Z50-Y50</f>
        <v>0</v>
      </c>
      <c r="AC50" s="108"/>
      <c r="AD50" s="108"/>
      <c r="AE50" s="108"/>
      <c r="AF50" s="122">
        <f>AD50-AC50</f>
        <v>0</v>
      </c>
      <c r="AG50" s="106">
        <f t="shared" si="3"/>
        <v>0</v>
      </c>
      <c r="AH50" s="108">
        <f>F50+J50+N50+R50+V50+Z50+AD50</f>
        <v>0</v>
      </c>
      <c r="AI50" s="108"/>
      <c r="AJ50" s="108">
        <f t="shared" si="61"/>
        <v>0</v>
      </c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6">
        <f t="shared" si="8"/>
        <v>0</v>
      </c>
      <c r="BB50" s="108">
        <f>AL50+AP50+AT50+AX50</f>
        <v>0</v>
      </c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>
        <v>8</v>
      </c>
      <c r="BR50" s="108">
        <v>1</v>
      </c>
      <c r="BS50" s="108"/>
      <c r="BT50" s="122">
        <f t="shared" ref="BT50:BT57" si="65">BR50-BQ50</f>
        <v>-7</v>
      </c>
      <c r="BU50" s="108">
        <v>260</v>
      </c>
      <c r="BV50" s="153">
        <v>151.24199999999999</v>
      </c>
      <c r="BW50" s="108"/>
      <c r="BX50" s="122">
        <f t="shared" si="20"/>
        <v>-108.75800000000001</v>
      </c>
      <c r="BY50" s="122"/>
      <c r="BZ50" s="122">
        <v>6.5</v>
      </c>
      <c r="CA50" s="122"/>
      <c r="CB50" s="122"/>
      <c r="CC50" s="106">
        <f t="shared" si="35"/>
        <v>268</v>
      </c>
      <c r="CD50" s="108">
        <f>R50+V50+Z50+AD50+BR50+BV50+F50+J50+N50+AL50+BZ50+AP50+AT50+AX50+BF50</f>
        <v>158.74199999999999</v>
      </c>
      <c r="CE50" s="108">
        <f t="shared" si="13"/>
        <v>59.232089552238797</v>
      </c>
      <c r="CF50" s="108">
        <f t="shared" si="14"/>
        <v>-109.25800000000001</v>
      </c>
      <c r="CH50" s="142">
        <f t="shared" si="16"/>
        <v>158.74199999999999</v>
      </c>
      <c r="CI50" s="137">
        <f t="shared" si="17"/>
        <v>268</v>
      </c>
      <c r="CK50" s="146">
        <f t="shared" si="15"/>
        <v>158.74199999999999</v>
      </c>
    </row>
    <row r="51" spans="1:89" s="133" customFormat="1" ht="19.5" customHeight="1">
      <c r="A51" s="126">
        <v>300</v>
      </c>
      <c r="B51" s="884" t="s">
        <v>217</v>
      </c>
      <c r="C51" s="885"/>
      <c r="D51" s="886"/>
      <c r="E51" s="113">
        <f>E52+E55</f>
        <v>1025</v>
      </c>
      <c r="F51" s="113">
        <f>F52+F55</f>
        <v>399.11824999999999</v>
      </c>
      <c r="G51" s="113">
        <f>F51/E51*100</f>
        <v>38.938365853658539</v>
      </c>
      <c r="H51" s="119">
        <f>F51-E51</f>
        <v>-625.88175000000001</v>
      </c>
      <c r="I51" s="113">
        <f>I52+I55</f>
        <v>2870</v>
      </c>
      <c r="J51" s="113">
        <f>J52+J55</f>
        <v>1267.6630599999999</v>
      </c>
      <c r="K51" s="113">
        <f>J51/I51*100</f>
        <v>44.169444599303134</v>
      </c>
      <c r="L51" s="134">
        <f t="shared" ref="L51:L58" si="66">J51-I51</f>
        <v>-1602.3369400000001</v>
      </c>
      <c r="M51" s="113">
        <f>M52+M55</f>
        <v>4870</v>
      </c>
      <c r="N51" s="113">
        <f>N52+N55</f>
        <v>2116.3870899999997</v>
      </c>
      <c r="O51" s="113">
        <f t="shared" ref="O51:O59" si="67">N51/M51*100</f>
        <v>43.45764045174537</v>
      </c>
      <c r="P51" s="134">
        <f t="shared" si="23"/>
        <v>-2753.6129100000003</v>
      </c>
      <c r="Q51" s="113">
        <f>Q52+Q55</f>
        <v>4728</v>
      </c>
      <c r="R51" s="113">
        <f>R52+R55</f>
        <v>2122.2739999999999</v>
      </c>
      <c r="S51" s="113">
        <f t="shared" ref="S51:S57" si="68">R51/Q51*100</f>
        <v>44.887351945854483</v>
      </c>
      <c r="T51" s="113">
        <f>R51-Q51</f>
        <v>-2605.7260000000001</v>
      </c>
      <c r="U51" s="113">
        <f>U52+U55</f>
        <v>1025</v>
      </c>
      <c r="V51" s="113">
        <f>V52+V55</f>
        <v>484.69094000000001</v>
      </c>
      <c r="W51" s="113">
        <f>V51/U51*100</f>
        <v>47.28692097560976</v>
      </c>
      <c r="X51" s="134">
        <f>V51-U51</f>
        <v>-540.30906000000004</v>
      </c>
      <c r="Y51" s="113">
        <f>Y52+Y55</f>
        <v>3385</v>
      </c>
      <c r="Z51" s="113">
        <f>Z52+Z55</f>
        <v>2239.4889400000006</v>
      </c>
      <c r="AA51" s="113">
        <f t="shared" ref="AA51:AA58" si="69">Z51/Y51*100</f>
        <v>66.159200590841976</v>
      </c>
      <c r="AB51" s="134">
        <f t="shared" si="64"/>
        <v>-1145.5110599999994</v>
      </c>
      <c r="AC51" s="113">
        <f>AC52+AC55</f>
        <v>2870</v>
      </c>
      <c r="AD51" s="113">
        <f>AD52+AD55</f>
        <v>1452.0899199999999</v>
      </c>
      <c r="AE51" s="113">
        <f t="shared" ref="AE51:AE58" si="70">AD51/AC51*100</f>
        <v>50.59546759581881</v>
      </c>
      <c r="AF51" s="134">
        <f>AD51-AC51</f>
        <v>-1417.9100800000001</v>
      </c>
      <c r="AG51" s="113">
        <f t="shared" si="3"/>
        <v>20773</v>
      </c>
      <c r="AH51" s="113">
        <f>AH52+AH55</f>
        <v>10081.712200000002</v>
      </c>
      <c r="AI51" s="113">
        <f t="shared" ref="AI51:AI58" si="71">AH51/AG51*100</f>
        <v>48.532769460357201</v>
      </c>
      <c r="AJ51" s="134">
        <f t="shared" si="61"/>
        <v>-10691.287799999998</v>
      </c>
      <c r="AK51" s="113">
        <f>AK52+AK55</f>
        <v>375</v>
      </c>
      <c r="AL51" s="113">
        <f>AL52+AL55</f>
        <v>101.61399999999999</v>
      </c>
      <c r="AM51" s="113">
        <f>AL51/AK51*100</f>
        <v>27.097066666666663</v>
      </c>
      <c r="AN51" s="119">
        <f>AL51-AK51</f>
        <v>-273.38600000000002</v>
      </c>
      <c r="AO51" s="113">
        <f>AO52+AO55</f>
        <v>145</v>
      </c>
      <c r="AP51" s="113">
        <f>AP52+AP55</f>
        <v>40.790999999999997</v>
      </c>
      <c r="AQ51" s="113">
        <f>AP51/AO51*100</f>
        <v>28.13172413793103</v>
      </c>
      <c r="AR51" s="119">
        <f>AP51-AO51</f>
        <v>-104.209</v>
      </c>
      <c r="AS51" s="113">
        <f>AS52+AS55</f>
        <v>400</v>
      </c>
      <c r="AT51" s="113">
        <f>AT52+AT55</f>
        <v>46.530660000000005</v>
      </c>
      <c r="AU51" s="113">
        <f t="shared" ref="AU51:AU57" si="72">AT51/AS51*100</f>
        <v>11.632665000000001</v>
      </c>
      <c r="AV51" s="119">
        <f t="shared" ref="AV51:AV57" si="73">AT51-AS51</f>
        <v>-353.46933999999999</v>
      </c>
      <c r="AW51" s="113">
        <f>AW52+AW55</f>
        <v>380</v>
      </c>
      <c r="AX51" s="113">
        <f>AX52+AX55</f>
        <v>74.473479999999995</v>
      </c>
      <c r="AY51" s="113">
        <f>AX51/AW51*100</f>
        <v>19.598284210526316</v>
      </c>
      <c r="AZ51" s="119">
        <f>AX51-AW51</f>
        <v>-305.52652</v>
      </c>
      <c r="BA51" s="113">
        <f t="shared" si="8"/>
        <v>1300</v>
      </c>
      <c r="BB51" s="113">
        <f>BB52+BB55</f>
        <v>263.40914000000004</v>
      </c>
      <c r="BC51" s="113">
        <f>BB51/BA51*100</f>
        <v>20.262241538461542</v>
      </c>
      <c r="BD51" s="119">
        <f>BB51-BA51</f>
        <v>-1036.59086</v>
      </c>
      <c r="BE51" s="113">
        <f>BE52+BE55</f>
        <v>0</v>
      </c>
      <c r="BF51" s="113">
        <f>BF52+BF55</f>
        <v>23.528750000000002</v>
      </c>
      <c r="BG51" s="113" t="e">
        <f>BF51/BE51*100</f>
        <v>#DIV/0!</v>
      </c>
      <c r="BH51" s="119">
        <f>BF51-BE51</f>
        <v>23.528750000000002</v>
      </c>
      <c r="BI51" s="113">
        <f>BI52+BI55</f>
        <v>0</v>
      </c>
      <c r="BJ51" s="113">
        <f>BJ52+BJ55</f>
        <v>321.36653999999999</v>
      </c>
      <c r="BK51" s="113" t="e">
        <f>BJ51/BI51*100</f>
        <v>#DIV/0!</v>
      </c>
      <c r="BL51" s="119">
        <f>BJ51-BI51</f>
        <v>321.36653999999999</v>
      </c>
      <c r="BM51" s="113">
        <f>BM52+BM55</f>
        <v>0</v>
      </c>
      <c r="BN51" s="113">
        <f>BN52+BN55</f>
        <v>8.8775999999999993</v>
      </c>
      <c r="BO51" s="113" t="e">
        <f>BN51/BM51*100</f>
        <v>#DIV/0!</v>
      </c>
      <c r="BP51" s="119">
        <f t="shared" ref="BP51:BP57" si="74">BN51-BM51</f>
        <v>8.8775999999999993</v>
      </c>
      <c r="BQ51" s="113">
        <f>BQ52+BQ55</f>
        <v>33.799999999999997</v>
      </c>
      <c r="BR51" s="113">
        <f>BR52+BR55</f>
        <v>7.4499999999999993</v>
      </c>
      <c r="BS51" s="113">
        <f t="shared" ref="BS51:BS57" si="75">BR51/BQ51*100</f>
        <v>22.041420118343193</v>
      </c>
      <c r="BT51" s="134">
        <f t="shared" si="65"/>
        <v>-26.349999999999998</v>
      </c>
      <c r="BU51" s="113">
        <f>BU52+BU55</f>
        <v>710</v>
      </c>
      <c r="BV51" s="78">
        <f>BV52+BV55</f>
        <v>446.06</v>
      </c>
      <c r="BW51" s="115">
        <f>BV51/BU51*100</f>
        <v>62.825352112676057</v>
      </c>
      <c r="BX51" s="114">
        <f t="shared" si="20"/>
        <v>-263.94</v>
      </c>
      <c r="BY51" s="113">
        <f>BY52+BY55</f>
        <v>11.5</v>
      </c>
      <c r="BZ51" s="113">
        <f>BZ52+BZ55</f>
        <v>9.98</v>
      </c>
      <c r="CA51" s="115">
        <f>BZ51/BY51*100</f>
        <v>86.782608695652172</v>
      </c>
      <c r="CB51" s="114">
        <f>BZ51-BY51</f>
        <v>-1.5199999999999996</v>
      </c>
      <c r="CC51" s="113">
        <f t="shared" si="35"/>
        <v>22828.3</v>
      </c>
      <c r="CD51" s="113">
        <f>CD52+CD55</f>
        <v>11162.384229999998</v>
      </c>
      <c r="CE51" s="113">
        <f t="shared" si="13"/>
        <v>48.897133076050331</v>
      </c>
      <c r="CF51" s="113">
        <f t="shared" si="14"/>
        <v>-11665.915770000001</v>
      </c>
      <c r="CH51" s="137">
        <f t="shared" si="16"/>
        <v>11162.384230000001</v>
      </c>
      <c r="CI51" s="137">
        <f t="shared" si="17"/>
        <v>22828.300000000003</v>
      </c>
      <c r="CK51" s="146">
        <f t="shared" si="15"/>
        <v>11162.384230000001</v>
      </c>
    </row>
    <row r="52" spans="1:89" s="145" customFormat="1">
      <c r="A52" s="127">
        <v>310</v>
      </c>
      <c r="B52" s="872" t="s">
        <v>218</v>
      </c>
      <c r="C52" s="873"/>
      <c r="D52" s="874"/>
      <c r="E52" s="118">
        <f>E53+E54</f>
        <v>0</v>
      </c>
      <c r="F52" s="118">
        <f>F53+F54</f>
        <v>30</v>
      </c>
      <c r="G52" s="118" t="e">
        <f>F52/E52*100</f>
        <v>#DIV/0!</v>
      </c>
      <c r="H52" s="118">
        <f>F52-E52</f>
        <v>30</v>
      </c>
      <c r="I52" s="118">
        <f>I53+I54</f>
        <v>0</v>
      </c>
      <c r="J52" s="118">
        <f>J53+J54</f>
        <v>26.83849</v>
      </c>
      <c r="K52" s="118"/>
      <c r="L52" s="134">
        <f t="shared" si="66"/>
        <v>26.83849</v>
      </c>
      <c r="M52" s="118">
        <f>M53+M54</f>
        <v>0</v>
      </c>
      <c r="N52" s="118">
        <f>N53+N54</f>
        <v>68.319000000000003</v>
      </c>
      <c r="O52" s="118" t="e">
        <f t="shared" si="67"/>
        <v>#DIV/0!</v>
      </c>
      <c r="P52" s="118">
        <f t="shared" si="23"/>
        <v>68.319000000000003</v>
      </c>
      <c r="Q52" s="118">
        <f>Q53+Q54</f>
        <v>0</v>
      </c>
      <c r="R52" s="118">
        <f>R53+R54</f>
        <v>91.7</v>
      </c>
      <c r="S52" s="118" t="e">
        <f t="shared" si="68"/>
        <v>#DIV/0!</v>
      </c>
      <c r="T52" s="118">
        <f>R52-Q52</f>
        <v>91.7</v>
      </c>
      <c r="U52" s="118">
        <f>U53+U54</f>
        <v>0</v>
      </c>
      <c r="V52" s="118">
        <f>V53+V54</f>
        <v>13.14034</v>
      </c>
      <c r="W52" s="118"/>
      <c r="X52" s="118">
        <f>V52-U52</f>
        <v>13.14034</v>
      </c>
      <c r="Y52" s="118">
        <f>Y53+Y54</f>
        <v>0</v>
      </c>
      <c r="Z52" s="118">
        <f>Z53+Z54</f>
        <v>31.28</v>
      </c>
      <c r="AA52" s="119" t="e">
        <f t="shared" si="69"/>
        <v>#DIV/0!</v>
      </c>
      <c r="AB52" s="134">
        <f t="shared" si="64"/>
        <v>31.28</v>
      </c>
      <c r="AC52" s="118">
        <f>AC53+AC54</f>
        <v>0</v>
      </c>
      <c r="AD52" s="118">
        <f>AD53+AD54</f>
        <v>0</v>
      </c>
      <c r="AE52" s="118"/>
      <c r="AF52" s="118">
        <f>AD52-AC52</f>
        <v>0</v>
      </c>
      <c r="AG52" s="113">
        <f t="shared" si="3"/>
        <v>0</v>
      </c>
      <c r="AH52" s="118">
        <f>AH53+AH54</f>
        <v>261.27782999999999</v>
      </c>
      <c r="AI52" s="118" t="e">
        <f t="shared" si="71"/>
        <v>#DIV/0!</v>
      </c>
      <c r="AJ52" s="127">
        <f t="shared" si="61"/>
        <v>261.27782999999999</v>
      </c>
      <c r="AK52" s="118">
        <f>AK53+AK54</f>
        <v>0</v>
      </c>
      <c r="AL52" s="118">
        <f>AL53+AL54</f>
        <v>19.498999999999999</v>
      </c>
      <c r="AM52" s="118" t="e">
        <f>AL52/AK52*100</f>
        <v>#DIV/0!</v>
      </c>
      <c r="AN52" s="118">
        <f>AL52-AK52</f>
        <v>19.498999999999999</v>
      </c>
      <c r="AO52" s="118">
        <f>AO53+AO54</f>
        <v>0</v>
      </c>
      <c r="AP52" s="118">
        <f>AP53+AP54</f>
        <v>0</v>
      </c>
      <c r="AQ52" s="118"/>
      <c r="AR52" s="118">
        <f>AP52-AO52</f>
        <v>0</v>
      </c>
      <c r="AS52" s="118">
        <f>AS53+AS54</f>
        <v>0</v>
      </c>
      <c r="AT52" s="118">
        <f>AT53+AT54</f>
        <v>0</v>
      </c>
      <c r="AU52" s="118" t="e">
        <f t="shared" si="72"/>
        <v>#DIV/0!</v>
      </c>
      <c r="AV52" s="118">
        <f t="shared" si="73"/>
        <v>0</v>
      </c>
      <c r="AW52" s="118">
        <f>AW53+AW54</f>
        <v>0</v>
      </c>
      <c r="AX52" s="118">
        <f>AX53+AX54</f>
        <v>0</v>
      </c>
      <c r="AY52" s="118" t="e">
        <f>AX52/AW52*100</f>
        <v>#DIV/0!</v>
      </c>
      <c r="AZ52" s="118">
        <f>AX52-AW52</f>
        <v>0</v>
      </c>
      <c r="BA52" s="113">
        <f t="shared" si="8"/>
        <v>0</v>
      </c>
      <c r="BB52" s="118">
        <f>BB53+BB54</f>
        <v>19.498999999999999</v>
      </c>
      <c r="BC52" s="118" t="e">
        <f>BB52/BA52*100</f>
        <v>#DIV/0!</v>
      </c>
      <c r="BD52" s="118">
        <f>BB52-BA52</f>
        <v>19.498999999999999</v>
      </c>
      <c r="BE52" s="118">
        <f>BE53+BE54</f>
        <v>0</v>
      </c>
      <c r="BF52" s="118">
        <f>BF53+BF54</f>
        <v>0</v>
      </c>
      <c r="BG52" s="118"/>
      <c r="BH52" s="118">
        <f>BF52-BE52</f>
        <v>0</v>
      </c>
      <c r="BI52" s="118">
        <f>BI53+BI54</f>
        <v>0</v>
      </c>
      <c r="BJ52" s="118">
        <f>BJ53+BJ54</f>
        <v>0</v>
      </c>
      <c r="BK52" s="118" t="e">
        <f>BJ52/BI52*100</f>
        <v>#DIV/0!</v>
      </c>
      <c r="BL52" s="118">
        <f>BJ52-BI52</f>
        <v>0</v>
      </c>
      <c r="BM52" s="118">
        <f>BM53+BM54</f>
        <v>0</v>
      </c>
      <c r="BN52" s="118">
        <f>BN53+BN54</f>
        <v>0</v>
      </c>
      <c r="BO52" s="118" t="e">
        <f>BN52/BM52*100</f>
        <v>#DIV/0!</v>
      </c>
      <c r="BP52" s="118">
        <f t="shared" si="74"/>
        <v>0</v>
      </c>
      <c r="BQ52" s="118">
        <f>BQ53+BQ54</f>
        <v>16</v>
      </c>
      <c r="BR52" s="118">
        <f>BR53+BR54</f>
        <v>0</v>
      </c>
      <c r="BS52" s="118"/>
      <c r="BT52" s="127">
        <f t="shared" si="65"/>
        <v>-16</v>
      </c>
      <c r="BU52" s="118">
        <f>BU53+BU54</f>
        <v>250</v>
      </c>
      <c r="BV52" s="194">
        <f>BV53+BV54</f>
        <v>206.27</v>
      </c>
      <c r="BW52" s="120">
        <f>BV52/BU52*100</f>
        <v>82.50800000000001</v>
      </c>
      <c r="BX52" s="127">
        <f t="shared" si="20"/>
        <v>-43.72999999999999</v>
      </c>
      <c r="BY52" s="118">
        <f>BY53+BY54</f>
        <v>5</v>
      </c>
      <c r="BZ52" s="118">
        <f>BZ53+BZ54</f>
        <v>0</v>
      </c>
      <c r="CA52" s="120">
        <f>BZ52/BY52*100</f>
        <v>0</v>
      </c>
      <c r="CB52" s="127">
        <f>BZ52-BY52</f>
        <v>-5</v>
      </c>
      <c r="CC52" s="113">
        <f t="shared" si="35"/>
        <v>271</v>
      </c>
      <c r="CD52" s="118">
        <f>CD53+CD54</f>
        <v>487.04683000000006</v>
      </c>
      <c r="CE52" s="118">
        <f t="shared" si="13"/>
        <v>179.72207749077492</v>
      </c>
      <c r="CF52" s="118">
        <f t="shared" si="14"/>
        <v>216.04683000000006</v>
      </c>
      <c r="CH52" s="137">
        <f t="shared" si="16"/>
        <v>487.04683</v>
      </c>
      <c r="CI52" s="137">
        <f t="shared" si="17"/>
        <v>271</v>
      </c>
      <c r="CK52" s="146">
        <f t="shared" si="15"/>
        <v>487.04683</v>
      </c>
    </row>
    <row r="53" spans="1:89">
      <c r="A53" s="122"/>
      <c r="B53" s="878" t="s">
        <v>219</v>
      </c>
      <c r="C53" s="879"/>
      <c r="D53" s="880"/>
      <c r="E53" s="108"/>
      <c r="F53" s="108">
        <v>30</v>
      </c>
      <c r="G53" s="108"/>
      <c r="H53" s="108">
        <f>F53-E53</f>
        <v>30</v>
      </c>
      <c r="I53" s="108"/>
      <c r="J53" s="108">
        <v>26.83849</v>
      </c>
      <c r="K53" s="108"/>
      <c r="L53" s="122">
        <f t="shared" si="66"/>
        <v>26.83849</v>
      </c>
      <c r="M53" s="108"/>
      <c r="N53" s="108">
        <v>68.319000000000003</v>
      </c>
      <c r="O53" s="109" t="e">
        <f t="shared" si="67"/>
        <v>#DIV/0!</v>
      </c>
      <c r="P53" s="109">
        <f t="shared" si="23"/>
        <v>68.319000000000003</v>
      </c>
      <c r="Q53" s="108"/>
      <c r="R53" s="108">
        <v>91.7</v>
      </c>
      <c r="S53" s="108" t="e">
        <f t="shared" si="68"/>
        <v>#DIV/0!</v>
      </c>
      <c r="T53" s="109">
        <f>R53-Q53</f>
        <v>91.7</v>
      </c>
      <c r="U53" s="108"/>
      <c r="V53" s="108">
        <v>13.14034</v>
      </c>
      <c r="W53" s="108"/>
      <c r="X53" s="122">
        <f>V53-U53</f>
        <v>13.14034</v>
      </c>
      <c r="Y53" s="108"/>
      <c r="Z53" s="108">
        <v>31.28</v>
      </c>
      <c r="AA53" s="108" t="e">
        <f t="shared" si="69"/>
        <v>#DIV/0!</v>
      </c>
      <c r="AB53" s="122">
        <f t="shared" si="64"/>
        <v>31.28</v>
      </c>
      <c r="AC53" s="108"/>
      <c r="AD53" s="108"/>
      <c r="AE53" s="108"/>
      <c r="AF53" s="122">
        <f>AD53-AC53</f>
        <v>0</v>
      </c>
      <c r="AG53" s="106">
        <f t="shared" si="3"/>
        <v>0</v>
      </c>
      <c r="AH53" s="108">
        <f>F53+J53+N53+R53+V53+Z53+AD53</f>
        <v>261.27782999999999</v>
      </c>
      <c r="AI53" s="109" t="e">
        <f t="shared" si="71"/>
        <v>#DIV/0!</v>
      </c>
      <c r="AJ53" s="122">
        <f t="shared" si="61"/>
        <v>261.27782999999999</v>
      </c>
      <c r="AK53" s="108"/>
      <c r="AL53" s="108"/>
      <c r="AM53" s="108" t="e">
        <f>AL53/AK53*100</f>
        <v>#DIV/0!</v>
      </c>
      <c r="AN53" s="108">
        <f>AL53-AK53</f>
        <v>0</v>
      </c>
      <c r="AO53" s="108"/>
      <c r="AP53" s="108"/>
      <c r="AQ53" s="108"/>
      <c r="AR53" s="108">
        <f>AP53-AO53</f>
        <v>0</v>
      </c>
      <c r="AS53" s="108"/>
      <c r="AT53" s="108"/>
      <c r="AU53" s="108" t="e">
        <f t="shared" si="72"/>
        <v>#DIV/0!</v>
      </c>
      <c r="AV53" s="108">
        <f t="shared" si="73"/>
        <v>0</v>
      </c>
      <c r="AW53" s="108"/>
      <c r="AX53" s="108"/>
      <c r="AY53" s="108" t="e">
        <f>AX53/AW53*100</f>
        <v>#DIV/0!</v>
      </c>
      <c r="AZ53" s="108">
        <f>AX53-AW53</f>
        <v>0</v>
      </c>
      <c r="BA53" s="106">
        <f t="shared" si="8"/>
        <v>0</v>
      </c>
      <c r="BB53" s="108">
        <f>AL53+AP53+AT53+AX53</f>
        <v>0</v>
      </c>
      <c r="BC53" s="108" t="e">
        <f>BB53/BA53*100</f>
        <v>#DIV/0!</v>
      </c>
      <c r="BD53" s="108">
        <f>BB53-BA53</f>
        <v>0</v>
      </c>
      <c r="BE53" s="108"/>
      <c r="BF53" s="108"/>
      <c r="BG53" s="108"/>
      <c r="BH53" s="108">
        <f>BF53-BE53</f>
        <v>0</v>
      </c>
      <c r="BI53" s="108"/>
      <c r="BJ53" s="108"/>
      <c r="BK53" s="108"/>
      <c r="BL53" s="108">
        <f>BJ53-BI53</f>
        <v>0</v>
      </c>
      <c r="BM53" s="108"/>
      <c r="BN53" s="108"/>
      <c r="BO53" s="118" t="e">
        <f>BN53/BM53*100</f>
        <v>#DIV/0!</v>
      </c>
      <c r="BP53" s="108">
        <f t="shared" si="74"/>
        <v>0</v>
      </c>
      <c r="BQ53" s="153"/>
      <c r="BR53" s="108"/>
      <c r="BS53" s="108"/>
      <c r="BT53" s="122">
        <f t="shared" si="65"/>
        <v>0</v>
      </c>
      <c r="BU53" s="108">
        <v>180</v>
      </c>
      <c r="BV53" s="153">
        <v>206.27</v>
      </c>
      <c r="BW53" s="110">
        <f>BV53/BU53*100</f>
        <v>114.59444444444445</v>
      </c>
      <c r="BX53" s="122">
        <f t="shared" si="20"/>
        <v>26.27000000000001</v>
      </c>
      <c r="BY53" s="122">
        <v>5</v>
      </c>
      <c r="BZ53" s="122"/>
      <c r="CA53" s="122"/>
      <c r="CB53" s="122"/>
      <c r="CC53" s="106">
        <f t="shared" si="35"/>
        <v>185</v>
      </c>
      <c r="CD53" s="108">
        <f>R53+V53+Z53+AD53+BR53+BV53+F53+J53+N53+AL53+BZ53+AP53+AT53+AX53+BF53</f>
        <v>467.54783000000003</v>
      </c>
      <c r="CE53" s="108">
        <f t="shared" si="13"/>
        <v>252.72855675675677</v>
      </c>
      <c r="CF53" s="108">
        <f t="shared" si="14"/>
        <v>282.54783000000003</v>
      </c>
      <c r="CG53" s="112">
        <v>60</v>
      </c>
      <c r="CH53" s="142">
        <f t="shared" si="16"/>
        <v>467.54782999999998</v>
      </c>
      <c r="CI53" s="137">
        <f t="shared" si="17"/>
        <v>185</v>
      </c>
      <c r="CK53" s="146">
        <f t="shared" si="15"/>
        <v>467.54782999999998</v>
      </c>
    </row>
    <row r="54" spans="1:89">
      <c r="A54" s="122"/>
      <c r="B54" s="878" t="s">
        <v>220</v>
      </c>
      <c r="C54" s="879"/>
      <c r="D54" s="880"/>
      <c r="E54" s="108"/>
      <c r="F54" s="108"/>
      <c r="G54" s="108"/>
      <c r="H54" s="108"/>
      <c r="I54" s="108"/>
      <c r="J54" s="108"/>
      <c r="K54" s="108"/>
      <c r="L54" s="122">
        <f t="shared" si="66"/>
        <v>0</v>
      </c>
      <c r="M54" s="108"/>
      <c r="N54" s="108"/>
      <c r="O54" s="109" t="e">
        <f t="shared" si="67"/>
        <v>#DIV/0!</v>
      </c>
      <c r="P54" s="109">
        <f t="shared" si="23"/>
        <v>0</v>
      </c>
      <c r="Q54" s="108"/>
      <c r="R54" s="108"/>
      <c r="S54" s="108"/>
      <c r="T54" s="108"/>
      <c r="U54" s="108"/>
      <c r="V54" s="108"/>
      <c r="W54" s="108"/>
      <c r="X54" s="122"/>
      <c r="Y54" s="108"/>
      <c r="Z54" s="108"/>
      <c r="AA54" s="108"/>
      <c r="AB54" s="122">
        <f t="shared" si="64"/>
        <v>0</v>
      </c>
      <c r="AC54" s="108"/>
      <c r="AD54" s="108"/>
      <c r="AE54" s="108"/>
      <c r="AF54" s="122"/>
      <c r="AG54" s="106">
        <f t="shared" si="3"/>
        <v>0</v>
      </c>
      <c r="AH54" s="108">
        <f>F54+J54+N54+R54+V54+Z54+AD54</f>
        <v>0</v>
      </c>
      <c r="AI54" s="109" t="e">
        <f t="shared" si="71"/>
        <v>#DIV/0!</v>
      </c>
      <c r="AJ54" s="122">
        <f t="shared" si="61"/>
        <v>0</v>
      </c>
      <c r="AK54" s="108"/>
      <c r="AL54" s="108">
        <v>19.498999999999999</v>
      </c>
      <c r="AM54" s="108"/>
      <c r="AN54" s="108"/>
      <c r="AO54" s="108"/>
      <c r="AP54" s="108"/>
      <c r="AQ54" s="108"/>
      <c r="AR54" s="108"/>
      <c r="AS54" s="108"/>
      <c r="AT54" s="108"/>
      <c r="AU54" s="108" t="e">
        <f t="shared" si="72"/>
        <v>#DIV/0!</v>
      </c>
      <c r="AV54" s="108">
        <f t="shared" si="73"/>
        <v>0</v>
      </c>
      <c r="AW54" s="108"/>
      <c r="AX54" s="108"/>
      <c r="AY54" s="108"/>
      <c r="AZ54" s="108"/>
      <c r="BA54" s="106">
        <f t="shared" si="8"/>
        <v>0</v>
      </c>
      <c r="BB54" s="108">
        <f>AL54+AP54+AT54+AX54</f>
        <v>19.498999999999999</v>
      </c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18" t="e">
        <f>BN54/BM54*100</f>
        <v>#DIV/0!</v>
      </c>
      <c r="BP54" s="108">
        <f t="shared" si="74"/>
        <v>0</v>
      </c>
      <c r="BQ54" s="108">
        <v>16</v>
      </c>
      <c r="BR54" s="108"/>
      <c r="BS54" s="106"/>
      <c r="BT54" s="122">
        <f t="shared" si="65"/>
        <v>-16</v>
      </c>
      <c r="BU54" s="108">
        <v>70</v>
      </c>
      <c r="BV54" s="153"/>
      <c r="BW54" s="110"/>
      <c r="BX54" s="122"/>
      <c r="BY54" s="122"/>
      <c r="BZ54" s="122"/>
      <c r="CA54" s="122"/>
      <c r="CB54" s="122"/>
      <c r="CC54" s="106">
        <f t="shared" si="35"/>
        <v>86</v>
      </c>
      <c r="CD54" s="108">
        <f>R54+V54+Z54+AD54+BR54+BV54+F54+J54+N54+BJ54+BB54</f>
        <v>19.498999999999999</v>
      </c>
      <c r="CE54" s="108">
        <f>CD54/CC54*100</f>
        <v>22.673255813953485</v>
      </c>
      <c r="CF54" s="108">
        <f>CD54-CC54</f>
        <v>-66.501000000000005</v>
      </c>
      <c r="CH54" s="142">
        <f t="shared" si="16"/>
        <v>19.498999999999999</v>
      </c>
      <c r="CI54" s="137">
        <f t="shared" si="17"/>
        <v>86</v>
      </c>
      <c r="CK54" s="146">
        <f t="shared" si="15"/>
        <v>19.498999999999999</v>
      </c>
    </row>
    <row r="55" spans="1:89" s="141" customFormat="1" ht="24.75" customHeight="1">
      <c r="A55" s="123">
        <v>340</v>
      </c>
      <c r="B55" s="881" t="s">
        <v>141</v>
      </c>
      <c r="C55" s="882"/>
      <c r="D55" s="883"/>
      <c r="E55" s="116">
        <f>SUM(E56:E65)</f>
        <v>1025</v>
      </c>
      <c r="F55" s="116">
        <f>SUM(F56:F65)</f>
        <v>369.11824999999999</v>
      </c>
      <c r="G55" s="116">
        <f>F55/E55*100</f>
        <v>36.011536585365853</v>
      </c>
      <c r="H55" s="116">
        <f>F55-E55</f>
        <v>-655.88175000000001</v>
      </c>
      <c r="I55" s="116">
        <f>SUM(I56:I65)</f>
        <v>2870</v>
      </c>
      <c r="J55" s="116">
        <f>SUM(J56:J65)</f>
        <v>1240.8245699999998</v>
      </c>
      <c r="K55" s="116">
        <f t="shared" ref="K55:K60" si="76">J55/I55*100</f>
        <v>43.234305574912888</v>
      </c>
      <c r="L55" s="134">
        <f t="shared" si="66"/>
        <v>-1629.1754300000002</v>
      </c>
      <c r="M55" s="116">
        <f>SUM(M56:M65)</f>
        <v>4870</v>
      </c>
      <c r="N55" s="116">
        <f>SUM(N56:N65)</f>
        <v>2048.0680899999998</v>
      </c>
      <c r="O55" s="116">
        <f t="shared" si="67"/>
        <v>42.054786242299791</v>
      </c>
      <c r="P55" s="116">
        <f>N55-M55</f>
        <v>-2821.9319100000002</v>
      </c>
      <c r="Q55" s="116">
        <f>SUM(Q56:Q65)</f>
        <v>4728</v>
      </c>
      <c r="R55" s="116">
        <f>SUM(R56:R65)</f>
        <v>2030.5740000000001</v>
      </c>
      <c r="S55" s="116">
        <f>R55/Q55*100</f>
        <v>42.947842639593908</v>
      </c>
      <c r="T55" s="116">
        <f>R55-Q55</f>
        <v>-2697.4259999999999</v>
      </c>
      <c r="U55" s="116">
        <f>SUM(U56:U65)</f>
        <v>1025</v>
      </c>
      <c r="V55" s="116">
        <f>SUM(V56:V65)</f>
        <v>471.55060000000003</v>
      </c>
      <c r="W55" s="116">
        <f>V55/U55*100</f>
        <v>46.004936585365854</v>
      </c>
      <c r="X55" s="116">
        <f>V55-U55</f>
        <v>-553.44939999999997</v>
      </c>
      <c r="Y55" s="116">
        <f>SUM(Y56:Y65)</f>
        <v>3385</v>
      </c>
      <c r="Z55" s="116">
        <f>SUM(Z56:Z65)</f>
        <v>2208.2089400000004</v>
      </c>
      <c r="AA55" s="113">
        <f t="shared" si="69"/>
        <v>65.235123781388495</v>
      </c>
      <c r="AB55" s="114">
        <f t="shared" si="64"/>
        <v>-1176.7910599999996</v>
      </c>
      <c r="AC55" s="116">
        <f>SUM(AC56:AC65)</f>
        <v>2870</v>
      </c>
      <c r="AD55" s="116">
        <f>SUM(AD56:AD65)</f>
        <v>1452.0899199999999</v>
      </c>
      <c r="AE55" s="116">
        <f>AD55/AC55*100</f>
        <v>50.59546759581881</v>
      </c>
      <c r="AF55" s="116">
        <f>AD55-AC55</f>
        <v>-1417.9100800000001</v>
      </c>
      <c r="AG55" s="113">
        <f t="shared" si="3"/>
        <v>20773</v>
      </c>
      <c r="AH55" s="116">
        <f>AH56+AH57+AH58+AH59+AH60+AH61+AH62+AH63+AH64+AH65</f>
        <v>9820.4343700000009</v>
      </c>
      <c r="AI55" s="116">
        <f t="shared" si="71"/>
        <v>47.274993356761186</v>
      </c>
      <c r="AJ55" s="123">
        <f t="shared" si="61"/>
        <v>-10952.565629999999</v>
      </c>
      <c r="AK55" s="116">
        <f>SUM(AK56:AK65)</f>
        <v>375</v>
      </c>
      <c r="AL55" s="116">
        <f>SUM(AL56:AL65)</f>
        <v>82.114999999999995</v>
      </c>
      <c r="AM55" s="116">
        <f>AL55/AK55*100</f>
        <v>21.897333333333332</v>
      </c>
      <c r="AN55" s="116">
        <f>AL55-AK55</f>
        <v>-292.88499999999999</v>
      </c>
      <c r="AO55" s="116">
        <f>SUM(AO56:AO65)</f>
        <v>145</v>
      </c>
      <c r="AP55" s="116">
        <f>SUM(AP56:AP65)</f>
        <v>40.790999999999997</v>
      </c>
      <c r="AQ55" s="116">
        <f>AP55/AO55*100</f>
        <v>28.13172413793103</v>
      </c>
      <c r="AR55" s="116">
        <f>AP55-AO55</f>
        <v>-104.209</v>
      </c>
      <c r="AS55" s="116">
        <f>SUM(AS56:AS65)</f>
        <v>400</v>
      </c>
      <c r="AT55" s="116">
        <f>SUM(AT56:AT65)</f>
        <v>46.530660000000005</v>
      </c>
      <c r="AU55" s="116">
        <f t="shared" si="72"/>
        <v>11.632665000000001</v>
      </c>
      <c r="AV55" s="116">
        <f t="shared" si="73"/>
        <v>-353.46933999999999</v>
      </c>
      <c r="AW55" s="116">
        <f>SUM(AW56:AW65)</f>
        <v>380</v>
      </c>
      <c r="AX55" s="116">
        <f>SUM(AX56:AX65)</f>
        <v>74.473479999999995</v>
      </c>
      <c r="AY55" s="116">
        <f>AX55/AW55*100</f>
        <v>19.598284210526316</v>
      </c>
      <c r="AZ55" s="116">
        <f>AX55-AW55</f>
        <v>-305.52652</v>
      </c>
      <c r="BA55" s="113">
        <f t="shared" si="8"/>
        <v>1300</v>
      </c>
      <c r="BB55" s="116">
        <f>SUM(BB56:BB65)</f>
        <v>243.91014000000001</v>
      </c>
      <c r="BC55" s="116">
        <f>BB55/BA55*100</f>
        <v>18.762318461538463</v>
      </c>
      <c r="BD55" s="116">
        <f>BB55-BA55</f>
        <v>-1056.08986</v>
      </c>
      <c r="BE55" s="116">
        <f>SUM(BE56:BE65)</f>
        <v>0</v>
      </c>
      <c r="BF55" s="116">
        <f>SUM(BF56:BF65)</f>
        <v>23.528750000000002</v>
      </c>
      <c r="BG55" s="116" t="e">
        <f>BF55/BE55*100</f>
        <v>#DIV/0!</v>
      </c>
      <c r="BH55" s="116">
        <f>BF55-BE55</f>
        <v>23.528750000000002</v>
      </c>
      <c r="BI55" s="116">
        <f>SUM(BI56:BI65)</f>
        <v>0</v>
      </c>
      <c r="BJ55" s="116">
        <f>SUM(BJ56:BJ65)</f>
        <v>321.36653999999999</v>
      </c>
      <c r="BK55" s="116" t="e">
        <f>BJ55/BI55*100</f>
        <v>#DIV/0!</v>
      </c>
      <c r="BL55" s="116">
        <f>BJ55-BI55</f>
        <v>321.36653999999999</v>
      </c>
      <c r="BM55" s="116">
        <f>SUM(BM56:BM65)</f>
        <v>0</v>
      </c>
      <c r="BN55" s="116">
        <f>SUM(BN56:BN65)</f>
        <v>8.8775999999999993</v>
      </c>
      <c r="BO55" s="116"/>
      <c r="BP55" s="116">
        <f t="shared" si="74"/>
        <v>8.8775999999999993</v>
      </c>
      <c r="BQ55" s="154">
        <f>SUM(BQ56:BQ65)</f>
        <v>17.8</v>
      </c>
      <c r="BR55" s="154">
        <f>SUM(BR56:BR65)</f>
        <v>7.4499999999999993</v>
      </c>
      <c r="BS55" s="116">
        <f t="shared" si="75"/>
        <v>41.853932584269657</v>
      </c>
      <c r="BT55" s="123">
        <f t="shared" si="65"/>
        <v>-10.350000000000001</v>
      </c>
      <c r="BU55" s="116">
        <f>SUM(BU56:BU65)</f>
        <v>460</v>
      </c>
      <c r="BV55" s="154">
        <f>SUM(BV56:BV65)</f>
        <v>239.79</v>
      </c>
      <c r="BW55" s="117">
        <f>BV55/BU55*100</f>
        <v>52.12826086956521</v>
      </c>
      <c r="BX55" s="123">
        <f t="shared" si="20"/>
        <v>-220.21</v>
      </c>
      <c r="BY55" s="154">
        <f>SUM(BY56:BY65)</f>
        <v>6.5</v>
      </c>
      <c r="BZ55" s="154">
        <f>SUM(BZ56:BZ65)</f>
        <v>9.98</v>
      </c>
      <c r="CA55" s="117">
        <f>BZ55/BY55*100</f>
        <v>153.53846153846155</v>
      </c>
      <c r="CB55" s="123">
        <f>BZ55-BY55</f>
        <v>3.4800000000000004</v>
      </c>
      <c r="CC55" s="113">
        <f t="shared" si="35"/>
        <v>22557.3</v>
      </c>
      <c r="CD55" s="116">
        <f>CD56+CD57+CD58+CD59+CD60+CD61+CD62+CD63+CD64+CD65</f>
        <v>10675.337399999999</v>
      </c>
      <c r="CE55" s="116">
        <f t="shared" si="13"/>
        <v>47.3254219254964</v>
      </c>
      <c r="CF55" s="116">
        <f t="shared" si="14"/>
        <v>-11881.962600000001</v>
      </c>
      <c r="CG55" s="141">
        <v>32.200000000000003</v>
      </c>
      <c r="CH55" s="137">
        <f t="shared" si="16"/>
        <v>10675.3374</v>
      </c>
      <c r="CI55" s="137">
        <f t="shared" si="17"/>
        <v>22557.300000000003</v>
      </c>
      <c r="CK55" s="146">
        <f t="shared" si="15"/>
        <v>10675.3374</v>
      </c>
    </row>
    <row r="56" spans="1:89">
      <c r="A56" s="122"/>
      <c r="B56" s="866" t="s">
        <v>221</v>
      </c>
      <c r="C56" s="867"/>
      <c r="D56" s="868"/>
      <c r="E56" s="108">
        <v>850</v>
      </c>
      <c r="F56" s="108">
        <v>277.71125000000001</v>
      </c>
      <c r="G56" s="108">
        <f>F56/E56*100</f>
        <v>32.671911764705882</v>
      </c>
      <c r="H56" s="108">
        <f>F56-E56</f>
        <v>-572.28874999999994</v>
      </c>
      <c r="I56" s="108">
        <v>2500</v>
      </c>
      <c r="J56" s="108">
        <v>808.99824999999998</v>
      </c>
      <c r="K56" s="108">
        <f t="shared" si="76"/>
        <v>32.359929999999999</v>
      </c>
      <c r="L56" s="122">
        <f t="shared" si="66"/>
        <v>-1691.0017499999999</v>
      </c>
      <c r="M56" s="108">
        <v>4200</v>
      </c>
      <c r="N56" s="108">
        <v>1772.15509</v>
      </c>
      <c r="O56" s="108">
        <f t="shared" si="67"/>
        <v>42.194168809523809</v>
      </c>
      <c r="P56" s="122">
        <f t="shared" si="23"/>
        <v>-2427.8449099999998</v>
      </c>
      <c r="Q56" s="108">
        <v>4058</v>
      </c>
      <c r="R56" s="108">
        <v>1153.4000000000001</v>
      </c>
      <c r="S56" s="108">
        <f t="shared" si="68"/>
        <v>28.422868408082802</v>
      </c>
      <c r="T56" s="122">
        <f>R56-Q56</f>
        <v>-2904.6</v>
      </c>
      <c r="U56" s="108">
        <v>850</v>
      </c>
      <c r="V56" s="108">
        <v>297.70742000000001</v>
      </c>
      <c r="W56" s="108">
        <f>V56/U56*100</f>
        <v>35.024402352941181</v>
      </c>
      <c r="X56" s="122">
        <f>V56-U56</f>
        <v>-552.29258000000004</v>
      </c>
      <c r="Y56" s="108">
        <v>2950</v>
      </c>
      <c r="Z56" s="108">
        <v>1850.6519900000001</v>
      </c>
      <c r="AA56" s="108">
        <f t="shared" si="69"/>
        <v>62.733965762711861</v>
      </c>
      <c r="AB56" s="122">
        <f t="shared" si="64"/>
        <v>-1099.3480099999999</v>
      </c>
      <c r="AC56" s="108">
        <v>2500</v>
      </c>
      <c r="AD56" s="108">
        <v>1102.83943</v>
      </c>
      <c r="AE56" s="108">
        <f t="shared" si="70"/>
        <v>44.113577199999995</v>
      </c>
      <c r="AF56" s="122">
        <f>AD56-AC56</f>
        <v>-1397.16057</v>
      </c>
      <c r="AG56" s="106">
        <f t="shared" si="3"/>
        <v>17908</v>
      </c>
      <c r="AH56" s="108">
        <f t="shared" ref="AH56:AH65" si="77">F56+J56+N56+R56+V56+Z56+AD56</f>
        <v>7263.4634300000007</v>
      </c>
      <c r="AI56" s="108">
        <f t="shared" si="71"/>
        <v>40.559880667857946</v>
      </c>
      <c r="AJ56" s="122">
        <f t="shared" si="61"/>
        <v>-10644.53657</v>
      </c>
      <c r="AK56" s="108">
        <v>275</v>
      </c>
      <c r="AL56" s="108"/>
      <c r="AM56" s="108">
        <f>AL56/AK56*100</f>
        <v>0</v>
      </c>
      <c r="AN56" s="108">
        <f>AL56-AK56</f>
        <v>-275</v>
      </c>
      <c r="AO56" s="108">
        <v>75</v>
      </c>
      <c r="AP56" s="108">
        <v>6.4909999999999997</v>
      </c>
      <c r="AQ56" s="108"/>
      <c r="AR56" s="108">
        <f>AP56-AO56</f>
        <v>-68.509</v>
      </c>
      <c r="AS56" s="108">
        <v>250</v>
      </c>
      <c r="AT56" s="108"/>
      <c r="AU56" s="108">
        <f t="shared" si="72"/>
        <v>0</v>
      </c>
      <c r="AV56" s="108">
        <f t="shared" si="73"/>
        <v>-250</v>
      </c>
      <c r="AW56" s="108">
        <v>280</v>
      </c>
      <c r="AX56" s="108"/>
      <c r="AY56" s="108"/>
      <c r="AZ56" s="108">
        <f>AX56-AW56</f>
        <v>-280</v>
      </c>
      <c r="BA56" s="106">
        <f t="shared" si="8"/>
        <v>880</v>
      </c>
      <c r="BB56" s="108">
        <f t="shared" ref="BB56:BB65" si="78">AL56+AP56+AT56+AX56</f>
        <v>6.4909999999999997</v>
      </c>
      <c r="BC56" s="108">
        <f>BB56/BA56*100</f>
        <v>0.7376136363636363</v>
      </c>
      <c r="BD56" s="108">
        <f>BB56-BA56</f>
        <v>-873.50900000000001</v>
      </c>
      <c r="BE56" s="108"/>
      <c r="BF56" s="108">
        <v>12.02875</v>
      </c>
      <c r="BG56" s="108"/>
      <c r="BH56" s="108">
        <f>BF56-BE56</f>
        <v>12.02875</v>
      </c>
      <c r="BI56" s="108"/>
      <c r="BJ56" s="108">
        <v>15.596539999999999</v>
      </c>
      <c r="BK56" s="108"/>
      <c r="BL56" s="108">
        <f>BJ56-BI56</f>
        <v>15.596539999999999</v>
      </c>
      <c r="BM56" s="108"/>
      <c r="BN56" s="108"/>
      <c r="BO56" s="108"/>
      <c r="BP56" s="108">
        <f t="shared" si="74"/>
        <v>0</v>
      </c>
      <c r="BQ56" s="108"/>
      <c r="BR56" s="108"/>
      <c r="BS56" s="108"/>
      <c r="BT56" s="122">
        <f t="shared" si="65"/>
        <v>0</v>
      </c>
      <c r="BU56" s="108"/>
      <c r="BV56" s="153"/>
      <c r="BW56" s="110"/>
      <c r="BX56" s="122">
        <f t="shared" si="20"/>
        <v>0</v>
      </c>
      <c r="BY56" s="122"/>
      <c r="BZ56" s="156"/>
      <c r="CA56" s="122"/>
      <c r="CB56" s="122"/>
      <c r="CC56" s="106">
        <f t="shared" si="35"/>
        <v>18788</v>
      </c>
      <c r="CD56" s="108">
        <f>R56+V56+Z56+AD56+BR56+BV56+F56+J56+N56+AL56+BZ56+AP56+AT56+AX56+BF56+BJ56</f>
        <v>7297.5797200000006</v>
      </c>
      <c r="CE56" s="108">
        <f t="shared" si="13"/>
        <v>38.841705982542052</v>
      </c>
      <c r="CF56" s="108">
        <f t="shared" si="14"/>
        <v>-11490.420279999998</v>
      </c>
      <c r="CH56" s="142">
        <f t="shared" si="16"/>
        <v>7297.5797200000006</v>
      </c>
      <c r="CI56" s="137">
        <f t="shared" si="17"/>
        <v>18788</v>
      </c>
      <c r="CK56" s="146">
        <f t="shared" si="15"/>
        <v>7297.5797200000006</v>
      </c>
    </row>
    <row r="57" spans="1:89">
      <c r="A57" s="122"/>
      <c r="B57" s="866" t="s">
        <v>455</v>
      </c>
      <c r="C57" s="867"/>
      <c r="D57" s="868"/>
      <c r="E57" s="108">
        <v>100</v>
      </c>
      <c r="F57" s="108">
        <v>88.147000000000006</v>
      </c>
      <c r="G57" s="108"/>
      <c r="H57" s="108">
        <f>F57-E57</f>
        <v>-11.852999999999994</v>
      </c>
      <c r="I57" s="108">
        <v>200</v>
      </c>
      <c r="J57" s="108">
        <v>288.42732000000001</v>
      </c>
      <c r="K57" s="108">
        <f t="shared" si="76"/>
        <v>144.21366</v>
      </c>
      <c r="L57" s="122">
        <f t="shared" si="66"/>
        <v>88.427320000000009</v>
      </c>
      <c r="M57" s="108">
        <v>450</v>
      </c>
      <c r="N57" s="108">
        <v>263.50200000000001</v>
      </c>
      <c r="O57" s="108">
        <f t="shared" si="67"/>
        <v>58.555999999999997</v>
      </c>
      <c r="P57" s="122">
        <f t="shared" si="23"/>
        <v>-186.49799999999999</v>
      </c>
      <c r="Q57" s="108">
        <v>450</v>
      </c>
      <c r="R57" s="108">
        <v>713.35</v>
      </c>
      <c r="S57" s="108">
        <f t="shared" si="68"/>
        <v>158.52222222222224</v>
      </c>
      <c r="T57" s="122">
        <f>R57-Q57</f>
        <v>263.35000000000002</v>
      </c>
      <c r="U57" s="108">
        <v>100</v>
      </c>
      <c r="V57" s="108">
        <v>129.72718</v>
      </c>
      <c r="W57" s="108">
        <f>V57/U57*100</f>
        <v>129.72718</v>
      </c>
      <c r="X57" s="122">
        <f>V57-U57</f>
        <v>29.727180000000004</v>
      </c>
      <c r="Y57" s="108">
        <v>250</v>
      </c>
      <c r="Z57" s="108">
        <v>289.99400000000003</v>
      </c>
      <c r="AA57" s="108">
        <f t="shared" si="69"/>
        <v>115.99760000000001</v>
      </c>
      <c r="AB57" s="122">
        <f t="shared" si="64"/>
        <v>39.994000000000028</v>
      </c>
      <c r="AC57" s="108">
        <v>200</v>
      </c>
      <c r="AD57" s="108">
        <v>119.36112</v>
      </c>
      <c r="AE57" s="108">
        <f t="shared" si="70"/>
        <v>59.680560000000007</v>
      </c>
      <c r="AF57" s="122">
        <f>AD57-AC57</f>
        <v>-80.63888</v>
      </c>
      <c r="AG57" s="106">
        <f t="shared" si="3"/>
        <v>1750</v>
      </c>
      <c r="AH57" s="108">
        <f t="shared" si="77"/>
        <v>1892.5086200000001</v>
      </c>
      <c r="AI57" s="108">
        <f t="shared" si="71"/>
        <v>108.14334971428572</v>
      </c>
      <c r="AJ57" s="122">
        <f t="shared" si="61"/>
        <v>142.50862000000006</v>
      </c>
      <c r="AK57" s="108"/>
      <c r="AL57" s="108">
        <f>31.95+2.332</f>
        <v>34.281999999999996</v>
      </c>
      <c r="AM57" s="108" t="e">
        <f>AL57/AK57*100</f>
        <v>#DIV/0!</v>
      </c>
      <c r="AN57" s="108">
        <f>AL57-AK57</f>
        <v>34.281999999999996</v>
      </c>
      <c r="AO57" s="108"/>
      <c r="AP57" s="108">
        <v>5.5</v>
      </c>
      <c r="AQ57" s="108" t="e">
        <f>AP57/AO57*100</f>
        <v>#DIV/0!</v>
      </c>
      <c r="AR57" s="108">
        <f>AP57-AO57</f>
        <v>5.5</v>
      </c>
      <c r="AS57" s="108"/>
      <c r="AT57" s="108">
        <v>11.505000000000001</v>
      </c>
      <c r="AU57" s="108" t="e">
        <f t="shared" si="72"/>
        <v>#DIV/0!</v>
      </c>
      <c r="AV57" s="108">
        <f t="shared" si="73"/>
        <v>11.505000000000001</v>
      </c>
      <c r="AW57" s="108"/>
      <c r="AX57" s="108">
        <v>57.415480000000002</v>
      </c>
      <c r="AY57" s="108" t="e">
        <f>AX57/AW57*100</f>
        <v>#DIV/0!</v>
      </c>
      <c r="AZ57" s="108">
        <f>AX57-AW57</f>
        <v>57.415480000000002</v>
      </c>
      <c r="BA57" s="106">
        <f t="shared" si="8"/>
        <v>0</v>
      </c>
      <c r="BB57" s="108">
        <f t="shared" si="78"/>
        <v>108.70248000000001</v>
      </c>
      <c r="BC57" s="108" t="e">
        <f>BB57/BA57*100</f>
        <v>#DIV/0!</v>
      </c>
      <c r="BD57" s="108">
        <f>BB57-BA57</f>
        <v>108.70248000000001</v>
      </c>
      <c r="BE57" s="108"/>
      <c r="BF57" s="108">
        <v>9</v>
      </c>
      <c r="BG57" s="108" t="e">
        <f>BF57/BE57*100</f>
        <v>#DIV/0!</v>
      </c>
      <c r="BH57" s="108">
        <f>BF57-BE57</f>
        <v>9</v>
      </c>
      <c r="BI57" s="108"/>
      <c r="BJ57" s="108">
        <v>128.51187999999999</v>
      </c>
      <c r="BK57" s="108" t="e">
        <f>BJ57/BI57*100</f>
        <v>#DIV/0!</v>
      </c>
      <c r="BL57" s="108">
        <f>BJ57-BI57</f>
        <v>128.51187999999999</v>
      </c>
      <c r="BM57" s="108"/>
      <c r="BN57" s="108">
        <v>8.8775999999999993</v>
      </c>
      <c r="BO57" s="108"/>
      <c r="BP57" s="108">
        <f t="shared" si="74"/>
        <v>8.8775999999999993</v>
      </c>
      <c r="BQ57" s="153">
        <v>7.8</v>
      </c>
      <c r="BR57" s="153">
        <v>1.1499999999999999</v>
      </c>
      <c r="BS57" s="108">
        <f t="shared" si="75"/>
        <v>14.743589743589745</v>
      </c>
      <c r="BT57" s="122">
        <f t="shared" si="65"/>
        <v>-6.65</v>
      </c>
      <c r="BU57" s="108">
        <v>85</v>
      </c>
      <c r="BV57" s="153">
        <v>33.799999999999997</v>
      </c>
      <c r="BW57" s="110">
        <f>BV57/BU57*100</f>
        <v>39.764705882352935</v>
      </c>
      <c r="BX57" s="122">
        <f t="shared" si="20"/>
        <v>-51.2</v>
      </c>
      <c r="BY57" s="156">
        <v>6.5</v>
      </c>
      <c r="BZ57" s="156">
        <v>8.32</v>
      </c>
      <c r="CA57" s="122"/>
      <c r="CB57" s="122"/>
      <c r="CC57" s="106">
        <f t="shared" si="35"/>
        <v>1849.3</v>
      </c>
      <c r="CD57" s="108">
        <f>R57+V57+Z57+AD57+BR57+BV57+F57+J57+N57+AL57+BZ57+AP57+AT57+AX57+BF57+BJ57+BN57</f>
        <v>2190.8705799999998</v>
      </c>
      <c r="CE57" s="108">
        <f t="shared" si="13"/>
        <v>118.47026334288648</v>
      </c>
      <c r="CF57" s="108">
        <f t="shared" si="14"/>
        <v>341.57057999999984</v>
      </c>
      <c r="CH57" s="142">
        <f t="shared" si="16"/>
        <v>2190.8705800000002</v>
      </c>
      <c r="CI57" s="137">
        <f t="shared" si="17"/>
        <v>1849.3000000000002</v>
      </c>
      <c r="CK57" s="146">
        <f t="shared" si="15"/>
        <v>2190.8705800000002</v>
      </c>
    </row>
    <row r="58" spans="1:89">
      <c r="A58" s="122"/>
      <c r="B58" s="866" t="s">
        <v>222</v>
      </c>
      <c r="C58" s="867"/>
      <c r="D58" s="868"/>
      <c r="E58" s="108">
        <v>15</v>
      </c>
      <c r="F58" s="108">
        <v>3.26</v>
      </c>
      <c r="G58" s="108">
        <f>F58/E58*100</f>
        <v>21.733333333333331</v>
      </c>
      <c r="H58" s="108">
        <f t="shared" ref="H58:H65" si="79">F58-E58</f>
        <v>-11.74</v>
      </c>
      <c r="I58" s="108">
        <v>20</v>
      </c>
      <c r="J58" s="108">
        <v>23.530999999999999</v>
      </c>
      <c r="K58" s="108">
        <f t="shared" si="76"/>
        <v>117.655</v>
      </c>
      <c r="L58" s="122">
        <f t="shared" si="66"/>
        <v>3.5309999999999988</v>
      </c>
      <c r="M58" s="108">
        <v>30</v>
      </c>
      <c r="N58" s="108">
        <v>12.411</v>
      </c>
      <c r="O58" s="108">
        <f t="shared" si="67"/>
        <v>41.370000000000005</v>
      </c>
      <c r="P58" s="122">
        <f t="shared" si="23"/>
        <v>-17.588999999999999</v>
      </c>
      <c r="Q58" s="108">
        <v>30</v>
      </c>
      <c r="R58" s="108">
        <v>8.1890000000000001</v>
      </c>
      <c r="S58" s="108">
        <f>R58/Q58*100</f>
        <v>27.29666666666667</v>
      </c>
      <c r="T58" s="122">
        <f t="shared" ref="T58:T65" si="80">R58-Q58</f>
        <v>-21.811</v>
      </c>
      <c r="U58" s="108">
        <v>15</v>
      </c>
      <c r="V58" s="108"/>
      <c r="W58" s="108">
        <f>V58/U58*100</f>
        <v>0</v>
      </c>
      <c r="X58" s="122">
        <f t="shared" ref="X58:X65" si="81">V58-U58</f>
        <v>-15</v>
      </c>
      <c r="Y58" s="108">
        <v>25</v>
      </c>
      <c r="Z58" s="108">
        <v>1.8</v>
      </c>
      <c r="AA58" s="108">
        <f t="shared" si="69"/>
        <v>7.2000000000000011</v>
      </c>
      <c r="AB58" s="122">
        <f t="shared" si="64"/>
        <v>-23.2</v>
      </c>
      <c r="AC58" s="108">
        <v>20</v>
      </c>
      <c r="AD58" s="108"/>
      <c r="AE58" s="108">
        <f t="shared" si="70"/>
        <v>0</v>
      </c>
      <c r="AF58" s="122">
        <f>AD58-AC58</f>
        <v>-20</v>
      </c>
      <c r="AG58" s="106">
        <f t="shared" si="3"/>
        <v>155</v>
      </c>
      <c r="AH58" s="108">
        <f t="shared" si="77"/>
        <v>49.190999999999995</v>
      </c>
      <c r="AI58" s="108">
        <f t="shared" si="71"/>
        <v>31.736129032258059</v>
      </c>
      <c r="AJ58" s="122">
        <f t="shared" si="61"/>
        <v>-105.809</v>
      </c>
      <c r="AK58" s="108"/>
      <c r="AL58" s="108"/>
      <c r="AM58" s="108"/>
      <c r="AN58" s="108">
        <f t="shared" ref="AN58:AN65" si="82">AL58-AK58</f>
        <v>0</v>
      </c>
      <c r="AO58" s="108"/>
      <c r="AP58" s="108"/>
      <c r="AQ58" s="108"/>
      <c r="AR58" s="108">
        <f t="shared" ref="AR58:AR65" si="83">AP58-AO58</f>
        <v>0</v>
      </c>
      <c r="AS58" s="108"/>
      <c r="AT58" s="108"/>
      <c r="AU58" s="108"/>
      <c r="AV58" s="108">
        <f t="shared" ref="AV58:AV65" si="84">AT58-AS58</f>
        <v>0</v>
      </c>
      <c r="AW58" s="108"/>
      <c r="AX58" s="108">
        <v>2.3879999999999999</v>
      </c>
      <c r="AY58" s="108"/>
      <c r="AZ58" s="108">
        <f t="shared" ref="AZ58:AZ65" si="85">AX58-AW58</f>
        <v>2.3879999999999999</v>
      </c>
      <c r="BA58" s="106">
        <f t="shared" si="8"/>
        <v>0</v>
      </c>
      <c r="BB58" s="108">
        <f t="shared" si="78"/>
        <v>2.3879999999999999</v>
      </c>
      <c r="BC58" s="108"/>
      <c r="BD58" s="108">
        <f t="shared" ref="BD58:BD65" si="86">BB58-BA58</f>
        <v>2.3879999999999999</v>
      </c>
      <c r="BE58" s="108"/>
      <c r="BF58" s="108">
        <v>2.5</v>
      </c>
      <c r="BG58" s="108"/>
      <c r="BH58" s="108">
        <f t="shared" ref="BH58:BH65" si="87">BF58-BE58</f>
        <v>2.5</v>
      </c>
      <c r="BI58" s="108"/>
      <c r="BJ58" s="108"/>
      <c r="BK58" s="108"/>
      <c r="BL58" s="108">
        <f t="shared" ref="BL58:BL65" si="88">BJ58-BI58</f>
        <v>0</v>
      </c>
      <c r="BM58" s="108"/>
      <c r="BN58" s="108"/>
      <c r="BO58" s="108"/>
      <c r="BP58" s="108">
        <f t="shared" ref="BP58:BP65" si="89">BN58-BM58</f>
        <v>0</v>
      </c>
      <c r="BQ58" s="108"/>
      <c r="BR58" s="108"/>
      <c r="BS58" s="108"/>
      <c r="BT58" s="122"/>
      <c r="BU58" s="108"/>
      <c r="BV58" s="153"/>
      <c r="BW58" s="110"/>
      <c r="BX58" s="122">
        <f t="shared" si="20"/>
        <v>0</v>
      </c>
      <c r="BY58" s="122"/>
      <c r="BZ58" s="122"/>
      <c r="CA58" s="122"/>
      <c r="CB58" s="122"/>
      <c r="CC58" s="106">
        <f t="shared" si="35"/>
        <v>155</v>
      </c>
      <c r="CD58" s="108">
        <f>R58+V58+Z58+AD58+BR58+BV58+F58+J58+N58+AL58+BZ58+AP58+AT58+AX58+BF58+BJ58+BN58</f>
        <v>54.079000000000001</v>
      </c>
      <c r="CE58" s="108">
        <f t="shared" si="13"/>
        <v>34.88967741935484</v>
      </c>
      <c r="CF58" s="108">
        <f t="shared" si="14"/>
        <v>-100.92099999999999</v>
      </c>
      <c r="CH58" s="142">
        <f t="shared" si="16"/>
        <v>54.078999999999994</v>
      </c>
      <c r="CI58" s="137">
        <f t="shared" si="17"/>
        <v>155</v>
      </c>
      <c r="CK58" s="146">
        <f t="shared" si="15"/>
        <v>54.078999999999994</v>
      </c>
    </row>
    <row r="59" spans="1:89">
      <c r="A59" s="122"/>
      <c r="B59" s="866" t="s">
        <v>223</v>
      </c>
      <c r="C59" s="867"/>
      <c r="D59" s="868"/>
      <c r="E59" s="108">
        <v>20</v>
      </c>
      <c r="F59" s="108"/>
      <c r="G59" s="108">
        <f>F59/E59*100</f>
        <v>0</v>
      </c>
      <c r="H59" s="108">
        <f t="shared" si="79"/>
        <v>-20</v>
      </c>
      <c r="I59" s="108">
        <v>50</v>
      </c>
      <c r="J59" s="108">
        <v>103</v>
      </c>
      <c r="K59" s="108">
        <f t="shared" si="76"/>
        <v>206</v>
      </c>
      <c r="L59" s="122">
        <f t="shared" ref="L59:L65" si="90">J59-I59</f>
        <v>53</v>
      </c>
      <c r="M59" s="108">
        <v>70</v>
      </c>
      <c r="N59" s="108"/>
      <c r="O59" s="108">
        <f t="shared" si="67"/>
        <v>0</v>
      </c>
      <c r="P59" s="122">
        <f t="shared" ref="P59:P65" si="91">N59-M59</f>
        <v>-70</v>
      </c>
      <c r="Q59" s="108">
        <v>70</v>
      </c>
      <c r="R59" s="108">
        <v>108.036</v>
      </c>
      <c r="S59" s="108">
        <f>R59/Q59*100</f>
        <v>154.33714285714285</v>
      </c>
      <c r="T59" s="122">
        <f t="shared" si="80"/>
        <v>38.036000000000001</v>
      </c>
      <c r="U59" s="108">
        <v>20</v>
      </c>
      <c r="V59" s="108"/>
      <c r="W59" s="108"/>
      <c r="X59" s="122">
        <f t="shared" si="81"/>
        <v>-20</v>
      </c>
      <c r="Y59" s="108">
        <v>60</v>
      </c>
      <c r="Z59" s="108">
        <v>17.565950000000001</v>
      </c>
      <c r="AA59" s="108"/>
      <c r="AB59" s="122">
        <f t="shared" ref="AB59:AB65" si="92">Z59-Y59</f>
        <v>-42.434049999999999</v>
      </c>
      <c r="AC59" s="108">
        <v>50</v>
      </c>
      <c r="AD59" s="108">
        <v>56.37</v>
      </c>
      <c r="AE59" s="108">
        <f>AD59/AC59*100</f>
        <v>112.74</v>
      </c>
      <c r="AF59" s="122">
        <f t="shared" ref="AF59:AF65" si="93">AD59-AC59</f>
        <v>6.3699999999999974</v>
      </c>
      <c r="AG59" s="106">
        <f t="shared" si="3"/>
        <v>340</v>
      </c>
      <c r="AH59" s="108">
        <f t="shared" si="77"/>
        <v>284.97194999999999</v>
      </c>
      <c r="AI59" s="108">
        <f t="shared" ref="AI59:AI66" si="94">AH59/AG59*100</f>
        <v>83.815279411764692</v>
      </c>
      <c r="AJ59" s="122">
        <f t="shared" si="61"/>
        <v>-55.028050000000007</v>
      </c>
      <c r="AK59" s="108"/>
      <c r="AL59" s="108">
        <v>21.9</v>
      </c>
      <c r="AM59" s="108"/>
      <c r="AN59" s="108">
        <f t="shared" si="82"/>
        <v>21.9</v>
      </c>
      <c r="AO59" s="108"/>
      <c r="AP59" s="108"/>
      <c r="AQ59" s="108"/>
      <c r="AR59" s="108">
        <f t="shared" si="83"/>
        <v>0</v>
      </c>
      <c r="AS59" s="108"/>
      <c r="AT59" s="108"/>
      <c r="AU59" s="108"/>
      <c r="AV59" s="108">
        <f t="shared" si="84"/>
        <v>0</v>
      </c>
      <c r="AW59" s="108"/>
      <c r="AX59" s="108">
        <v>14.67</v>
      </c>
      <c r="AY59" s="108" t="e">
        <f>AX59/AW59*100</f>
        <v>#DIV/0!</v>
      </c>
      <c r="AZ59" s="108">
        <f t="shared" si="85"/>
        <v>14.67</v>
      </c>
      <c r="BA59" s="106">
        <f t="shared" si="8"/>
        <v>0</v>
      </c>
      <c r="BB59" s="108">
        <f t="shared" si="78"/>
        <v>36.57</v>
      </c>
      <c r="BC59" s="108" t="e">
        <f>BB59/BA59*100</f>
        <v>#DIV/0!</v>
      </c>
      <c r="BD59" s="108">
        <f t="shared" si="86"/>
        <v>36.57</v>
      </c>
      <c r="BE59" s="108"/>
      <c r="BF59" s="108"/>
      <c r="BG59" s="108"/>
      <c r="BH59" s="108">
        <f t="shared" si="87"/>
        <v>0</v>
      </c>
      <c r="BI59" s="108"/>
      <c r="BJ59" s="108">
        <v>177.25811999999999</v>
      </c>
      <c r="BK59" s="108"/>
      <c r="BL59" s="108">
        <f t="shared" si="88"/>
        <v>177.25811999999999</v>
      </c>
      <c r="BM59" s="108"/>
      <c r="BN59" s="108"/>
      <c r="BO59" s="108"/>
      <c r="BP59" s="108">
        <f t="shared" si="89"/>
        <v>0</v>
      </c>
      <c r="BQ59" s="108"/>
      <c r="BR59" s="108"/>
      <c r="BS59" s="108"/>
      <c r="BT59" s="122"/>
      <c r="BU59" s="108">
        <v>50</v>
      </c>
      <c r="BV59" s="153">
        <v>21.195</v>
      </c>
      <c r="BW59" s="110"/>
      <c r="BX59" s="122">
        <f t="shared" si="20"/>
        <v>-28.805</v>
      </c>
      <c r="BY59" s="122"/>
      <c r="BZ59" s="122"/>
      <c r="CA59" s="122"/>
      <c r="CB59" s="122"/>
      <c r="CC59" s="106">
        <f t="shared" si="35"/>
        <v>390</v>
      </c>
      <c r="CD59" s="108">
        <f>R59+V59+Z59+AD59+BR59+BV59+F59+J59+N59+AL59+BZ59+AP59+AT59+AX59+BF59+BJ59+BN59</f>
        <v>519.99506999999994</v>
      </c>
      <c r="CE59" s="108">
        <f t="shared" si="13"/>
        <v>133.33206923076921</v>
      </c>
      <c r="CF59" s="108">
        <f t="shared" si="14"/>
        <v>129.99506999999994</v>
      </c>
      <c r="CH59" s="142">
        <f t="shared" si="16"/>
        <v>519.99507000000006</v>
      </c>
      <c r="CI59" s="137">
        <f t="shared" si="17"/>
        <v>390</v>
      </c>
      <c r="CK59" s="146">
        <f t="shared" si="15"/>
        <v>519.99507000000006</v>
      </c>
    </row>
    <row r="60" spans="1:89">
      <c r="A60" s="122"/>
      <c r="B60" s="866" t="s">
        <v>224</v>
      </c>
      <c r="C60" s="867"/>
      <c r="D60" s="868"/>
      <c r="E60" s="108">
        <v>40</v>
      </c>
      <c r="F60" s="108"/>
      <c r="G60" s="108"/>
      <c r="H60" s="108">
        <f t="shared" si="79"/>
        <v>-40</v>
      </c>
      <c r="I60" s="108">
        <v>100</v>
      </c>
      <c r="J60" s="108">
        <v>16.867999999999999</v>
      </c>
      <c r="K60" s="108">
        <f t="shared" si="76"/>
        <v>16.867999999999999</v>
      </c>
      <c r="L60" s="122">
        <f t="shared" si="90"/>
        <v>-83.132000000000005</v>
      </c>
      <c r="M60" s="108">
        <v>120</v>
      </c>
      <c r="N60" s="108"/>
      <c r="O60" s="108"/>
      <c r="P60" s="122">
        <f t="shared" si="91"/>
        <v>-120</v>
      </c>
      <c r="Q60" s="108">
        <v>120</v>
      </c>
      <c r="R60" s="108">
        <v>47.598999999999997</v>
      </c>
      <c r="S60" s="108"/>
      <c r="T60" s="122">
        <f t="shared" si="80"/>
        <v>-72.40100000000001</v>
      </c>
      <c r="U60" s="108">
        <v>40</v>
      </c>
      <c r="V60" s="108">
        <v>44.116</v>
      </c>
      <c r="W60" s="108"/>
      <c r="X60" s="122">
        <f t="shared" si="81"/>
        <v>4.1159999999999997</v>
      </c>
      <c r="Y60" s="108">
        <v>100</v>
      </c>
      <c r="Z60" s="108">
        <v>48.197000000000003</v>
      </c>
      <c r="AA60" s="108"/>
      <c r="AB60" s="122">
        <f t="shared" si="92"/>
        <v>-51.802999999999997</v>
      </c>
      <c r="AC60" s="108">
        <v>100</v>
      </c>
      <c r="AD60" s="108">
        <v>173.51937000000001</v>
      </c>
      <c r="AE60" s="108">
        <f>AD60/AC60*100</f>
        <v>173.51937000000001</v>
      </c>
      <c r="AF60" s="122">
        <f t="shared" si="93"/>
        <v>73.519370000000009</v>
      </c>
      <c r="AG60" s="106">
        <f t="shared" si="3"/>
        <v>620</v>
      </c>
      <c r="AH60" s="108">
        <f t="shared" si="77"/>
        <v>330.29937000000001</v>
      </c>
      <c r="AI60" s="108"/>
      <c r="AJ60" s="122">
        <f t="shared" si="61"/>
        <v>-289.70062999999999</v>
      </c>
      <c r="AK60" s="108">
        <v>100</v>
      </c>
      <c r="AL60" s="108">
        <v>25.933</v>
      </c>
      <c r="AM60" s="108"/>
      <c r="AN60" s="108">
        <f t="shared" si="82"/>
        <v>-74.067000000000007</v>
      </c>
      <c r="AO60" s="108">
        <v>70</v>
      </c>
      <c r="AP60" s="108">
        <v>28.8</v>
      </c>
      <c r="AQ60" s="108"/>
      <c r="AR60" s="108">
        <f t="shared" si="83"/>
        <v>-41.2</v>
      </c>
      <c r="AS60" s="108">
        <v>150</v>
      </c>
      <c r="AT60" s="108">
        <v>35.025660000000002</v>
      </c>
      <c r="AU60" s="108"/>
      <c r="AV60" s="108">
        <f t="shared" si="84"/>
        <v>-114.97434</v>
      </c>
      <c r="AW60" s="108">
        <v>100</v>
      </c>
      <c r="AX60" s="108"/>
      <c r="AY60" s="108"/>
      <c r="AZ60" s="108">
        <f t="shared" si="85"/>
        <v>-100</v>
      </c>
      <c r="BA60" s="106">
        <f t="shared" si="8"/>
        <v>420</v>
      </c>
      <c r="BB60" s="108">
        <f t="shared" si="78"/>
        <v>89.758660000000006</v>
      </c>
      <c r="BC60" s="108"/>
      <c r="BD60" s="108">
        <f t="shared" si="86"/>
        <v>-330.24133999999998</v>
      </c>
      <c r="BE60" s="108"/>
      <c r="BF60" s="108"/>
      <c r="BG60" s="108"/>
      <c r="BH60" s="108">
        <f t="shared" si="87"/>
        <v>0</v>
      </c>
      <c r="BI60" s="108"/>
      <c r="BJ60" s="108"/>
      <c r="BK60" s="108"/>
      <c r="BL60" s="108">
        <f t="shared" si="88"/>
        <v>0</v>
      </c>
      <c r="BM60" s="108"/>
      <c r="BN60" s="108"/>
      <c r="BO60" s="108"/>
      <c r="BP60" s="108">
        <f t="shared" si="89"/>
        <v>0</v>
      </c>
      <c r="BQ60" s="108">
        <v>10</v>
      </c>
      <c r="BR60" s="108">
        <v>6.3</v>
      </c>
      <c r="BS60" s="108"/>
      <c r="BT60" s="122"/>
      <c r="BU60" s="108">
        <v>130</v>
      </c>
      <c r="BV60" s="153">
        <v>39.83</v>
      </c>
      <c r="BW60" s="110"/>
      <c r="BX60" s="122"/>
      <c r="BY60" s="122"/>
      <c r="BZ60" s="122"/>
      <c r="CA60" s="122"/>
      <c r="CB60" s="122"/>
      <c r="CC60" s="106">
        <f t="shared" si="35"/>
        <v>1180</v>
      </c>
      <c r="CD60" s="108">
        <f t="shared" ref="CD60:CD65" si="95">R60+V60+Z60+AD60+BR60+BV60+F60+J60+N60+AL60+BZ60+AP60+AT60+AX60+BF60</f>
        <v>466.18803000000003</v>
      </c>
      <c r="CE60" s="108">
        <f>CD60/CC60*100</f>
        <v>39.507460169491523</v>
      </c>
      <c r="CF60" s="108">
        <f>CD60-CC60</f>
        <v>-713.81196999999997</v>
      </c>
      <c r="CH60" s="142">
        <f t="shared" si="16"/>
        <v>466.18803000000003</v>
      </c>
      <c r="CI60" s="137">
        <f t="shared" si="17"/>
        <v>1180</v>
      </c>
      <c r="CK60" s="146">
        <f t="shared" si="15"/>
        <v>466.18803000000003</v>
      </c>
    </row>
    <row r="61" spans="1:89" hidden="1">
      <c r="A61" s="122"/>
      <c r="B61" s="866" t="s">
        <v>225</v>
      </c>
      <c r="C61" s="867"/>
      <c r="D61" s="868"/>
      <c r="E61" s="108"/>
      <c r="F61" s="108"/>
      <c r="G61" s="108"/>
      <c r="H61" s="108">
        <f t="shared" si="79"/>
        <v>0</v>
      </c>
      <c r="I61" s="108"/>
      <c r="J61" s="108"/>
      <c r="K61" s="108"/>
      <c r="L61" s="122">
        <f t="shared" si="90"/>
        <v>0</v>
      </c>
      <c r="M61" s="108"/>
      <c r="N61" s="108"/>
      <c r="O61" s="108"/>
      <c r="P61" s="122">
        <f t="shared" si="91"/>
        <v>0</v>
      </c>
      <c r="Q61" s="108"/>
      <c r="R61" s="108"/>
      <c r="S61" s="108"/>
      <c r="T61" s="122">
        <f t="shared" si="80"/>
        <v>0</v>
      </c>
      <c r="U61" s="108"/>
      <c r="V61" s="108"/>
      <c r="W61" s="108"/>
      <c r="X61" s="122">
        <f t="shared" si="81"/>
        <v>0</v>
      </c>
      <c r="Y61" s="108"/>
      <c r="Z61" s="108"/>
      <c r="AA61" s="108"/>
      <c r="AB61" s="122">
        <f t="shared" si="92"/>
        <v>0</v>
      </c>
      <c r="AC61" s="108"/>
      <c r="AD61" s="108"/>
      <c r="AE61" s="108"/>
      <c r="AF61" s="122">
        <f t="shared" si="93"/>
        <v>0</v>
      </c>
      <c r="AG61" s="106">
        <f t="shared" si="3"/>
        <v>0</v>
      </c>
      <c r="AH61" s="108">
        <f t="shared" si="77"/>
        <v>0</v>
      </c>
      <c r="AI61" s="108" t="e">
        <f t="shared" si="94"/>
        <v>#DIV/0!</v>
      </c>
      <c r="AJ61" s="122">
        <f t="shared" si="61"/>
        <v>0</v>
      </c>
      <c r="AK61" s="108"/>
      <c r="AL61" s="108"/>
      <c r="AM61" s="108"/>
      <c r="AN61" s="108">
        <f t="shared" si="82"/>
        <v>0</v>
      </c>
      <c r="AO61" s="108"/>
      <c r="AP61" s="108"/>
      <c r="AQ61" s="108"/>
      <c r="AR61" s="108">
        <f t="shared" si="83"/>
        <v>0</v>
      </c>
      <c r="AS61" s="108"/>
      <c r="AT61" s="108"/>
      <c r="AU61" s="108"/>
      <c r="AV61" s="108">
        <f t="shared" si="84"/>
        <v>0</v>
      </c>
      <c r="AW61" s="108"/>
      <c r="AX61" s="108"/>
      <c r="AY61" s="108"/>
      <c r="AZ61" s="108">
        <f t="shared" si="85"/>
        <v>0</v>
      </c>
      <c r="BA61" s="106">
        <f t="shared" si="8"/>
        <v>0</v>
      </c>
      <c r="BB61" s="108">
        <f t="shared" si="78"/>
        <v>0</v>
      </c>
      <c r="BC61" s="108"/>
      <c r="BD61" s="108">
        <f t="shared" si="86"/>
        <v>0</v>
      </c>
      <c r="BE61" s="108"/>
      <c r="BF61" s="108"/>
      <c r="BG61" s="108"/>
      <c r="BH61" s="108">
        <f t="shared" si="87"/>
        <v>0</v>
      </c>
      <c r="BI61" s="108"/>
      <c r="BJ61" s="108"/>
      <c r="BK61" s="108"/>
      <c r="BL61" s="108">
        <f t="shared" si="88"/>
        <v>0</v>
      </c>
      <c r="BM61" s="108"/>
      <c r="BN61" s="108"/>
      <c r="BO61" s="108"/>
      <c r="BP61" s="108">
        <f t="shared" si="89"/>
        <v>0</v>
      </c>
      <c r="BQ61" s="108"/>
      <c r="BR61" s="108"/>
      <c r="BS61" s="108"/>
      <c r="BT61" s="122"/>
      <c r="BU61" s="108"/>
      <c r="BV61" s="153"/>
      <c r="BW61" s="110"/>
      <c r="BX61" s="122">
        <f t="shared" si="20"/>
        <v>0</v>
      </c>
      <c r="BY61" s="122"/>
      <c r="BZ61" s="122"/>
      <c r="CA61" s="122"/>
      <c r="CB61" s="122"/>
      <c r="CC61" s="106">
        <f t="shared" si="35"/>
        <v>0</v>
      </c>
      <c r="CD61" s="108">
        <f t="shared" si="95"/>
        <v>0</v>
      </c>
      <c r="CE61" s="108" t="e">
        <f>CD61/CC61*100</f>
        <v>#DIV/0!</v>
      </c>
      <c r="CF61" s="108">
        <f>CD61-CC61</f>
        <v>0</v>
      </c>
      <c r="CH61" s="142">
        <f t="shared" si="16"/>
        <v>0</v>
      </c>
      <c r="CI61" s="137">
        <f t="shared" si="17"/>
        <v>0</v>
      </c>
      <c r="CK61" s="146">
        <f t="shared" si="15"/>
        <v>0</v>
      </c>
    </row>
    <row r="62" spans="1:89">
      <c r="A62" s="122"/>
      <c r="B62" s="866" t="s">
        <v>244</v>
      </c>
      <c r="C62" s="867"/>
      <c r="D62" s="868"/>
      <c r="E62" s="108"/>
      <c r="F62" s="108"/>
      <c r="G62" s="108"/>
      <c r="H62" s="108">
        <f t="shared" si="79"/>
        <v>0</v>
      </c>
      <c r="I62" s="108"/>
      <c r="J62" s="108"/>
      <c r="K62" s="108"/>
      <c r="L62" s="122">
        <f t="shared" si="90"/>
        <v>0</v>
      </c>
      <c r="M62" s="108"/>
      <c r="N62" s="108"/>
      <c r="O62" s="108"/>
      <c r="P62" s="122">
        <f t="shared" si="91"/>
        <v>0</v>
      </c>
      <c r="Q62" s="108"/>
      <c r="R62" s="108"/>
      <c r="S62" s="108"/>
      <c r="T62" s="122">
        <f t="shared" si="80"/>
        <v>0</v>
      </c>
      <c r="U62" s="108"/>
      <c r="V62" s="108"/>
      <c r="W62" s="108"/>
      <c r="X62" s="122">
        <f t="shared" si="81"/>
        <v>0</v>
      </c>
      <c r="Y62" s="108"/>
      <c r="Z62" s="108"/>
      <c r="AA62" s="108"/>
      <c r="AB62" s="122">
        <f t="shared" si="92"/>
        <v>0</v>
      </c>
      <c r="AC62" s="108"/>
      <c r="AD62" s="108"/>
      <c r="AE62" s="108"/>
      <c r="AF62" s="122">
        <f t="shared" si="93"/>
        <v>0</v>
      </c>
      <c r="AG62" s="106">
        <f t="shared" si="3"/>
        <v>0</v>
      </c>
      <c r="AH62" s="108">
        <f t="shared" si="77"/>
        <v>0</v>
      </c>
      <c r="AI62" s="108" t="e">
        <f t="shared" si="94"/>
        <v>#DIV/0!</v>
      </c>
      <c r="AJ62" s="122">
        <f t="shared" si="61"/>
        <v>0</v>
      </c>
      <c r="AK62" s="108"/>
      <c r="AL62" s="108"/>
      <c r="AM62" s="108"/>
      <c r="AN62" s="108">
        <f t="shared" si="82"/>
        <v>0</v>
      </c>
      <c r="AO62" s="108"/>
      <c r="AP62" s="108"/>
      <c r="AQ62" s="108"/>
      <c r="AR62" s="108">
        <f t="shared" si="83"/>
        <v>0</v>
      </c>
      <c r="AS62" s="108"/>
      <c r="AT62" s="108"/>
      <c r="AU62" s="108"/>
      <c r="AV62" s="108">
        <f t="shared" si="84"/>
        <v>0</v>
      </c>
      <c r="AW62" s="108"/>
      <c r="AX62" s="108"/>
      <c r="AY62" s="108"/>
      <c r="AZ62" s="108">
        <f t="shared" si="85"/>
        <v>0</v>
      </c>
      <c r="BA62" s="106">
        <f t="shared" si="8"/>
        <v>0</v>
      </c>
      <c r="BB62" s="108">
        <f t="shared" si="78"/>
        <v>0</v>
      </c>
      <c r="BC62" s="108"/>
      <c r="BD62" s="108">
        <f t="shared" si="86"/>
        <v>0</v>
      </c>
      <c r="BE62" s="108"/>
      <c r="BF62" s="108"/>
      <c r="BG62" s="108"/>
      <c r="BH62" s="108">
        <f t="shared" si="87"/>
        <v>0</v>
      </c>
      <c r="BI62" s="108"/>
      <c r="BJ62" s="108"/>
      <c r="BK62" s="108"/>
      <c r="BL62" s="108">
        <f t="shared" si="88"/>
        <v>0</v>
      </c>
      <c r="BM62" s="108"/>
      <c r="BN62" s="108"/>
      <c r="BO62" s="108"/>
      <c r="BP62" s="108">
        <f t="shared" si="89"/>
        <v>0</v>
      </c>
      <c r="BQ62" s="108"/>
      <c r="BR62" s="108"/>
      <c r="BS62" s="108"/>
      <c r="BT62" s="122"/>
      <c r="BU62" s="108"/>
      <c r="BV62" s="153">
        <v>8.4</v>
      </c>
      <c r="BW62" s="110" t="e">
        <f>BV62/BU62*100</f>
        <v>#DIV/0!</v>
      </c>
      <c r="BX62" s="122"/>
      <c r="BY62" s="122"/>
      <c r="BZ62" s="122">
        <v>1.66</v>
      </c>
      <c r="CA62" s="122"/>
      <c r="CB62" s="122"/>
      <c r="CC62" s="106">
        <f t="shared" si="35"/>
        <v>0</v>
      </c>
      <c r="CD62" s="108">
        <f t="shared" si="95"/>
        <v>10.06</v>
      </c>
      <c r="CE62" s="108" t="e">
        <f>CD62/CC62*100</f>
        <v>#DIV/0!</v>
      </c>
      <c r="CF62" s="108">
        <f>CD62-CC62</f>
        <v>10.06</v>
      </c>
      <c r="CH62" s="142">
        <f t="shared" si="16"/>
        <v>10.06</v>
      </c>
      <c r="CI62" s="137">
        <f t="shared" si="17"/>
        <v>0</v>
      </c>
      <c r="CK62" s="146">
        <f t="shared" si="15"/>
        <v>10.06</v>
      </c>
    </row>
    <row r="63" spans="1:89">
      <c r="A63" s="122"/>
      <c r="B63" s="866" t="s">
        <v>148</v>
      </c>
      <c r="C63" s="867"/>
      <c r="D63" s="868"/>
      <c r="E63" s="108"/>
      <c r="F63" s="108"/>
      <c r="G63" s="108"/>
      <c r="H63" s="108">
        <f t="shared" si="79"/>
        <v>0</v>
      </c>
      <c r="I63" s="108"/>
      <c r="J63" s="108"/>
      <c r="K63" s="108"/>
      <c r="L63" s="122">
        <f t="shared" si="90"/>
        <v>0</v>
      </c>
      <c r="M63" s="108"/>
      <c r="N63" s="108"/>
      <c r="O63" s="108"/>
      <c r="P63" s="122">
        <f t="shared" si="91"/>
        <v>0</v>
      </c>
      <c r="Q63" s="108"/>
      <c r="R63" s="108"/>
      <c r="S63" s="108"/>
      <c r="T63" s="122">
        <f t="shared" si="80"/>
        <v>0</v>
      </c>
      <c r="U63" s="108"/>
      <c r="V63" s="108"/>
      <c r="W63" s="108"/>
      <c r="X63" s="122">
        <f t="shared" si="81"/>
        <v>0</v>
      </c>
      <c r="Y63" s="108"/>
      <c r="Z63" s="108"/>
      <c r="AA63" s="108"/>
      <c r="AB63" s="122">
        <f t="shared" si="92"/>
        <v>0</v>
      </c>
      <c r="AC63" s="108"/>
      <c r="AD63" s="108"/>
      <c r="AE63" s="108"/>
      <c r="AF63" s="122">
        <f t="shared" si="93"/>
        <v>0</v>
      </c>
      <c r="AG63" s="106">
        <f t="shared" si="3"/>
        <v>0</v>
      </c>
      <c r="AH63" s="108">
        <f t="shared" si="77"/>
        <v>0</v>
      </c>
      <c r="AI63" s="108"/>
      <c r="AJ63" s="122">
        <f t="shared" si="61"/>
        <v>0</v>
      </c>
      <c r="AK63" s="108"/>
      <c r="AL63" s="108"/>
      <c r="AM63" s="108"/>
      <c r="AN63" s="108">
        <f t="shared" si="82"/>
        <v>0</v>
      </c>
      <c r="AO63" s="108"/>
      <c r="AP63" s="108"/>
      <c r="AQ63" s="108"/>
      <c r="AR63" s="108">
        <f t="shared" si="83"/>
        <v>0</v>
      </c>
      <c r="AS63" s="108"/>
      <c r="AT63" s="108"/>
      <c r="AU63" s="108"/>
      <c r="AV63" s="108">
        <f t="shared" si="84"/>
        <v>0</v>
      </c>
      <c r="AW63" s="108"/>
      <c r="AX63" s="108"/>
      <c r="AY63" s="108"/>
      <c r="AZ63" s="108">
        <f t="shared" si="85"/>
        <v>0</v>
      </c>
      <c r="BA63" s="106">
        <f t="shared" si="8"/>
        <v>0</v>
      </c>
      <c r="BB63" s="108">
        <f t="shared" si="78"/>
        <v>0</v>
      </c>
      <c r="BC63" s="108"/>
      <c r="BD63" s="108">
        <f t="shared" si="86"/>
        <v>0</v>
      </c>
      <c r="BE63" s="108"/>
      <c r="BF63" s="108"/>
      <c r="BG63" s="108"/>
      <c r="BH63" s="108">
        <f t="shared" si="87"/>
        <v>0</v>
      </c>
      <c r="BI63" s="108"/>
      <c r="BJ63" s="108"/>
      <c r="BK63" s="108"/>
      <c r="BL63" s="108">
        <f t="shared" si="88"/>
        <v>0</v>
      </c>
      <c r="BM63" s="108"/>
      <c r="BN63" s="108"/>
      <c r="BO63" s="108"/>
      <c r="BP63" s="108">
        <f t="shared" si="89"/>
        <v>0</v>
      </c>
      <c r="BQ63" s="108"/>
      <c r="BR63" s="108"/>
      <c r="BS63" s="108"/>
      <c r="BT63" s="122"/>
      <c r="BU63" s="108">
        <v>35</v>
      </c>
      <c r="BV63" s="153">
        <v>26.565000000000001</v>
      </c>
      <c r="BW63" s="110">
        <f>BV63/BU63*100</f>
        <v>75.900000000000006</v>
      </c>
      <c r="BX63" s="122">
        <f t="shared" si="20"/>
        <v>-8.4349999999999987</v>
      </c>
      <c r="BY63" s="122"/>
      <c r="BZ63" s="122"/>
      <c r="CA63" s="122"/>
      <c r="CB63" s="122"/>
      <c r="CC63" s="106">
        <f t="shared" si="35"/>
        <v>35</v>
      </c>
      <c r="CD63" s="108">
        <f t="shared" si="95"/>
        <v>26.565000000000001</v>
      </c>
      <c r="CE63" s="108">
        <f t="shared" si="13"/>
        <v>75.900000000000006</v>
      </c>
      <c r="CF63" s="108">
        <f t="shared" si="14"/>
        <v>-8.4349999999999987</v>
      </c>
      <c r="CH63" s="142">
        <f t="shared" si="16"/>
        <v>26.565000000000001</v>
      </c>
      <c r="CI63" s="137">
        <f t="shared" si="17"/>
        <v>35</v>
      </c>
      <c r="CK63" s="146">
        <f t="shared" si="15"/>
        <v>26.565000000000001</v>
      </c>
    </row>
    <row r="64" spans="1:89" hidden="1">
      <c r="A64" s="122"/>
      <c r="B64" s="866" t="s">
        <v>226</v>
      </c>
      <c r="C64" s="867"/>
      <c r="D64" s="868"/>
      <c r="E64" s="108"/>
      <c r="F64" s="108"/>
      <c r="G64" s="108"/>
      <c r="H64" s="108">
        <f t="shared" si="79"/>
        <v>0</v>
      </c>
      <c r="I64" s="108"/>
      <c r="J64" s="108"/>
      <c r="K64" s="108"/>
      <c r="L64" s="122">
        <f t="shared" si="90"/>
        <v>0</v>
      </c>
      <c r="M64" s="108"/>
      <c r="N64" s="108"/>
      <c r="O64" s="108"/>
      <c r="P64" s="122">
        <f t="shared" si="91"/>
        <v>0</v>
      </c>
      <c r="Q64" s="108"/>
      <c r="R64" s="108"/>
      <c r="S64" s="108"/>
      <c r="T64" s="122">
        <f t="shared" si="80"/>
        <v>0</v>
      </c>
      <c r="U64" s="108"/>
      <c r="V64" s="108"/>
      <c r="W64" s="108"/>
      <c r="X64" s="122">
        <f t="shared" si="81"/>
        <v>0</v>
      </c>
      <c r="Y64" s="108"/>
      <c r="Z64" s="108"/>
      <c r="AA64" s="108" t="e">
        <f>Z64/Y64*100</f>
        <v>#DIV/0!</v>
      </c>
      <c r="AB64" s="122">
        <f t="shared" si="92"/>
        <v>0</v>
      </c>
      <c r="AC64" s="108"/>
      <c r="AD64" s="108"/>
      <c r="AE64" s="108"/>
      <c r="AF64" s="122">
        <f t="shared" si="93"/>
        <v>0</v>
      </c>
      <c r="AG64" s="106">
        <f t="shared" si="3"/>
        <v>0</v>
      </c>
      <c r="AH64" s="108">
        <f t="shared" si="77"/>
        <v>0</v>
      </c>
      <c r="AI64" s="108" t="e">
        <f t="shared" si="94"/>
        <v>#DIV/0!</v>
      </c>
      <c r="AJ64" s="122">
        <f t="shared" si="61"/>
        <v>0</v>
      </c>
      <c r="AK64" s="108"/>
      <c r="AL64" s="108"/>
      <c r="AM64" s="108"/>
      <c r="AN64" s="108">
        <f t="shared" si="82"/>
        <v>0</v>
      </c>
      <c r="AO64" s="108"/>
      <c r="AP64" s="108"/>
      <c r="AQ64" s="108"/>
      <c r="AR64" s="108">
        <f t="shared" si="83"/>
        <v>0</v>
      </c>
      <c r="AS64" s="108"/>
      <c r="AT64" s="108"/>
      <c r="AU64" s="108"/>
      <c r="AV64" s="108">
        <f t="shared" si="84"/>
        <v>0</v>
      </c>
      <c r="AW64" s="108"/>
      <c r="AX64" s="108"/>
      <c r="AY64" s="108"/>
      <c r="AZ64" s="108">
        <f t="shared" si="85"/>
        <v>0</v>
      </c>
      <c r="BA64" s="106">
        <f t="shared" si="8"/>
        <v>0</v>
      </c>
      <c r="BB64" s="108">
        <f t="shared" si="78"/>
        <v>0</v>
      </c>
      <c r="BC64" s="108"/>
      <c r="BD64" s="108">
        <f t="shared" si="86"/>
        <v>0</v>
      </c>
      <c r="BE64" s="108"/>
      <c r="BF64" s="108"/>
      <c r="BG64" s="108"/>
      <c r="BH64" s="108">
        <f t="shared" si="87"/>
        <v>0</v>
      </c>
      <c r="BI64" s="108"/>
      <c r="BJ64" s="108"/>
      <c r="BK64" s="108"/>
      <c r="BL64" s="108">
        <f t="shared" si="88"/>
        <v>0</v>
      </c>
      <c r="BM64" s="108"/>
      <c r="BN64" s="108"/>
      <c r="BO64" s="108"/>
      <c r="BP64" s="108">
        <f t="shared" si="89"/>
        <v>0</v>
      </c>
      <c r="BQ64" s="108"/>
      <c r="BR64" s="108"/>
      <c r="BS64" s="108"/>
      <c r="BT64" s="122"/>
      <c r="BU64" s="108"/>
      <c r="BV64" s="153"/>
      <c r="BW64" s="110" t="e">
        <f>BV64/BU64*100</f>
        <v>#DIV/0!</v>
      </c>
      <c r="BX64" s="122">
        <f t="shared" si="20"/>
        <v>0</v>
      </c>
      <c r="BY64" s="122"/>
      <c r="BZ64" s="122"/>
      <c r="CA64" s="122"/>
      <c r="CB64" s="122"/>
      <c r="CC64" s="106">
        <f t="shared" si="35"/>
        <v>0</v>
      </c>
      <c r="CD64" s="108">
        <f t="shared" si="95"/>
        <v>0</v>
      </c>
      <c r="CE64" s="108" t="e">
        <f t="shared" si="13"/>
        <v>#DIV/0!</v>
      </c>
      <c r="CF64" s="108">
        <f t="shared" si="14"/>
        <v>0</v>
      </c>
      <c r="CH64" s="142">
        <f t="shared" si="16"/>
        <v>0</v>
      </c>
      <c r="CI64" s="137">
        <f t="shared" si="17"/>
        <v>0</v>
      </c>
      <c r="CK64" s="146">
        <f t="shared" si="15"/>
        <v>0</v>
      </c>
    </row>
    <row r="65" spans="1:175">
      <c r="A65" s="122"/>
      <c r="B65" s="866" t="s">
        <v>227</v>
      </c>
      <c r="C65" s="867"/>
      <c r="D65" s="868"/>
      <c r="E65" s="108"/>
      <c r="F65" s="108"/>
      <c r="G65" s="108"/>
      <c r="H65" s="108">
        <f t="shared" si="79"/>
        <v>0</v>
      </c>
      <c r="I65" s="108"/>
      <c r="J65" s="108"/>
      <c r="K65" s="108"/>
      <c r="L65" s="122">
        <f t="shared" si="90"/>
        <v>0</v>
      </c>
      <c r="M65" s="108"/>
      <c r="N65" s="108"/>
      <c r="O65" s="108"/>
      <c r="P65" s="122">
        <f t="shared" si="91"/>
        <v>0</v>
      </c>
      <c r="Q65" s="108"/>
      <c r="R65" s="108"/>
      <c r="S65" s="108"/>
      <c r="T65" s="122">
        <f t="shared" si="80"/>
        <v>0</v>
      </c>
      <c r="U65" s="108"/>
      <c r="V65" s="108"/>
      <c r="W65" s="108"/>
      <c r="X65" s="122">
        <f t="shared" si="81"/>
        <v>0</v>
      </c>
      <c r="Y65" s="108"/>
      <c r="Z65" s="108"/>
      <c r="AA65" s="108"/>
      <c r="AB65" s="122">
        <f t="shared" si="92"/>
        <v>0</v>
      </c>
      <c r="AC65" s="108"/>
      <c r="AD65" s="108"/>
      <c r="AE65" s="108"/>
      <c r="AF65" s="122">
        <f t="shared" si="93"/>
        <v>0</v>
      </c>
      <c r="AG65" s="106">
        <f t="shared" si="3"/>
        <v>0</v>
      </c>
      <c r="AH65" s="108">
        <f t="shared" si="77"/>
        <v>0</v>
      </c>
      <c r="AI65" s="108" t="e">
        <f t="shared" si="94"/>
        <v>#DIV/0!</v>
      </c>
      <c r="AJ65" s="122">
        <f t="shared" si="61"/>
        <v>0</v>
      </c>
      <c r="AK65" s="108"/>
      <c r="AL65" s="108"/>
      <c r="AM65" s="108"/>
      <c r="AN65" s="108">
        <f t="shared" si="82"/>
        <v>0</v>
      </c>
      <c r="AO65" s="108"/>
      <c r="AP65" s="108"/>
      <c r="AQ65" s="108"/>
      <c r="AR65" s="108">
        <f t="shared" si="83"/>
        <v>0</v>
      </c>
      <c r="AS65" s="108"/>
      <c r="AT65" s="108"/>
      <c r="AU65" s="108"/>
      <c r="AV65" s="108">
        <f t="shared" si="84"/>
        <v>0</v>
      </c>
      <c r="AW65" s="108"/>
      <c r="AX65" s="108"/>
      <c r="AY65" s="108"/>
      <c r="AZ65" s="108">
        <f t="shared" si="85"/>
        <v>0</v>
      </c>
      <c r="BA65" s="106">
        <f t="shared" si="8"/>
        <v>0</v>
      </c>
      <c r="BB65" s="108">
        <f t="shared" si="78"/>
        <v>0</v>
      </c>
      <c r="BC65" s="108"/>
      <c r="BD65" s="108">
        <f t="shared" si="86"/>
        <v>0</v>
      </c>
      <c r="BE65" s="108"/>
      <c r="BF65" s="108"/>
      <c r="BG65" s="108"/>
      <c r="BH65" s="108">
        <f t="shared" si="87"/>
        <v>0</v>
      </c>
      <c r="BI65" s="108"/>
      <c r="BJ65" s="108"/>
      <c r="BK65" s="108"/>
      <c r="BL65" s="108">
        <f t="shared" si="88"/>
        <v>0</v>
      </c>
      <c r="BM65" s="108"/>
      <c r="BN65" s="108"/>
      <c r="BO65" s="108"/>
      <c r="BP65" s="108">
        <f t="shared" si="89"/>
        <v>0</v>
      </c>
      <c r="BQ65" s="108"/>
      <c r="BR65" s="108"/>
      <c r="BS65" s="108"/>
      <c r="BT65" s="122">
        <f>BR65-BQ65</f>
        <v>0</v>
      </c>
      <c r="BU65" s="108">
        <v>160</v>
      </c>
      <c r="BV65" s="153">
        <v>110</v>
      </c>
      <c r="BW65" s="110">
        <f>BV65/BU65*100</f>
        <v>68.75</v>
      </c>
      <c r="BX65" s="122">
        <f t="shared" si="20"/>
        <v>-50</v>
      </c>
      <c r="BY65" s="122"/>
      <c r="BZ65" s="122"/>
      <c r="CA65" s="122"/>
      <c r="CB65" s="122"/>
      <c r="CC65" s="106">
        <f t="shared" si="35"/>
        <v>160</v>
      </c>
      <c r="CD65" s="108">
        <f t="shared" si="95"/>
        <v>110</v>
      </c>
      <c r="CE65" s="108">
        <f t="shared" si="13"/>
        <v>68.75</v>
      </c>
      <c r="CF65" s="108">
        <f t="shared" si="14"/>
        <v>-50</v>
      </c>
      <c r="CH65" s="142">
        <f t="shared" si="16"/>
        <v>110</v>
      </c>
      <c r="CI65" s="137">
        <f t="shared" si="17"/>
        <v>160</v>
      </c>
      <c r="CK65" s="146">
        <f t="shared" si="15"/>
        <v>110</v>
      </c>
    </row>
    <row r="66" spans="1:175" s="137" customFormat="1">
      <c r="A66" s="114"/>
      <c r="B66" s="869" t="s">
        <v>228</v>
      </c>
      <c r="C66" s="870"/>
      <c r="D66" s="871"/>
      <c r="E66" s="113">
        <f>E5+E51</f>
        <v>1173</v>
      </c>
      <c r="F66" s="78">
        <f>F5+F51</f>
        <v>514.83194000000003</v>
      </c>
      <c r="G66" s="113">
        <f>F66/E66*100</f>
        <v>43.890190963341865</v>
      </c>
      <c r="H66" s="113">
        <f>F66-E66</f>
        <v>-658.16805999999997</v>
      </c>
      <c r="I66" s="113">
        <f>I5+I51</f>
        <v>3060</v>
      </c>
      <c r="J66" s="78">
        <f>J5+J51</f>
        <v>1417.2341999999999</v>
      </c>
      <c r="K66" s="113">
        <f>J66/I66*100</f>
        <v>46.314843137254897</v>
      </c>
      <c r="L66" s="114">
        <f>J66-I66</f>
        <v>-1642.7658000000001</v>
      </c>
      <c r="M66" s="113">
        <f>M5+M51</f>
        <v>5145</v>
      </c>
      <c r="N66" s="78">
        <f>N5+N51</f>
        <v>2457.7401899999995</v>
      </c>
      <c r="O66" s="114">
        <f>N66/M66*100</f>
        <v>47.769488629737602</v>
      </c>
      <c r="P66" s="114">
        <f t="shared" si="23"/>
        <v>-2687.2598100000005</v>
      </c>
      <c r="Q66" s="113">
        <f>Q5+Q51</f>
        <v>5005</v>
      </c>
      <c r="R66" s="78">
        <f>R5+R51</f>
        <v>2413.58583</v>
      </c>
      <c r="S66" s="113">
        <f>R66/Q66*100</f>
        <v>48.223493106893109</v>
      </c>
      <c r="T66" s="114">
        <f>R66-Q66</f>
        <v>-2591.41417</v>
      </c>
      <c r="U66" s="113">
        <f>U5+U51</f>
        <v>1226</v>
      </c>
      <c r="V66" s="78">
        <f>V5+V51</f>
        <v>639.13887999999997</v>
      </c>
      <c r="W66" s="113">
        <f>V66/U66*100</f>
        <v>52.132045676998359</v>
      </c>
      <c r="X66" s="114">
        <f>V66-U66</f>
        <v>-586.86112000000003</v>
      </c>
      <c r="Y66" s="113">
        <f>Y5+Y51</f>
        <v>3596</v>
      </c>
      <c r="Z66" s="78">
        <f>Z5+Z51</f>
        <v>2387.8253000000004</v>
      </c>
      <c r="AA66" s="113">
        <f>Z66/Y66*100</f>
        <v>66.402260845383779</v>
      </c>
      <c r="AB66" s="114">
        <f>Z66-Y66</f>
        <v>-1208.1746999999996</v>
      </c>
      <c r="AC66" s="113">
        <f>AC5+AC51</f>
        <v>3060</v>
      </c>
      <c r="AD66" s="78">
        <f>AD5+AD51</f>
        <v>1619.4000099999998</v>
      </c>
      <c r="AE66" s="113">
        <f>AD66/AC66*100</f>
        <v>52.921568954248364</v>
      </c>
      <c r="AF66" s="114">
        <f>AD66-AC66</f>
        <v>-1440.5999900000002</v>
      </c>
      <c r="AG66" s="113">
        <f>E66+I66+M66+Q66+U66+Y66+AC66</f>
        <v>22265</v>
      </c>
      <c r="AH66" s="113">
        <f>AH5+AH51</f>
        <v>11449.756350000001</v>
      </c>
      <c r="AI66" s="113">
        <f t="shared" si="94"/>
        <v>51.424910622052558</v>
      </c>
      <c r="AJ66" s="114">
        <f t="shared" si="61"/>
        <v>-10815.243649999999</v>
      </c>
      <c r="AK66" s="113">
        <f>AK5+AK51</f>
        <v>390</v>
      </c>
      <c r="AL66" s="78">
        <f>AL5+AL51</f>
        <v>270.59469000000001</v>
      </c>
      <c r="AM66" s="113">
        <f>AL66/AK66*100</f>
        <v>69.383253846153849</v>
      </c>
      <c r="AN66" s="113">
        <f>AL66-AK66</f>
        <v>-119.40530999999999</v>
      </c>
      <c r="AO66" s="113">
        <f>AO5+AO51</f>
        <v>160</v>
      </c>
      <c r="AP66" s="78">
        <f>AP5+AP51</f>
        <v>63.741</v>
      </c>
      <c r="AQ66" s="113">
        <f>AP66/AO66*100</f>
        <v>39.838125000000005</v>
      </c>
      <c r="AR66" s="113">
        <f>AP66-AO66</f>
        <v>-96.259</v>
      </c>
      <c r="AS66" s="113">
        <f>AS5+AS51</f>
        <v>415</v>
      </c>
      <c r="AT66" s="78">
        <f>AT5+AT51</f>
        <v>67.925319999999999</v>
      </c>
      <c r="AU66" s="113">
        <f>AT66/AS66*100</f>
        <v>16.367546987951805</v>
      </c>
      <c r="AV66" s="113">
        <f>AT66-AS66</f>
        <v>-347.07468</v>
      </c>
      <c r="AW66" s="113">
        <f>AW5+AW51</f>
        <v>395</v>
      </c>
      <c r="AX66" s="78">
        <f>AX5+AX51</f>
        <v>115.99643</v>
      </c>
      <c r="AY66" s="113">
        <f>AX66/AW66*100</f>
        <v>29.366184810126583</v>
      </c>
      <c r="AZ66" s="113">
        <f>AX66-AW66</f>
        <v>-279.00356999999997</v>
      </c>
      <c r="BA66" s="113">
        <f>AK66+AO66+AS66+AW66</f>
        <v>1360</v>
      </c>
      <c r="BB66" s="113">
        <f>BB5+BB51</f>
        <v>518.25744000000009</v>
      </c>
      <c r="BC66" s="113">
        <f>BB66/BA66*100</f>
        <v>38.107164705882354</v>
      </c>
      <c r="BD66" s="113">
        <f>BB66-BA66</f>
        <v>-841.74255999999991</v>
      </c>
      <c r="BE66" s="113">
        <f>BE5+BE51</f>
        <v>0</v>
      </c>
      <c r="BF66" s="113">
        <f>BF5+BF51</f>
        <v>29.300000000000004</v>
      </c>
      <c r="BG66" s="113" t="e">
        <f>BF66/BE66*100</f>
        <v>#DIV/0!</v>
      </c>
      <c r="BH66" s="113">
        <f>BF66-BE66</f>
        <v>29.300000000000004</v>
      </c>
      <c r="BI66" s="113">
        <f>BI5+BI51</f>
        <v>0</v>
      </c>
      <c r="BJ66" s="113">
        <f>BJ5+BJ51</f>
        <v>338.31</v>
      </c>
      <c r="BK66" s="113" t="e">
        <f>BJ66/BI66*100</f>
        <v>#DIV/0!</v>
      </c>
      <c r="BL66" s="113">
        <f>BJ66-BI66</f>
        <v>338.31</v>
      </c>
      <c r="BM66" s="113">
        <f>BM5+BM51</f>
        <v>15</v>
      </c>
      <c r="BN66" s="78">
        <f>BN5+BN51</f>
        <v>13.272099999999998</v>
      </c>
      <c r="BO66" s="113">
        <f>BN66/BM66*100</f>
        <v>88.48066666666665</v>
      </c>
      <c r="BP66" s="113">
        <f>BN66-BM66</f>
        <v>-1.7279000000000018</v>
      </c>
      <c r="BQ66" s="78">
        <f>BQ5+BQ51</f>
        <v>64.8</v>
      </c>
      <c r="BR66" s="78">
        <f>BR5+BR51</f>
        <v>8.9499999999999993</v>
      </c>
      <c r="BS66" s="113">
        <f>BR66/BQ66*100</f>
        <v>13.811728395061728</v>
      </c>
      <c r="BT66" s="114">
        <f>BR66-BQ66</f>
        <v>-55.849999999999994</v>
      </c>
      <c r="BU66" s="113">
        <f>BU5+BU51</f>
        <v>1260</v>
      </c>
      <c r="BV66" s="78">
        <f>BV5+BV51</f>
        <v>745.31863999999996</v>
      </c>
      <c r="BW66" s="115">
        <f>BV66/BU66*100</f>
        <v>59.152273015873014</v>
      </c>
      <c r="BX66" s="114">
        <f t="shared" si="20"/>
        <v>-514.68136000000004</v>
      </c>
      <c r="BY66" s="113">
        <f>BY5+BY51</f>
        <v>32</v>
      </c>
      <c r="BZ66" s="78">
        <f>BZ5+BZ51</f>
        <v>21.58</v>
      </c>
      <c r="CA66" s="115">
        <f>BZ66/BY66*100</f>
        <v>67.4375</v>
      </c>
      <c r="CB66" s="114">
        <f>BZ66-BY66</f>
        <v>-10.420000000000002</v>
      </c>
      <c r="CC66" s="113">
        <f>AG66+BA66+BE66+BI66+BM66+BQ66+BU66+BY66</f>
        <v>24996.799999999999</v>
      </c>
      <c r="CD66" s="113">
        <f>CD5+CD51</f>
        <v>13124.744529999998</v>
      </c>
      <c r="CE66" s="113">
        <f t="shared" si="13"/>
        <v>52.50569884945272</v>
      </c>
      <c r="CF66" s="113">
        <f t="shared" si="14"/>
        <v>-11872.055470000001</v>
      </c>
      <c r="CG66" s="133"/>
      <c r="CH66" s="137">
        <f t="shared" si="16"/>
        <v>13124.744529999998</v>
      </c>
      <c r="CI66" s="137">
        <f t="shared" si="17"/>
        <v>24996.800000000003</v>
      </c>
      <c r="CK66" s="137">
        <f>F66+J66+N66+R66+V66+Z66+AD66+AL66+AP66+AT66+AX66+BF66+BJ66+BN66+BR66+BV66+BZ66</f>
        <v>13124.744529999998</v>
      </c>
    </row>
    <row r="67" spans="1:175">
      <c r="S67" s="129"/>
      <c r="BU67" s="152"/>
      <c r="BV67" s="152"/>
      <c r="BX67" s="129"/>
      <c r="BY67" s="254"/>
      <c r="BZ67" s="254"/>
      <c r="CC67" s="129"/>
      <c r="CD67" s="129"/>
      <c r="CE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</row>
    <row r="68" spans="1:175">
      <c r="E68" s="152">
        <f>E66-E67</f>
        <v>1173</v>
      </c>
      <c r="F68" s="112">
        <f t="shared" ref="F68:AG68" si="96">F66-F67</f>
        <v>514.83194000000003</v>
      </c>
      <c r="G68" s="112">
        <f t="shared" si="96"/>
        <v>43.890190963341865</v>
      </c>
      <c r="H68" s="112">
        <f t="shared" si="96"/>
        <v>-658.16805999999997</v>
      </c>
      <c r="I68" s="112">
        <f>I66-I67</f>
        <v>3060</v>
      </c>
      <c r="J68" s="112">
        <f>J66-J67</f>
        <v>1417.2341999999999</v>
      </c>
      <c r="K68" s="112">
        <f t="shared" si="96"/>
        <v>46.314843137254897</v>
      </c>
      <c r="L68" s="112">
        <f t="shared" si="96"/>
        <v>-1642.7658000000001</v>
      </c>
      <c r="M68" s="112">
        <f>M66-M67</f>
        <v>5145</v>
      </c>
      <c r="N68" s="112">
        <f>N66-N67</f>
        <v>2457.7401899999995</v>
      </c>
      <c r="O68" s="112">
        <f t="shared" si="96"/>
        <v>47.769488629737602</v>
      </c>
      <c r="P68" s="112">
        <f t="shared" si="96"/>
        <v>-2687.2598100000005</v>
      </c>
      <c r="Q68" s="112">
        <f>Q66-Q67</f>
        <v>5005</v>
      </c>
      <c r="R68" s="112">
        <f>R66-R67</f>
        <v>2413.58583</v>
      </c>
      <c r="S68" s="112">
        <f t="shared" si="96"/>
        <v>48.223493106893109</v>
      </c>
      <c r="T68" s="112">
        <f t="shared" si="96"/>
        <v>-2591.41417</v>
      </c>
      <c r="U68" s="152">
        <f>U66-U67</f>
        <v>1226</v>
      </c>
      <c r="V68" s="112">
        <f>V66-V67</f>
        <v>639.13887999999997</v>
      </c>
      <c r="W68" s="112">
        <f t="shared" si="96"/>
        <v>52.132045676998359</v>
      </c>
      <c r="X68" s="112">
        <f t="shared" si="96"/>
        <v>-586.86112000000003</v>
      </c>
      <c r="Y68" s="112">
        <f>Y66-Y67</f>
        <v>3596</v>
      </c>
      <c r="Z68" s="112">
        <f>Z66-Z67</f>
        <v>2387.8253000000004</v>
      </c>
      <c r="AA68" s="112">
        <f t="shared" si="96"/>
        <v>66.402260845383779</v>
      </c>
      <c r="AB68" s="112">
        <f t="shared" si="96"/>
        <v>-1208.1746999999996</v>
      </c>
      <c r="AC68" s="152">
        <f>AC66-AC67</f>
        <v>3060</v>
      </c>
      <c r="AD68" s="112">
        <f>AD66-AD67</f>
        <v>1619.4000099999998</v>
      </c>
      <c r="AE68" s="112">
        <f t="shared" si="96"/>
        <v>52.921568954248364</v>
      </c>
      <c r="AF68" s="112">
        <f t="shared" si="96"/>
        <v>-1440.5999900000002</v>
      </c>
      <c r="AG68" s="152">
        <f t="shared" si="96"/>
        <v>22265</v>
      </c>
      <c r="AH68" s="112">
        <f>AH66-AH67</f>
        <v>11449.756350000001</v>
      </c>
      <c r="BA68" s="152">
        <f>BA66-BA67</f>
        <v>1360</v>
      </c>
      <c r="BB68" s="112">
        <f>BB66-BB67</f>
        <v>518.25744000000009</v>
      </c>
      <c r="BF68" s="112">
        <f>BF66-BF67</f>
        <v>29.300000000000004</v>
      </c>
      <c r="BJ68" s="112">
        <f>BJ66-BJ67</f>
        <v>338.31</v>
      </c>
      <c r="BN68" s="112">
        <f>BN66-BN67</f>
        <v>13.272099999999998</v>
      </c>
      <c r="BQ68" s="112">
        <f>BQ66-BQ67</f>
        <v>64.8</v>
      </c>
      <c r="BR68" s="112">
        <f>BR66-BR67</f>
        <v>8.9499999999999993</v>
      </c>
      <c r="BU68" s="112">
        <f>BU66-BU67</f>
        <v>1260</v>
      </c>
      <c r="BV68" s="112">
        <f>BV66-BV67</f>
        <v>745.31863999999996</v>
      </c>
      <c r="BX68" s="129"/>
      <c r="BZ68" s="112">
        <f>BZ66-BZ67</f>
        <v>21.58</v>
      </c>
      <c r="CC68" s="112">
        <f>CC66-CC67</f>
        <v>24996.799999999999</v>
      </c>
      <c r="CD68" s="112">
        <f>CD66-CD67</f>
        <v>13124.744529999998</v>
      </c>
      <c r="CF68" s="112">
        <f t="shared" ref="CF68:CK68" si="97">F66+J66+N66+R66+V66+Z66+AD66+AL66+AP66+AT66+AX66+BF66+BJ66+BN66+BR66+BV66+BZ66</f>
        <v>13124.744529999998</v>
      </c>
      <c r="CG68" s="112" t="e">
        <f t="shared" si="97"/>
        <v>#DIV/0!</v>
      </c>
      <c r="CH68" s="112">
        <f t="shared" si="97"/>
        <v>-11872.055470000003</v>
      </c>
      <c r="CI68" s="112">
        <f t="shared" si="97"/>
        <v>72055.600000000006</v>
      </c>
      <c r="CJ68" s="112">
        <f t="shared" si="97"/>
        <v>37402.776220000007</v>
      </c>
      <c r="CK68" s="112" t="e">
        <f t="shared" si="97"/>
        <v>#DIV/0!</v>
      </c>
    </row>
    <row r="69" spans="1:175">
      <c r="BX69" s="129"/>
      <c r="CC69" s="112">
        <f>AG66+BA66+BE66+BQ66+BU66+BY66+BI66+BM66</f>
        <v>24996.799999999999</v>
      </c>
      <c r="CD69" s="112">
        <f>AH66+BB66+BF66+BR66+BV66+BZ66+BJ66+BN66</f>
        <v>13124.74453</v>
      </c>
    </row>
    <row r="70" spans="1:175">
      <c r="BX70" s="129"/>
      <c r="CC70" s="112">
        <f>CC66-CC69</f>
        <v>0</v>
      </c>
      <c r="CD70" s="112">
        <f>CD66-CD69</f>
        <v>0</v>
      </c>
    </row>
    <row r="71" spans="1:175">
      <c r="BT71" s="112">
        <f>BQ66+BU66+BY66</f>
        <v>1356.8</v>
      </c>
      <c r="BX71" s="129"/>
    </row>
    <row r="72" spans="1:175">
      <c r="BX72" s="129"/>
    </row>
    <row r="73" spans="1:175">
      <c r="BX73" s="129"/>
    </row>
    <row r="74" spans="1:175">
      <c r="BX74" s="129"/>
    </row>
    <row r="75" spans="1:175">
      <c r="BX75" s="129"/>
    </row>
    <row r="76" spans="1:175">
      <c r="BX76" s="129"/>
    </row>
    <row r="77" spans="1:175">
      <c r="BX77" s="129"/>
    </row>
    <row r="78" spans="1:175">
      <c r="BX78" s="129"/>
    </row>
    <row r="79" spans="1:175">
      <c r="BX79" s="129"/>
    </row>
    <row r="80" spans="1:175">
      <c r="BX80" s="129"/>
    </row>
    <row r="81" spans="76:76">
      <c r="BX81" s="129"/>
    </row>
    <row r="82" spans="76:76">
      <c r="BX82" s="129"/>
    </row>
    <row r="83" spans="76:76">
      <c r="BX83" s="129"/>
    </row>
    <row r="84" spans="76:76">
      <c r="BX84" s="129"/>
    </row>
    <row r="85" spans="76:76">
      <c r="BX85" s="129"/>
    </row>
    <row r="86" spans="76:76">
      <c r="BX86" s="129"/>
    </row>
    <row r="87" spans="76:76">
      <c r="BX87" s="129"/>
    </row>
    <row r="88" spans="76:76">
      <c r="BX88" s="129"/>
    </row>
    <row r="89" spans="76:76">
      <c r="BX89" s="129"/>
    </row>
    <row r="90" spans="76:76">
      <c r="BX90" s="129"/>
    </row>
    <row r="91" spans="76:76">
      <c r="BX91" s="129"/>
    </row>
    <row r="92" spans="76:76">
      <c r="BX92" s="129"/>
    </row>
    <row r="93" spans="76:76">
      <c r="BX93" s="129"/>
    </row>
    <row r="94" spans="76:76">
      <c r="BX94" s="129"/>
    </row>
    <row r="95" spans="76:76">
      <c r="BX95" s="129"/>
    </row>
    <row r="96" spans="76:76">
      <c r="BX96" s="129"/>
    </row>
    <row r="97" spans="76:76">
      <c r="BX97" s="129"/>
    </row>
    <row r="98" spans="76:76">
      <c r="BX98" s="129"/>
    </row>
    <row r="99" spans="76:76">
      <c r="BX99" s="129"/>
    </row>
    <row r="100" spans="76:76">
      <c r="BX100" s="129"/>
    </row>
    <row r="101" spans="76:76">
      <c r="BX101" s="129"/>
    </row>
    <row r="102" spans="76:76">
      <c r="BX102" s="129"/>
    </row>
    <row r="103" spans="76:76">
      <c r="BX103" s="129"/>
    </row>
    <row r="104" spans="76:76">
      <c r="BX104" s="129"/>
    </row>
    <row r="105" spans="76:76">
      <c r="BX105" s="129"/>
    </row>
    <row r="106" spans="76:76">
      <c r="BX106" s="129"/>
    </row>
    <row r="107" spans="76:76">
      <c r="BX107" s="129"/>
    </row>
    <row r="108" spans="76:76">
      <c r="BX108" s="129"/>
    </row>
    <row r="109" spans="76:76">
      <c r="BX109" s="129"/>
    </row>
    <row r="110" spans="76:76">
      <c r="BX110" s="129"/>
    </row>
    <row r="111" spans="76:76">
      <c r="BX111" s="129"/>
    </row>
    <row r="112" spans="76:76">
      <c r="BX112" s="129"/>
    </row>
    <row r="113" spans="76:76">
      <c r="BX113" s="129"/>
    </row>
    <row r="114" spans="76:76">
      <c r="BX114" s="129"/>
    </row>
    <row r="115" spans="76:76">
      <c r="BX115" s="129"/>
    </row>
    <row r="116" spans="76:76">
      <c r="BX116" s="129"/>
    </row>
    <row r="117" spans="76:76">
      <c r="BX117" s="129"/>
    </row>
    <row r="118" spans="76:76">
      <c r="BX118" s="129"/>
    </row>
    <row r="119" spans="76:76">
      <c r="BX119" s="129"/>
    </row>
    <row r="120" spans="76:76">
      <c r="BX120" s="129"/>
    </row>
    <row r="121" spans="76:76">
      <c r="BX121" s="129"/>
    </row>
    <row r="122" spans="76:76">
      <c r="BX122" s="129"/>
    </row>
    <row r="123" spans="76:76">
      <c r="BX123" s="129"/>
    </row>
    <row r="124" spans="76:76">
      <c r="BX124" s="129"/>
    </row>
    <row r="125" spans="76:76">
      <c r="BX125" s="129"/>
    </row>
    <row r="126" spans="76:76">
      <c r="BX126" s="129"/>
    </row>
    <row r="127" spans="76:76">
      <c r="BX127" s="129"/>
    </row>
    <row r="128" spans="76:76">
      <c r="BX128" s="129"/>
    </row>
    <row r="129" spans="76:76">
      <c r="BX129" s="129"/>
    </row>
    <row r="130" spans="76:76">
      <c r="BX130" s="129"/>
    </row>
    <row r="131" spans="76:76">
      <c r="BX131" s="129"/>
    </row>
    <row r="132" spans="76:76">
      <c r="BX132" s="129"/>
    </row>
    <row r="133" spans="76:76">
      <c r="BX133" s="129"/>
    </row>
    <row r="134" spans="76:76">
      <c r="BX134" s="129"/>
    </row>
    <row r="135" spans="76:76">
      <c r="BX135" s="129"/>
    </row>
    <row r="136" spans="76:76">
      <c r="BX136" s="129"/>
    </row>
    <row r="137" spans="76:76">
      <c r="BX137" s="129"/>
    </row>
    <row r="138" spans="76:76">
      <c r="BX138" s="129"/>
    </row>
    <row r="139" spans="76:76">
      <c r="BX139" s="129"/>
    </row>
    <row r="140" spans="76:76">
      <c r="BX140" s="129"/>
    </row>
    <row r="141" spans="76:76">
      <c r="BX141" s="129"/>
    </row>
    <row r="142" spans="76:76">
      <c r="BX142" s="129"/>
    </row>
    <row r="143" spans="76:76">
      <c r="BX143" s="129"/>
    </row>
    <row r="144" spans="76:76">
      <c r="BX144" s="129"/>
    </row>
    <row r="145" spans="76:76">
      <c r="BX145" s="129"/>
    </row>
    <row r="146" spans="76:76">
      <c r="BX146" s="129"/>
    </row>
    <row r="147" spans="76:76">
      <c r="BX147" s="129"/>
    </row>
    <row r="148" spans="76:76">
      <c r="BX148" s="129"/>
    </row>
    <row r="149" spans="76:76">
      <c r="BX149" s="129"/>
    </row>
    <row r="150" spans="76:76">
      <c r="BX150" s="129"/>
    </row>
    <row r="151" spans="76:76">
      <c r="BX151" s="129"/>
    </row>
    <row r="152" spans="76:76">
      <c r="BX152" s="129"/>
    </row>
    <row r="153" spans="76:76">
      <c r="BX153" s="129"/>
    </row>
    <row r="154" spans="76:76">
      <c r="BX154" s="129"/>
    </row>
    <row r="155" spans="76:76">
      <c r="BX155" s="129"/>
    </row>
    <row r="156" spans="76:76">
      <c r="BX156" s="129"/>
    </row>
    <row r="157" spans="76:76">
      <c r="BX157" s="129"/>
    </row>
    <row r="158" spans="76:76">
      <c r="BX158" s="129"/>
    </row>
    <row r="159" spans="76:76">
      <c r="BX159" s="129"/>
    </row>
    <row r="160" spans="76:76">
      <c r="BX160" s="129"/>
    </row>
    <row r="161" spans="76:76">
      <c r="BX161" s="129"/>
    </row>
    <row r="162" spans="76:76">
      <c r="BX162" s="129"/>
    </row>
    <row r="163" spans="76:76">
      <c r="BX163" s="129"/>
    </row>
    <row r="164" spans="76:76">
      <c r="BX164" s="129"/>
    </row>
    <row r="165" spans="76:76">
      <c r="BX165" s="129"/>
    </row>
    <row r="166" spans="76:76">
      <c r="BX166" s="129"/>
    </row>
    <row r="167" spans="76:76">
      <c r="BX167" s="129"/>
    </row>
    <row r="168" spans="76:76">
      <c r="BX168" s="129"/>
    </row>
    <row r="169" spans="76:76">
      <c r="BX169" s="129"/>
    </row>
    <row r="170" spans="76:76">
      <c r="BX170" s="129"/>
    </row>
    <row r="171" spans="76:76">
      <c r="BX171" s="129"/>
    </row>
    <row r="172" spans="76:76">
      <c r="BX172" s="129"/>
    </row>
    <row r="173" spans="76:76">
      <c r="BX173" s="129"/>
    </row>
    <row r="174" spans="76:76">
      <c r="BX174" s="129"/>
    </row>
    <row r="175" spans="76:76">
      <c r="BX175" s="129"/>
    </row>
    <row r="176" spans="76:76">
      <c r="BX176" s="129"/>
    </row>
    <row r="177" spans="76:76">
      <c r="BX177" s="129"/>
    </row>
    <row r="178" spans="76:76">
      <c r="BX178" s="129"/>
    </row>
    <row r="179" spans="76:76">
      <c r="BX179" s="129"/>
    </row>
    <row r="180" spans="76:76">
      <c r="BX180" s="129"/>
    </row>
    <row r="181" spans="76:76">
      <c r="BX181" s="129"/>
    </row>
    <row r="182" spans="76:76">
      <c r="BX182" s="129"/>
    </row>
    <row r="183" spans="76:76">
      <c r="BX183" s="129"/>
    </row>
    <row r="184" spans="76:76">
      <c r="BX184" s="129"/>
    </row>
    <row r="185" spans="76:76">
      <c r="BX185" s="129"/>
    </row>
    <row r="186" spans="76:76">
      <c r="BX186" s="129"/>
    </row>
    <row r="187" spans="76:76">
      <c r="BX187" s="129"/>
    </row>
    <row r="188" spans="76:76">
      <c r="BX188" s="129"/>
    </row>
    <row r="189" spans="76:76">
      <c r="BX189" s="129"/>
    </row>
    <row r="190" spans="76:76">
      <c r="BX190" s="129"/>
    </row>
    <row r="191" spans="76:76">
      <c r="BX191" s="129"/>
    </row>
    <row r="192" spans="76:76">
      <c r="BX192" s="129"/>
    </row>
    <row r="193" spans="76:76">
      <c r="BX193" s="129"/>
    </row>
    <row r="194" spans="76:76">
      <c r="BX194" s="129"/>
    </row>
    <row r="195" spans="76:76">
      <c r="BX195" s="129"/>
    </row>
    <row r="196" spans="76:76">
      <c r="BX196" s="129"/>
    </row>
    <row r="197" spans="76:76">
      <c r="BX197" s="129"/>
    </row>
    <row r="198" spans="76:76">
      <c r="BX198" s="129"/>
    </row>
    <row r="199" spans="76:76">
      <c r="BX199" s="129"/>
    </row>
    <row r="200" spans="76:76">
      <c r="BX200" s="129"/>
    </row>
    <row r="201" spans="76:76">
      <c r="BX201" s="129"/>
    </row>
    <row r="202" spans="76:76">
      <c r="BX202" s="129"/>
    </row>
    <row r="203" spans="76:76">
      <c r="BX203" s="129"/>
    </row>
    <row r="204" spans="76:76">
      <c r="BX204" s="129"/>
    </row>
    <row r="205" spans="76:76">
      <c r="BX205" s="129"/>
    </row>
    <row r="206" spans="76:76">
      <c r="BX206" s="129"/>
    </row>
    <row r="207" spans="76:76">
      <c r="BX207" s="129"/>
    </row>
    <row r="208" spans="76:76">
      <c r="BX208" s="129"/>
    </row>
    <row r="209" spans="76:76">
      <c r="BX209" s="129"/>
    </row>
    <row r="210" spans="76:76">
      <c r="BX210" s="129"/>
    </row>
    <row r="211" spans="76:76">
      <c r="BX211" s="129"/>
    </row>
    <row r="212" spans="76:76">
      <c r="BX212" s="129"/>
    </row>
    <row r="213" spans="76:76">
      <c r="BX213" s="129"/>
    </row>
    <row r="214" spans="76:76">
      <c r="BX214" s="129"/>
    </row>
    <row r="215" spans="76:76">
      <c r="BX215" s="129"/>
    </row>
    <row r="216" spans="76:76">
      <c r="BX216" s="129"/>
    </row>
    <row r="217" spans="76:76">
      <c r="BX217" s="129"/>
    </row>
    <row r="218" spans="76:76">
      <c r="BX218" s="129"/>
    </row>
    <row r="219" spans="76:76">
      <c r="BX219" s="129"/>
    </row>
    <row r="220" spans="76:76">
      <c r="BX220" s="129"/>
    </row>
    <row r="221" spans="76:76">
      <c r="BX221" s="129"/>
    </row>
    <row r="222" spans="76:76">
      <c r="BX222" s="129"/>
    </row>
    <row r="223" spans="76:76">
      <c r="BX223" s="129"/>
    </row>
    <row r="224" spans="76:76">
      <c r="BX224" s="129"/>
    </row>
    <row r="225" spans="76:76">
      <c r="BX225" s="129"/>
    </row>
    <row r="226" spans="76:76">
      <c r="BX226" s="129"/>
    </row>
    <row r="227" spans="76:76">
      <c r="BX227" s="129"/>
    </row>
    <row r="228" spans="76:76">
      <c r="BX228" s="129"/>
    </row>
    <row r="229" spans="76:76">
      <c r="BX229" s="129"/>
    </row>
    <row r="230" spans="76:76">
      <c r="BX230" s="129"/>
    </row>
    <row r="231" spans="76:76">
      <c r="BX231" s="129"/>
    </row>
    <row r="232" spans="76:76">
      <c r="BX232" s="129"/>
    </row>
    <row r="233" spans="76:76">
      <c r="BX233" s="129"/>
    </row>
    <row r="234" spans="76:76">
      <c r="BX234" s="129"/>
    </row>
    <row r="235" spans="76:76">
      <c r="BX235" s="129"/>
    </row>
    <row r="236" spans="76:76">
      <c r="BX236" s="129"/>
    </row>
    <row r="237" spans="76:76">
      <c r="BX237" s="129"/>
    </row>
    <row r="238" spans="76:76">
      <c r="BX238" s="129"/>
    </row>
    <row r="239" spans="76:76">
      <c r="BX239" s="129"/>
    </row>
    <row r="240" spans="76:76">
      <c r="BX240" s="129"/>
    </row>
    <row r="241" spans="76:76">
      <c r="BX241" s="129"/>
    </row>
    <row r="242" spans="76:76">
      <c r="BX242" s="129"/>
    </row>
    <row r="243" spans="76:76">
      <c r="BX243" s="129"/>
    </row>
    <row r="244" spans="76:76">
      <c r="BX244" s="129"/>
    </row>
    <row r="245" spans="76:76">
      <c r="BX245" s="129"/>
    </row>
    <row r="246" spans="76:76">
      <c r="BX246" s="129"/>
    </row>
    <row r="247" spans="76:76">
      <c r="BX247" s="129"/>
    </row>
    <row r="248" spans="76:76">
      <c r="BX248" s="129"/>
    </row>
    <row r="249" spans="76:76">
      <c r="BX249" s="129"/>
    </row>
    <row r="250" spans="76:76">
      <c r="BX250" s="129"/>
    </row>
    <row r="251" spans="76:76">
      <c r="BX251" s="129"/>
    </row>
    <row r="252" spans="76:76">
      <c r="BX252" s="129"/>
    </row>
    <row r="253" spans="76:76">
      <c r="BX253" s="129"/>
    </row>
    <row r="254" spans="76:76">
      <c r="BX254" s="129"/>
    </row>
    <row r="255" spans="76:76">
      <c r="BX255" s="129"/>
    </row>
    <row r="256" spans="76:76">
      <c r="BX256" s="129"/>
    </row>
    <row r="257" spans="76:76">
      <c r="BX257" s="129"/>
    </row>
    <row r="258" spans="76:76">
      <c r="BX258" s="129"/>
    </row>
    <row r="259" spans="76:76">
      <c r="BX259" s="129"/>
    </row>
    <row r="260" spans="76:76">
      <c r="BX260" s="129"/>
    </row>
    <row r="261" spans="76:76">
      <c r="BX261" s="129"/>
    </row>
    <row r="262" spans="76:76">
      <c r="BX262" s="129"/>
    </row>
    <row r="263" spans="76:76">
      <c r="BX263" s="129"/>
    </row>
    <row r="264" spans="76:76">
      <c r="BX264" s="129"/>
    </row>
    <row r="265" spans="76:76">
      <c r="BX265" s="129"/>
    </row>
    <row r="266" spans="76:76">
      <c r="BX266" s="129"/>
    </row>
    <row r="267" spans="76:76">
      <c r="BX267" s="129"/>
    </row>
    <row r="268" spans="76:76">
      <c r="BX268" s="129"/>
    </row>
    <row r="269" spans="76:76">
      <c r="BX269" s="129"/>
    </row>
    <row r="270" spans="76:76">
      <c r="BX270" s="129"/>
    </row>
    <row r="271" spans="76:76">
      <c r="BX271" s="129"/>
    </row>
    <row r="272" spans="76:76">
      <c r="BX272" s="129"/>
    </row>
    <row r="273" spans="76:76">
      <c r="BX273" s="129"/>
    </row>
    <row r="274" spans="76:76">
      <c r="BX274" s="129"/>
    </row>
    <row r="275" spans="76:76">
      <c r="BX275" s="129"/>
    </row>
    <row r="276" spans="76:76">
      <c r="BX276" s="129"/>
    </row>
    <row r="277" spans="76:76">
      <c r="BX277" s="129"/>
    </row>
    <row r="278" spans="76:76">
      <c r="BX278" s="129"/>
    </row>
    <row r="279" spans="76:76">
      <c r="BX279" s="129"/>
    </row>
    <row r="280" spans="76:76">
      <c r="BX280" s="129"/>
    </row>
    <row r="281" spans="76:76">
      <c r="BX281" s="129"/>
    </row>
    <row r="282" spans="76:76">
      <c r="BX282" s="129"/>
    </row>
    <row r="283" spans="76:76">
      <c r="BX283" s="129"/>
    </row>
    <row r="284" spans="76:76">
      <c r="BX284" s="129"/>
    </row>
    <row r="285" spans="76:76">
      <c r="BX285" s="129"/>
    </row>
    <row r="286" spans="76:76">
      <c r="BX286" s="129"/>
    </row>
    <row r="287" spans="76:76">
      <c r="BX287" s="129"/>
    </row>
    <row r="288" spans="76:76">
      <c r="BX288" s="129"/>
    </row>
    <row r="289" spans="76:76">
      <c r="BX289" s="129"/>
    </row>
    <row r="290" spans="76:76">
      <c r="BX290" s="129"/>
    </row>
    <row r="291" spans="76:76">
      <c r="BX291" s="129"/>
    </row>
    <row r="292" spans="76:76">
      <c r="BX292" s="129"/>
    </row>
    <row r="293" spans="76:76">
      <c r="BX293" s="129"/>
    </row>
    <row r="294" spans="76:76">
      <c r="BX294" s="129"/>
    </row>
    <row r="295" spans="76:76">
      <c r="BX295" s="129"/>
    </row>
    <row r="296" spans="76:76">
      <c r="BX296" s="129"/>
    </row>
    <row r="297" spans="76:76">
      <c r="BX297" s="129"/>
    </row>
    <row r="298" spans="76:76">
      <c r="BX298" s="129"/>
    </row>
    <row r="299" spans="76:76">
      <c r="BX299" s="129"/>
    </row>
    <row r="300" spans="76:76">
      <c r="BX300" s="129"/>
    </row>
    <row r="301" spans="76:76">
      <c r="BX301" s="129"/>
    </row>
    <row r="302" spans="76:76">
      <c r="BX302" s="129"/>
    </row>
    <row r="303" spans="76:76">
      <c r="BX303" s="129"/>
    </row>
    <row r="304" spans="76:76">
      <c r="BX304" s="129"/>
    </row>
    <row r="305" spans="76:76">
      <c r="BX305" s="129"/>
    </row>
    <row r="306" spans="76:76">
      <c r="BX306" s="129"/>
    </row>
    <row r="307" spans="76:76">
      <c r="BX307" s="129"/>
    </row>
    <row r="308" spans="76:76">
      <c r="BX308" s="129"/>
    </row>
    <row r="309" spans="76:76">
      <c r="BX309" s="129"/>
    </row>
    <row r="310" spans="76:76">
      <c r="BX310" s="129"/>
    </row>
    <row r="311" spans="76:76">
      <c r="BX311" s="129"/>
    </row>
    <row r="312" spans="76:76">
      <c r="BX312" s="129"/>
    </row>
    <row r="313" spans="76:76">
      <c r="BX313" s="129"/>
    </row>
    <row r="314" spans="76:76">
      <c r="BX314" s="129"/>
    </row>
    <row r="315" spans="76:76">
      <c r="BX315" s="129"/>
    </row>
    <row r="316" spans="76:76">
      <c r="BX316" s="129"/>
    </row>
    <row r="317" spans="76:76">
      <c r="BX317" s="129"/>
    </row>
    <row r="318" spans="76:76">
      <c r="BX318" s="129"/>
    </row>
    <row r="319" spans="76:76">
      <c r="BX319" s="129"/>
    </row>
    <row r="320" spans="76:76">
      <c r="BX320" s="129"/>
    </row>
    <row r="321" spans="76:76">
      <c r="BX321" s="129"/>
    </row>
    <row r="322" spans="76:76">
      <c r="BX322" s="129"/>
    </row>
    <row r="323" spans="76:76">
      <c r="BX323" s="129"/>
    </row>
    <row r="324" spans="76:76">
      <c r="BX324" s="129"/>
    </row>
    <row r="325" spans="76:76">
      <c r="BX325" s="129"/>
    </row>
    <row r="326" spans="76:76">
      <c r="BX326" s="129"/>
    </row>
    <row r="327" spans="76:76">
      <c r="BX327" s="129"/>
    </row>
    <row r="328" spans="76:76">
      <c r="BX328" s="129"/>
    </row>
    <row r="329" spans="76:76">
      <c r="BX329" s="129"/>
    </row>
    <row r="330" spans="76:76">
      <c r="BX330" s="129"/>
    </row>
    <row r="331" spans="76:76">
      <c r="BX331" s="129"/>
    </row>
    <row r="332" spans="76:76">
      <c r="BX332" s="129"/>
    </row>
    <row r="333" spans="76:76">
      <c r="BX333" s="129"/>
    </row>
    <row r="334" spans="76:76">
      <c r="BX334" s="129"/>
    </row>
    <row r="335" spans="76:76">
      <c r="BX335" s="129"/>
    </row>
    <row r="336" spans="76:76">
      <c r="BX336" s="129"/>
    </row>
    <row r="337" spans="76:76">
      <c r="BX337" s="129"/>
    </row>
    <row r="338" spans="76:76">
      <c r="BX338" s="129"/>
    </row>
    <row r="339" spans="76:76">
      <c r="BX339" s="129"/>
    </row>
    <row r="340" spans="76:76">
      <c r="BX340" s="129"/>
    </row>
    <row r="341" spans="76:76">
      <c r="BX341" s="129"/>
    </row>
    <row r="342" spans="76:76">
      <c r="BX342" s="129"/>
    </row>
    <row r="343" spans="76:76">
      <c r="BX343" s="129"/>
    </row>
    <row r="344" spans="76:76">
      <c r="BX344" s="129"/>
    </row>
    <row r="345" spans="76:76">
      <c r="BX345" s="129"/>
    </row>
    <row r="346" spans="76:76">
      <c r="BX346" s="129"/>
    </row>
    <row r="347" spans="76:76">
      <c r="BX347" s="129"/>
    </row>
    <row r="348" spans="76:76">
      <c r="BX348" s="129"/>
    </row>
    <row r="349" spans="76:76">
      <c r="BX349" s="129"/>
    </row>
    <row r="350" spans="76:76">
      <c r="BX350" s="129"/>
    </row>
    <row r="351" spans="76:76">
      <c r="BX351" s="129"/>
    </row>
    <row r="352" spans="76:76">
      <c r="BX352" s="129"/>
    </row>
    <row r="353" spans="76:76">
      <c r="BX353" s="129"/>
    </row>
    <row r="354" spans="76:76">
      <c r="BX354" s="129"/>
    </row>
    <row r="355" spans="76:76">
      <c r="BX355" s="129"/>
    </row>
    <row r="356" spans="76:76">
      <c r="BX356" s="129"/>
    </row>
    <row r="357" spans="76:76">
      <c r="BX357" s="129"/>
    </row>
    <row r="358" spans="76:76">
      <c r="BX358" s="129"/>
    </row>
    <row r="359" spans="76:76">
      <c r="BX359" s="129"/>
    </row>
    <row r="360" spans="76:76">
      <c r="BX360" s="129"/>
    </row>
    <row r="361" spans="76:76">
      <c r="BX361" s="129"/>
    </row>
    <row r="362" spans="76:76">
      <c r="BX362" s="129"/>
    </row>
    <row r="363" spans="76:76">
      <c r="BX363" s="129"/>
    </row>
    <row r="364" spans="76:76">
      <c r="BX364" s="129"/>
    </row>
    <row r="365" spans="76:76">
      <c r="BX365" s="129"/>
    </row>
    <row r="366" spans="76:76">
      <c r="BX366" s="129"/>
    </row>
    <row r="367" spans="76:76">
      <c r="BX367" s="129"/>
    </row>
    <row r="368" spans="76:76">
      <c r="BX368" s="129"/>
    </row>
    <row r="369" spans="76:76">
      <c r="BX369" s="129"/>
    </row>
    <row r="370" spans="76:76">
      <c r="BX370" s="129"/>
    </row>
    <row r="371" spans="76:76">
      <c r="BX371" s="129"/>
    </row>
    <row r="372" spans="76:76">
      <c r="BX372" s="129"/>
    </row>
    <row r="373" spans="76:76">
      <c r="BX373" s="129"/>
    </row>
    <row r="374" spans="76:76">
      <c r="BX374" s="129"/>
    </row>
    <row r="375" spans="76:76">
      <c r="BX375" s="129"/>
    </row>
    <row r="376" spans="76:76">
      <c r="BX376" s="129"/>
    </row>
    <row r="377" spans="76:76">
      <c r="BX377" s="129"/>
    </row>
    <row r="378" spans="76:76">
      <c r="BX378" s="129"/>
    </row>
    <row r="379" spans="76:76">
      <c r="BX379" s="129"/>
    </row>
    <row r="380" spans="76:76">
      <c r="BX380" s="129"/>
    </row>
    <row r="381" spans="76:76">
      <c r="BX381" s="129"/>
    </row>
    <row r="382" spans="76:76">
      <c r="BX382" s="129"/>
    </row>
    <row r="383" spans="76:76">
      <c r="BX383" s="129"/>
    </row>
    <row r="384" spans="76:76">
      <c r="BX384" s="129"/>
    </row>
    <row r="385" spans="76:76">
      <c r="BX385" s="129"/>
    </row>
    <row r="386" spans="76:76">
      <c r="BX386" s="129"/>
    </row>
    <row r="387" spans="76:76">
      <c r="BX387" s="129"/>
    </row>
    <row r="388" spans="76:76">
      <c r="BX388" s="129"/>
    </row>
    <row r="389" spans="76:76">
      <c r="BX389" s="129"/>
    </row>
    <row r="390" spans="76:76">
      <c r="BX390" s="129"/>
    </row>
    <row r="391" spans="76:76">
      <c r="BX391" s="129"/>
    </row>
    <row r="392" spans="76:76">
      <c r="BX392" s="129"/>
    </row>
    <row r="393" spans="76:76">
      <c r="BX393" s="129"/>
    </row>
    <row r="394" spans="76:76">
      <c r="BX394" s="129"/>
    </row>
    <row r="395" spans="76:76">
      <c r="BX395" s="129"/>
    </row>
    <row r="396" spans="76:76">
      <c r="BX396" s="129"/>
    </row>
    <row r="397" spans="76:76">
      <c r="BX397" s="129"/>
    </row>
    <row r="398" spans="76:76">
      <c r="BX398" s="129"/>
    </row>
    <row r="399" spans="76:76">
      <c r="BX399" s="129"/>
    </row>
    <row r="400" spans="76:76">
      <c r="BX400" s="129"/>
    </row>
    <row r="401" spans="76:76">
      <c r="BX401" s="129"/>
    </row>
    <row r="402" spans="76:76">
      <c r="BX402" s="129"/>
    </row>
    <row r="403" spans="76:76">
      <c r="BX403" s="129"/>
    </row>
    <row r="404" spans="76:76">
      <c r="BX404" s="129"/>
    </row>
    <row r="405" spans="76:76">
      <c r="BX405" s="129"/>
    </row>
    <row r="406" spans="76:76">
      <c r="BX406" s="129"/>
    </row>
    <row r="407" spans="76:76">
      <c r="BX407" s="129"/>
    </row>
    <row r="408" spans="76:76">
      <c r="BX408" s="129"/>
    </row>
    <row r="409" spans="76:76">
      <c r="BX409" s="129"/>
    </row>
    <row r="410" spans="76:76">
      <c r="BX410" s="129"/>
    </row>
    <row r="411" spans="76:76">
      <c r="BX411" s="129"/>
    </row>
    <row r="412" spans="76:76">
      <c r="BX412" s="129"/>
    </row>
    <row r="413" spans="76:76">
      <c r="BX413" s="129"/>
    </row>
    <row r="414" spans="76:76">
      <c r="BX414" s="129"/>
    </row>
    <row r="415" spans="76:76">
      <c r="BX415" s="129"/>
    </row>
    <row r="416" spans="76:76">
      <c r="BX416" s="129"/>
    </row>
    <row r="417" spans="76:76">
      <c r="BX417" s="129"/>
    </row>
    <row r="418" spans="76:76">
      <c r="BX418" s="129"/>
    </row>
    <row r="419" spans="76:76">
      <c r="BX419" s="129"/>
    </row>
    <row r="420" spans="76:76">
      <c r="BX420" s="129"/>
    </row>
    <row r="421" spans="76:76">
      <c r="BX421" s="129"/>
    </row>
    <row r="422" spans="76:76">
      <c r="BX422" s="129"/>
    </row>
    <row r="423" spans="76:76">
      <c r="BX423" s="129"/>
    </row>
    <row r="424" spans="76:76">
      <c r="BX424" s="129"/>
    </row>
    <row r="425" spans="76:76">
      <c r="BX425" s="129"/>
    </row>
    <row r="426" spans="76:76">
      <c r="BX426" s="129"/>
    </row>
    <row r="427" spans="76:76">
      <c r="BX427" s="129"/>
    </row>
    <row r="428" spans="76:76">
      <c r="BX428" s="129"/>
    </row>
    <row r="429" spans="76:76">
      <c r="BX429" s="129"/>
    </row>
    <row r="430" spans="76:76">
      <c r="BX430" s="129"/>
    </row>
    <row r="431" spans="76:76">
      <c r="BX431" s="129"/>
    </row>
    <row r="432" spans="76:76">
      <c r="BX432" s="129"/>
    </row>
    <row r="433" spans="76:76">
      <c r="BX433" s="129"/>
    </row>
    <row r="434" spans="76:76">
      <c r="BX434" s="129"/>
    </row>
    <row r="435" spans="76:76">
      <c r="BX435" s="129"/>
    </row>
    <row r="436" spans="76:76">
      <c r="BX436" s="129"/>
    </row>
    <row r="437" spans="76:76">
      <c r="BX437" s="129"/>
    </row>
    <row r="438" spans="76:76">
      <c r="BX438" s="129"/>
    </row>
    <row r="439" spans="76:76">
      <c r="BX439" s="129"/>
    </row>
    <row r="440" spans="76:76">
      <c r="BX440" s="129"/>
    </row>
    <row r="441" spans="76:76">
      <c r="BX441" s="129"/>
    </row>
    <row r="442" spans="76:76">
      <c r="BX442" s="129"/>
    </row>
    <row r="443" spans="76:76">
      <c r="BX443" s="129"/>
    </row>
    <row r="444" spans="76:76">
      <c r="BX444" s="129"/>
    </row>
    <row r="445" spans="76:76">
      <c r="BX445" s="129"/>
    </row>
    <row r="446" spans="76:76">
      <c r="BX446" s="129"/>
    </row>
    <row r="447" spans="76:76">
      <c r="BX447" s="129"/>
    </row>
    <row r="448" spans="76:76">
      <c r="BX448" s="129"/>
    </row>
    <row r="449" spans="76:76">
      <c r="BX449" s="129"/>
    </row>
    <row r="450" spans="76:76">
      <c r="BX450" s="129"/>
    </row>
    <row r="451" spans="76:76">
      <c r="BX451" s="129"/>
    </row>
    <row r="452" spans="76:76">
      <c r="BX452" s="129"/>
    </row>
    <row r="453" spans="76:76">
      <c r="BX453" s="129"/>
    </row>
    <row r="454" spans="76:76">
      <c r="BX454" s="129"/>
    </row>
    <row r="455" spans="76:76">
      <c r="BX455" s="129"/>
    </row>
    <row r="456" spans="76:76">
      <c r="BX456" s="129"/>
    </row>
    <row r="457" spans="76:76">
      <c r="BX457" s="129"/>
    </row>
    <row r="458" spans="76:76">
      <c r="BX458" s="129"/>
    </row>
    <row r="459" spans="76:76">
      <c r="BX459" s="129"/>
    </row>
    <row r="460" spans="76:76">
      <c r="BX460" s="129"/>
    </row>
    <row r="461" spans="76:76">
      <c r="BX461" s="129"/>
    </row>
    <row r="462" spans="76:76">
      <c r="BX462" s="129"/>
    </row>
    <row r="463" spans="76:76">
      <c r="BX463" s="129"/>
    </row>
    <row r="464" spans="76:76">
      <c r="BX464" s="129"/>
    </row>
    <row r="465" spans="76:76">
      <c r="BX465" s="129"/>
    </row>
    <row r="466" spans="76:76">
      <c r="BX466" s="129"/>
    </row>
    <row r="467" spans="76:76">
      <c r="BX467" s="129"/>
    </row>
    <row r="468" spans="76:76">
      <c r="BX468" s="129"/>
    </row>
    <row r="469" spans="76:76">
      <c r="BX469" s="129"/>
    </row>
    <row r="470" spans="76:76">
      <c r="BX470" s="129"/>
    </row>
    <row r="471" spans="76:76">
      <c r="BX471" s="129"/>
    </row>
    <row r="472" spans="76:76">
      <c r="BX472" s="129"/>
    </row>
    <row r="473" spans="76:76">
      <c r="BX473" s="129"/>
    </row>
    <row r="474" spans="76:76">
      <c r="BX474" s="129"/>
    </row>
    <row r="475" spans="76:76">
      <c r="BX475" s="129"/>
    </row>
    <row r="476" spans="76:76">
      <c r="BX476" s="129"/>
    </row>
    <row r="477" spans="76:76">
      <c r="BX477" s="129"/>
    </row>
    <row r="478" spans="76:76">
      <c r="BX478" s="129"/>
    </row>
    <row r="479" spans="76:76">
      <c r="BX479" s="129"/>
    </row>
    <row r="480" spans="76:76">
      <c r="BX480" s="129"/>
    </row>
    <row r="481" spans="76:76">
      <c r="BX481" s="129"/>
    </row>
    <row r="482" spans="76:76">
      <c r="BX482" s="129"/>
    </row>
    <row r="483" spans="76:76">
      <c r="BX483" s="129"/>
    </row>
    <row r="484" spans="76:76">
      <c r="BX484" s="129"/>
    </row>
    <row r="485" spans="76:76">
      <c r="BX485" s="129"/>
    </row>
    <row r="486" spans="76:76">
      <c r="BX486" s="129"/>
    </row>
    <row r="487" spans="76:76">
      <c r="BX487" s="129"/>
    </row>
    <row r="488" spans="76:76">
      <c r="BX488" s="129"/>
    </row>
    <row r="489" spans="76:76">
      <c r="BX489" s="129"/>
    </row>
    <row r="490" spans="76:76">
      <c r="BX490" s="129"/>
    </row>
    <row r="491" spans="76:76">
      <c r="BX491" s="129"/>
    </row>
    <row r="492" spans="76:76">
      <c r="BX492" s="129"/>
    </row>
    <row r="493" spans="76:76">
      <c r="BX493" s="129"/>
    </row>
    <row r="494" spans="76:76">
      <c r="BX494" s="129"/>
    </row>
    <row r="495" spans="76:76">
      <c r="BX495" s="129"/>
    </row>
    <row r="496" spans="76:76">
      <c r="BX496" s="129"/>
    </row>
    <row r="497" spans="76:76">
      <c r="BX497" s="129"/>
    </row>
    <row r="498" spans="76:76">
      <c r="BX498" s="129"/>
    </row>
    <row r="499" spans="76:76">
      <c r="BX499" s="129"/>
    </row>
    <row r="500" spans="76:76">
      <c r="BX500" s="129"/>
    </row>
    <row r="501" spans="76:76">
      <c r="BX501" s="129"/>
    </row>
    <row r="502" spans="76:76">
      <c r="BX502" s="129"/>
    </row>
    <row r="503" spans="76:76">
      <c r="BX503" s="129"/>
    </row>
    <row r="504" spans="76:76">
      <c r="BX504" s="129"/>
    </row>
    <row r="505" spans="76:76">
      <c r="BX505" s="129"/>
    </row>
    <row r="506" spans="76:76">
      <c r="BX506" s="129"/>
    </row>
    <row r="507" spans="76:76">
      <c r="BX507" s="129"/>
    </row>
    <row r="508" spans="76:76">
      <c r="BX508" s="129"/>
    </row>
    <row r="509" spans="76:76">
      <c r="BX509" s="129"/>
    </row>
    <row r="510" spans="76:76">
      <c r="BX510" s="129"/>
    </row>
    <row r="511" spans="76:76">
      <c r="BX511" s="129"/>
    </row>
    <row r="512" spans="76:76">
      <c r="BX512" s="129"/>
    </row>
    <row r="513" spans="76:76">
      <c r="BX513" s="129"/>
    </row>
    <row r="514" spans="76:76">
      <c r="BX514" s="129"/>
    </row>
    <row r="515" spans="76:76">
      <c r="BX515" s="129"/>
    </row>
    <row r="516" spans="76:76">
      <c r="BX516" s="129"/>
    </row>
    <row r="517" spans="76:76">
      <c r="BX517" s="129"/>
    </row>
    <row r="518" spans="76:76">
      <c r="BX518" s="129"/>
    </row>
    <row r="519" spans="76:76">
      <c r="BX519" s="129"/>
    </row>
    <row r="520" spans="76:76">
      <c r="BX520" s="129"/>
    </row>
    <row r="521" spans="76:76">
      <c r="BX521" s="129"/>
    </row>
    <row r="522" spans="76:76">
      <c r="BX522" s="129"/>
    </row>
    <row r="523" spans="76:76">
      <c r="BX523" s="129"/>
    </row>
    <row r="524" spans="76:76">
      <c r="BX524" s="129"/>
    </row>
    <row r="525" spans="76:76">
      <c r="BX525" s="129"/>
    </row>
    <row r="526" spans="76:76">
      <c r="BX526" s="129"/>
    </row>
    <row r="527" spans="76:76">
      <c r="BX527" s="129"/>
    </row>
    <row r="528" spans="76:76">
      <c r="BX528" s="129"/>
    </row>
    <row r="529" spans="76:76">
      <c r="BX529" s="129"/>
    </row>
    <row r="530" spans="76:76">
      <c r="BX530" s="129"/>
    </row>
    <row r="531" spans="76:76">
      <c r="BX531" s="129"/>
    </row>
    <row r="532" spans="76:76">
      <c r="BX532" s="129"/>
    </row>
    <row r="533" spans="76:76">
      <c r="BX533" s="129"/>
    </row>
    <row r="534" spans="76:76">
      <c r="BX534" s="129"/>
    </row>
    <row r="535" spans="76:76">
      <c r="BX535" s="129"/>
    </row>
    <row r="536" spans="76:76">
      <c r="BX536" s="129"/>
    </row>
    <row r="537" spans="76:76">
      <c r="BX537" s="129"/>
    </row>
    <row r="538" spans="76:76">
      <c r="BX538" s="129"/>
    </row>
    <row r="539" spans="76:76">
      <c r="BX539" s="129"/>
    </row>
    <row r="540" spans="76:76">
      <c r="BX540" s="129"/>
    </row>
    <row r="541" spans="76:76">
      <c r="BX541" s="129"/>
    </row>
    <row r="542" spans="76:76">
      <c r="BX542" s="129"/>
    </row>
    <row r="543" spans="76:76">
      <c r="BX543" s="129"/>
    </row>
    <row r="544" spans="76:76">
      <c r="BX544" s="129"/>
    </row>
    <row r="545" spans="76:76">
      <c r="BX545" s="129"/>
    </row>
    <row r="546" spans="76:76">
      <c r="BX546" s="129"/>
    </row>
    <row r="547" spans="76:76">
      <c r="BX547" s="129"/>
    </row>
    <row r="548" spans="76:76">
      <c r="BX548" s="129"/>
    </row>
    <row r="549" spans="76:76">
      <c r="BX549" s="129"/>
    </row>
    <row r="550" spans="76:76">
      <c r="BX550" s="129"/>
    </row>
    <row r="551" spans="76:76">
      <c r="BX551" s="129"/>
    </row>
    <row r="552" spans="76:76">
      <c r="BX552" s="129"/>
    </row>
    <row r="553" spans="76:76">
      <c r="BX553" s="129"/>
    </row>
    <row r="554" spans="76:76">
      <c r="BX554" s="129"/>
    </row>
    <row r="555" spans="76:76">
      <c r="BX555" s="129"/>
    </row>
    <row r="556" spans="76:76">
      <c r="BX556" s="129"/>
    </row>
    <row r="557" spans="76:76">
      <c r="BX557" s="129"/>
    </row>
    <row r="558" spans="76:76">
      <c r="BX558" s="129"/>
    </row>
    <row r="559" spans="76:76">
      <c r="BX559" s="129"/>
    </row>
    <row r="560" spans="76:76">
      <c r="BX560" s="129"/>
    </row>
    <row r="561" spans="76:76">
      <c r="BX561" s="129"/>
    </row>
    <row r="562" spans="76:76">
      <c r="BX562" s="129"/>
    </row>
    <row r="563" spans="76:76">
      <c r="BX563" s="129"/>
    </row>
    <row r="564" spans="76:76">
      <c r="BX564" s="129"/>
    </row>
    <row r="565" spans="76:76">
      <c r="BX565" s="129"/>
    </row>
    <row r="566" spans="76:76">
      <c r="BX566" s="129"/>
    </row>
    <row r="567" spans="76:76">
      <c r="BX567" s="129"/>
    </row>
    <row r="568" spans="76:76">
      <c r="BX568" s="129"/>
    </row>
    <row r="569" spans="76:76">
      <c r="BX569" s="129"/>
    </row>
    <row r="570" spans="76:76">
      <c r="BX570" s="129"/>
    </row>
    <row r="571" spans="76:76">
      <c r="BX571" s="129"/>
    </row>
    <row r="572" spans="76:76">
      <c r="BX572" s="129"/>
    </row>
    <row r="573" spans="76:76">
      <c r="BX573" s="129"/>
    </row>
    <row r="574" spans="76:76">
      <c r="BX574" s="129"/>
    </row>
    <row r="575" spans="76:76">
      <c r="BX575" s="129"/>
    </row>
    <row r="576" spans="76:76">
      <c r="BX576" s="129"/>
    </row>
    <row r="577" spans="76:76">
      <c r="BX577" s="129"/>
    </row>
    <row r="578" spans="76:76">
      <c r="BX578" s="129"/>
    </row>
    <row r="579" spans="76:76">
      <c r="BX579" s="129"/>
    </row>
    <row r="580" spans="76:76">
      <c r="BX580" s="129"/>
    </row>
    <row r="581" spans="76:76">
      <c r="BX581" s="129"/>
    </row>
    <row r="582" spans="76:76">
      <c r="BX582" s="129"/>
    </row>
    <row r="583" spans="76:76">
      <c r="BX583" s="129"/>
    </row>
    <row r="584" spans="76:76">
      <c r="BX584" s="129"/>
    </row>
    <row r="585" spans="76:76">
      <c r="BX585" s="129"/>
    </row>
    <row r="586" spans="76:76">
      <c r="BX586" s="129"/>
    </row>
    <row r="587" spans="76:76">
      <c r="BX587" s="129"/>
    </row>
    <row r="588" spans="76:76">
      <c r="BX588" s="129"/>
    </row>
    <row r="589" spans="76:76">
      <c r="BX589" s="129"/>
    </row>
    <row r="590" spans="76:76">
      <c r="BX590" s="129"/>
    </row>
    <row r="591" spans="76:76">
      <c r="BX591" s="129"/>
    </row>
    <row r="592" spans="76:76">
      <c r="BX592" s="129"/>
    </row>
    <row r="593" spans="76:76">
      <c r="BX593" s="129"/>
    </row>
    <row r="594" spans="76:76">
      <c r="BX594" s="129"/>
    </row>
    <row r="595" spans="76:76">
      <c r="BX595" s="129"/>
    </row>
    <row r="596" spans="76:76">
      <c r="BX596" s="129"/>
    </row>
    <row r="597" spans="76:76">
      <c r="BX597" s="129"/>
    </row>
    <row r="598" spans="76:76">
      <c r="BX598" s="129"/>
    </row>
    <row r="599" spans="76:76">
      <c r="BX599" s="129"/>
    </row>
    <row r="600" spans="76:76">
      <c r="BX600" s="129"/>
    </row>
    <row r="601" spans="76:76">
      <c r="BX601" s="129"/>
    </row>
    <row r="602" spans="76:76">
      <c r="BX602" s="129"/>
    </row>
    <row r="603" spans="76:76">
      <c r="BX603" s="129"/>
    </row>
    <row r="604" spans="76:76">
      <c r="BX604" s="129"/>
    </row>
    <row r="605" spans="76:76">
      <c r="BX605" s="129"/>
    </row>
    <row r="606" spans="76:76">
      <c r="BX606" s="129"/>
    </row>
    <row r="607" spans="76:76">
      <c r="BX607" s="129"/>
    </row>
    <row r="608" spans="76:76">
      <c r="BX608" s="129"/>
    </row>
    <row r="609" spans="76:76">
      <c r="BX609" s="129"/>
    </row>
    <row r="610" spans="76:76">
      <c r="BX610" s="129"/>
    </row>
    <row r="611" spans="76:76">
      <c r="BX611" s="129"/>
    </row>
    <row r="612" spans="76:76">
      <c r="BX612" s="129"/>
    </row>
    <row r="613" spans="76:76">
      <c r="BX613" s="129"/>
    </row>
    <row r="614" spans="76:76">
      <c r="BX614" s="129"/>
    </row>
    <row r="615" spans="76:76">
      <c r="BX615" s="129"/>
    </row>
    <row r="616" spans="76:76">
      <c r="BX616" s="129"/>
    </row>
    <row r="617" spans="76:76">
      <c r="BX617" s="129"/>
    </row>
    <row r="618" spans="76:76">
      <c r="BX618" s="129"/>
    </row>
    <row r="619" spans="76:76">
      <c r="BX619" s="129"/>
    </row>
    <row r="620" spans="76:76">
      <c r="BX620" s="129"/>
    </row>
    <row r="621" spans="76:76">
      <c r="BX621" s="129"/>
    </row>
    <row r="622" spans="76:76">
      <c r="BX622" s="129"/>
    </row>
    <row r="623" spans="76:76">
      <c r="BX623" s="129"/>
    </row>
    <row r="624" spans="76:76">
      <c r="BX624" s="129"/>
    </row>
    <row r="625" spans="76:76">
      <c r="BX625" s="129"/>
    </row>
    <row r="626" spans="76:76">
      <c r="BX626" s="129"/>
    </row>
    <row r="627" spans="76:76">
      <c r="BX627" s="129"/>
    </row>
    <row r="628" spans="76:76">
      <c r="BX628" s="129"/>
    </row>
    <row r="629" spans="76:76">
      <c r="BX629" s="129"/>
    </row>
    <row r="630" spans="76:76">
      <c r="BX630" s="129"/>
    </row>
    <row r="631" spans="76:76">
      <c r="BX631" s="129"/>
    </row>
    <row r="632" spans="76:76">
      <c r="BX632" s="129"/>
    </row>
    <row r="633" spans="76:76">
      <c r="BX633" s="129"/>
    </row>
    <row r="634" spans="76:76">
      <c r="BX634" s="129"/>
    </row>
    <row r="635" spans="76:76">
      <c r="BX635" s="129"/>
    </row>
    <row r="636" spans="76:76">
      <c r="BX636" s="129"/>
    </row>
    <row r="637" spans="76:76">
      <c r="BX637" s="129"/>
    </row>
    <row r="638" spans="76:76">
      <c r="BX638" s="129"/>
    </row>
    <row r="639" spans="76:76">
      <c r="BX639" s="129"/>
    </row>
    <row r="640" spans="76:76">
      <c r="BX640" s="129"/>
    </row>
    <row r="641" spans="76:76">
      <c r="BX641" s="129"/>
    </row>
    <row r="642" spans="76:76">
      <c r="BX642" s="129"/>
    </row>
    <row r="643" spans="76:76">
      <c r="BX643" s="129"/>
    </row>
    <row r="644" spans="76:76">
      <c r="BX644" s="129"/>
    </row>
    <row r="645" spans="76:76">
      <c r="BX645" s="129"/>
    </row>
    <row r="646" spans="76:76">
      <c r="BX646" s="129"/>
    </row>
    <row r="647" spans="76:76">
      <c r="BX647" s="129"/>
    </row>
    <row r="648" spans="76:76">
      <c r="BX648" s="129"/>
    </row>
    <row r="649" spans="76:76">
      <c r="BX649" s="129"/>
    </row>
    <row r="650" spans="76:76">
      <c r="BX650" s="129"/>
    </row>
    <row r="651" spans="76:76">
      <c r="BX651" s="129"/>
    </row>
    <row r="652" spans="76:76">
      <c r="BX652" s="129"/>
    </row>
    <row r="653" spans="76:76">
      <c r="BX653" s="129"/>
    </row>
    <row r="654" spans="76:76">
      <c r="BX654" s="129"/>
    </row>
    <row r="655" spans="76:76">
      <c r="BX655" s="129"/>
    </row>
    <row r="656" spans="76:76">
      <c r="BX656" s="129"/>
    </row>
    <row r="657" spans="76:76">
      <c r="BX657" s="129"/>
    </row>
    <row r="658" spans="76:76">
      <c r="BX658" s="129"/>
    </row>
    <row r="659" spans="76:76">
      <c r="BX659" s="129"/>
    </row>
    <row r="660" spans="76:76">
      <c r="BX660" s="129"/>
    </row>
    <row r="661" spans="76:76">
      <c r="BX661" s="129"/>
    </row>
    <row r="662" spans="76:76">
      <c r="BX662" s="129"/>
    </row>
    <row r="663" spans="76:76">
      <c r="BX663" s="129"/>
    </row>
    <row r="664" spans="76:76">
      <c r="BX664" s="129"/>
    </row>
    <row r="665" spans="76:76">
      <c r="BX665" s="129"/>
    </row>
    <row r="666" spans="76:76">
      <c r="BX666" s="129"/>
    </row>
    <row r="667" spans="76:76">
      <c r="BX667" s="129"/>
    </row>
    <row r="668" spans="76:76">
      <c r="BX668" s="129"/>
    </row>
    <row r="669" spans="76:76">
      <c r="BX669" s="129"/>
    </row>
    <row r="670" spans="76:76">
      <c r="BX670" s="129"/>
    </row>
    <row r="671" spans="76:76">
      <c r="BX671" s="129"/>
    </row>
    <row r="672" spans="76:76">
      <c r="BX672" s="129"/>
    </row>
    <row r="673" spans="76:76">
      <c r="BX673" s="129"/>
    </row>
    <row r="674" spans="76:76">
      <c r="BX674" s="129"/>
    </row>
    <row r="675" spans="76:76">
      <c r="BX675" s="129"/>
    </row>
    <row r="676" spans="76:76">
      <c r="BX676" s="129"/>
    </row>
    <row r="677" spans="76:76">
      <c r="BX677" s="129"/>
    </row>
    <row r="678" spans="76:76">
      <c r="BX678" s="129"/>
    </row>
    <row r="679" spans="76:76">
      <c r="BX679" s="129"/>
    </row>
    <row r="680" spans="76:76">
      <c r="BX680" s="129"/>
    </row>
    <row r="681" spans="76:76">
      <c r="BX681" s="129"/>
    </row>
    <row r="682" spans="76:76">
      <c r="BX682" s="129"/>
    </row>
    <row r="683" spans="76:76">
      <c r="BX683" s="129"/>
    </row>
    <row r="684" spans="76:76">
      <c r="BX684" s="129"/>
    </row>
    <row r="685" spans="76:76">
      <c r="BX685" s="129"/>
    </row>
    <row r="686" spans="76:76">
      <c r="BX686" s="129"/>
    </row>
    <row r="687" spans="76:76">
      <c r="BX687" s="129"/>
    </row>
    <row r="688" spans="76:76">
      <c r="BX688" s="129"/>
    </row>
    <row r="689" spans="76:76">
      <c r="BX689" s="129"/>
    </row>
    <row r="690" spans="76:76">
      <c r="BX690" s="129"/>
    </row>
    <row r="691" spans="76:76">
      <c r="BX691" s="129"/>
    </row>
    <row r="692" spans="76:76">
      <c r="BX692" s="129"/>
    </row>
    <row r="693" spans="76:76">
      <c r="BX693" s="129"/>
    </row>
    <row r="694" spans="76:76">
      <c r="BX694" s="129"/>
    </row>
    <row r="695" spans="76:76">
      <c r="BX695" s="129"/>
    </row>
    <row r="696" spans="76:76">
      <c r="BX696" s="129"/>
    </row>
    <row r="697" spans="76:76">
      <c r="BX697" s="129"/>
    </row>
    <row r="698" spans="76:76">
      <c r="BX698" s="129"/>
    </row>
    <row r="699" spans="76:76">
      <c r="BX699" s="129"/>
    </row>
    <row r="700" spans="76:76">
      <c r="BX700" s="129"/>
    </row>
    <row r="701" spans="76:76">
      <c r="BX701" s="129"/>
    </row>
    <row r="702" spans="76:76">
      <c r="BX702" s="129"/>
    </row>
    <row r="703" spans="76:76">
      <c r="BX703" s="129"/>
    </row>
    <row r="704" spans="76:76">
      <c r="BX704" s="129"/>
    </row>
    <row r="705" spans="76:76">
      <c r="BX705" s="129"/>
    </row>
    <row r="706" spans="76:76">
      <c r="BX706" s="129"/>
    </row>
    <row r="707" spans="76:76">
      <c r="BX707" s="129"/>
    </row>
    <row r="708" spans="76:76">
      <c r="BX708" s="129"/>
    </row>
    <row r="709" spans="76:76">
      <c r="BX709" s="129"/>
    </row>
    <row r="710" spans="76:76">
      <c r="BX710" s="129"/>
    </row>
    <row r="711" spans="76:76">
      <c r="BX711" s="129"/>
    </row>
    <row r="712" spans="76:76">
      <c r="BX712" s="129"/>
    </row>
    <row r="713" spans="76:76">
      <c r="BX713" s="129"/>
    </row>
    <row r="714" spans="76:76">
      <c r="BX714" s="129"/>
    </row>
    <row r="715" spans="76:76">
      <c r="BX715" s="129"/>
    </row>
    <row r="716" spans="76:76">
      <c r="BX716" s="129"/>
    </row>
    <row r="717" spans="76:76">
      <c r="BX717" s="129"/>
    </row>
    <row r="718" spans="76:76">
      <c r="BX718" s="129"/>
    </row>
    <row r="719" spans="76:76">
      <c r="BX719" s="129"/>
    </row>
    <row r="720" spans="76:76">
      <c r="BX720" s="129"/>
    </row>
    <row r="721" spans="76:76">
      <c r="BX721" s="129"/>
    </row>
    <row r="722" spans="76:76">
      <c r="BX722" s="129"/>
    </row>
    <row r="723" spans="76:76">
      <c r="BX723" s="129"/>
    </row>
    <row r="724" spans="76:76">
      <c r="BX724" s="129"/>
    </row>
    <row r="725" spans="76:76">
      <c r="BX725" s="129"/>
    </row>
    <row r="726" spans="76:76">
      <c r="BX726" s="129"/>
    </row>
    <row r="727" spans="76:76">
      <c r="BX727" s="129"/>
    </row>
    <row r="728" spans="76:76">
      <c r="BX728" s="129"/>
    </row>
    <row r="729" spans="76:76">
      <c r="BX729" s="129"/>
    </row>
    <row r="730" spans="76:76">
      <c r="BX730" s="129"/>
    </row>
    <row r="731" spans="76:76">
      <c r="BX731" s="129"/>
    </row>
    <row r="732" spans="76:76">
      <c r="BX732" s="129"/>
    </row>
    <row r="733" spans="76:76">
      <c r="BX733" s="129"/>
    </row>
    <row r="734" spans="76:76">
      <c r="BX734" s="129"/>
    </row>
    <row r="735" spans="76:76">
      <c r="BX735" s="129"/>
    </row>
    <row r="736" spans="76:76">
      <c r="BX736" s="129"/>
    </row>
    <row r="737" spans="76:76">
      <c r="BX737" s="129"/>
    </row>
    <row r="738" spans="76:76">
      <c r="BX738" s="129"/>
    </row>
    <row r="739" spans="76:76">
      <c r="BX739" s="129"/>
    </row>
    <row r="740" spans="76:76">
      <c r="BX740" s="129"/>
    </row>
    <row r="741" spans="76:76">
      <c r="BX741" s="129"/>
    </row>
    <row r="742" spans="76:76">
      <c r="BX742" s="129"/>
    </row>
    <row r="743" spans="76:76">
      <c r="BX743" s="129"/>
    </row>
    <row r="744" spans="76:76">
      <c r="BX744" s="129"/>
    </row>
    <row r="745" spans="76:76">
      <c r="BX745" s="129"/>
    </row>
    <row r="746" spans="76:76">
      <c r="BX746" s="129"/>
    </row>
    <row r="747" spans="76:76">
      <c r="BX747" s="129"/>
    </row>
    <row r="748" spans="76:76">
      <c r="BX748" s="129"/>
    </row>
    <row r="749" spans="76:76">
      <c r="BX749" s="129"/>
    </row>
    <row r="750" spans="76:76">
      <c r="BX750" s="129"/>
    </row>
    <row r="751" spans="76:76">
      <c r="BX751" s="129"/>
    </row>
    <row r="752" spans="76:76">
      <c r="BX752" s="129"/>
    </row>
    <row r="753" spans="76:76">
      <c r="BX753" s="129"/>
    </row>
    <row r="754" spans="76:76">
      <c r="BX754" s="129"/>
    </row>
    <row r="755" spans="76:76">
      <c r="BX755" s="129"/>
    </row>
    <row r="756" spans="76:76">
      <c r="BX756" s="129"/>
    </row>
    <row r="757" spans="76:76">
      <c r="BX757" s="129"/>
    </row>
    <row r="758" spans="76:76">
      <c r="BX758" s="129"/>
    </row>
    <row r="759" spans="76:76">
      <c r="BX759" s="129"/>
    </row>
    <row r="760" spans="76:76">
      <c r="BX760" s="129"/>
    </row>
    <row r="761" spans="76:76">
      <c r="BX761" s="129"/>
    </row>
    <row r="762" spans="76:76">
      <c r="BX762" s="129"/>
    </row>
    <row r="763" spans="76:76">
      <c r="BX763" s="129"/>
    </row>
    <row r="764" spans="76:76">
      <c r="BX764" s="129"/>
    </row>
    <row r="765" spans="76:76">
      <c r="BX765" s="129"/>
    </row>
    <row r="766" spans="76:76">
      <c r="BX766" s="129"/>
    </row>
    <row r="767" spans="76:76">
      <c r="BX767" s="129"/>
    </row>
    <row r="768" spans="76:76">
      <c r="BX768" s="129"/>
    </row>
    <row r="769" spans="76:76">
      <c r="BX769" s="129"/>
    </row>
    <row r="770" spans="76:76">
      <c r="BX770" s="129"/>
    </row>
    <row r="771" spans="76:76">
      <c r="BX771" s="129"/>
    </row>
    <row r="772" spans="76:76">
      <c r="BX772" s="129"/>
    </row>
    <row r="773" spans="76:76">
      <c r="BX773" s="129"/>
    </row>
    <row r="774" spans="76:76">
      <c r="BX774" s="129"/>
    </row>
    <row r="775" spans="76:76">
      <c r="BX775" s="129"/>
    </row>
    <row r="776" spans="76:76">
      <c r="BX776" s="129"/>
    </row>
    <row r="777" spans="76:76">
      <c r="BX777" s="129"/>
    </row>
    <row r="778" spans="76:76">
      <c r="BX778" s="129"/>
    </row>
    <row r="779" spans="76:76">
      <c r="BX779" s="129"/>
    </row>
    <row r="780" spans="76:76">
      <c r="BX780" s="129"/>
    </row>
    <row r="781" spans="76:76">
      <c r="BX781" s="129"/>
    </row>
    <row r="782" spans="76:76">
      <c r="BX782" s="129"/>
    </row>
    <row r="783" spans="76:76">
      <c r="BX783" s="129"/>
    </row>
    <row r="784" spans="76:76">
      <c r="BX784" s="129"/>
    </row>
    <row r="785" spans="76:76">
      <c r="BX785" s="129"/>
    </row>
    <row r="786" spans="76:76">
      <c r="BX786" s="129"/>
    </row>
    <row r="787" spans="76:76">
      <c r="BX787" s="129"/>
    </row>
    <row r="788" spans="76:76">
      <c r="BX788" s="129"/>
    </row>
    <row r="789" spans="76:76">
      <c r="BX789" s="129"/>
    </row>
    <row r="790" spans="76:76">
      <c r="BX790" s="129"/>
    </row>
    <row r="791" spans="76:76">
      <c r="BX791" s="129"/>
    </row>
    <row r="792" spans="76:76">
      <c r="BX792" s="129"/>
    </row>
    <row r="793" spans="76:76">
      <c r="BX793" s="129"/>
    </row>
    <row r="794" spans="76:76">
      <c r="BX794" s="129"/>
    </row>
    <row r="795" spans="76:76">
      <c r="BX795" s="129"/>
    </row>
    <row r="796" spans="76:76">
      <c r="BX796" s="129"/>
    </row>
    <row r="797" spans="76:76">
      <c r="BX797" s="129"/>
    </row>
    <row r="798" spans="76:76">
      <c r="BX798" s="129"/>
    </row>
    <row r="799" spans="76:76">
      <c r="BX799" s="129"/>
    </row>
    <row r="800" spans="76:76">
      <c r="BX800" s="129"/>
    </row>
    <row r="801" spans="76:76">
      <c r="BX801" s="129"/>
    </row>
    <row r="802" spans="76:76">
      <c r="BX802" s="129"/>
    </row>
    <row r="803" spans="76:76">
      <c r="BX803" s="129"/>
    </row>
    <row r="804" spans="76:76">
      <c r="BX804" s="129"/>
    </row>
    <row r="805" spans="76:76">
      <c r="BX805" s="129"/>
    </row>
    <row r="806" spans="76:76">
      <c r="BX806" s="129"/>
    </row>
    <row r="807" spans="76:76">
      <c r="BX807" s="129"/>
    </row>
    <row r="808" spans="76:76">
      <c r="BX808" s="129"/>
    </row>
    <row r="809" spans="76:76">
      <c r="BX809" s="129"/>
    </row>
    <row r="810" spans="76:76">
      <c r="BX810" s="129"/>
    </row>
    <row r="811" spans="76:76">
      <c r="BX811" s="129"/>
    </row>
    <row r="812" spans="76:76">
      <c r="BX812" s="129"/>
    </row>
    <row r="813" spans="76:76">
      <c r="BX813" s="129"/>
    </row>
    <row r="814" spans="76:76">
      <c r="BX814" s="129"/>
    </row>
    <row r="815" spans="76:76">
      <c r="BX815" s="129"/>
    </row>
    <row r="816" spans="76:76">
      <c r="BX816" s="129"/>
    </row>
    <row r="817" spans="76:76">
      <c r="BX817" s="129"/>
    </row>
    <row r="818" spans="76:76">
      <c r="BX818" s="129"/>
    </row>
    <row r="819" spans="76:76">
      <c r="BX819" s="129"/>
    </row>
    <row r="820" spans="76:76">
      <c r="BX820" s="129"/>
    </row>
    <row r="821" spans="76:76">
      <c r="BX821" s="129"/>
    </row>
    <row r="822" spans="76:76">
      <c r="BX822" s="129"/>
    </row>
    <row r="823" spans="76:76">
      <c r="BX823" s="129"/>
    </row>
    <row r="824" spans="76:76">
      <c r="BX824" s="129"/>
    </row>
    <row r="825" spans="76:76">
      <c r="BX825" s="129"/>
    </row>
    <row r="826" spans="76:76">
      <c r="BX826" s="129"/>
    </row>
    <row r="827" spans="76:76">
      <c r="BX827" s="129"/>
    </row>
    <row r="828" spans="76:76">
      <c r="BX828" s="129"/>
    </row>
    <row r="829" spans="76:76">
      <c r="BX829" s="129"/>
    </row>
    <row r="830" spans="76:76">
      <c r="BX830" s="129"/>
    </row>
    <row r="831" spans="76:76">
      <c r="BX831" s="129"/>
    </row>
    <row r="832" spans="76:76">
      <c r="BX832" s="129"/>
    </row>
    <row r="833" spans="76:76">
      <c r="BX833" s="129"/>
    </row>
    <row r="834" spans="76:76">
      <c r="BX834" s="129"/>
    </row>
    <row r="835" spans="76:76">
      <c r="BX835" s="129"/>
    </row>
    <row r="836" spans="76:76">
      <c r="BX836" s="129"/>
    </row>
    <row r="837" spans="76:76">
      <c r="BX837" s="129"/>
    </row>
    <row r="838" spans="76:76">
      <c r="BX838" s="129"/>
    </row>
    <row r="839" spans="76:76">
      <c r="BX839" s="129"/>
    </row>
    <row r="840" spans="76:76">
      <c r="BX840" s="129"/>
    </row>
    <row r="841" spans="76:76">
      <c r="BX841" s="129"/>
    </row>
    <row r="842" spans="76:76">
      <c r="BX842" s="129"/>
    </row>
    <row r="843" spans="76:76">
      <c r="BX843" s="129"/>
    </row>
    <row r="844" spans="76:76">
      <c r="BX844" s="129"/>
    </row>
    <row r="845" spans="76:76">
      <c r="BX845" s="129"/>
    </row>
    <row r="846" spans="76:76">
      <c r="BX846" s="129"/>
    </row>
    <row r="847" spans="76:76">
      <c r="BX847" s="129"/>
    </row>
    <row r="848" spans="76:76">
      <c r="BX848" s="129"/>
    </row>
    <row r="849" spans="76:76">
      <c r="BX849" s="129"/>
    </row>
    <row r="850" spans="76:76">
      <c r="BX850" s="129"/>
    </row>
    <row r="851" spans="76:76">
      <c r="BX851" s="129"/>
    </row>
    <row r="852" spans="76:76">
      <c r="BX852" s="129"/>
    </row>
    <row r="853" spans="76:76">
      <c r="BX853" s="129"/>
    </row>
    <row r="854" spans="76:76">
      <c r="BX854" s="129"/>
    </row>
    <row r="855" spans="76:76">
      <c r="BX855" s="129"/>
    </row>
    <row r="856" spans="76:76">
      <c r="BX856" s="129"/>
    </row>
    <row r="857" spans="76:76">
      <c r="BX857" s="129"/>
    </row>
    <row r="858" spans="76:76">
      <c r="BX858" s="129"/>
    </row>
    <row r="859" spans="76:76">
      <c r="BX859" s="129"/>
    </row>
    <row r="860" spans="76:76">
      <c r="BX860" s="129"/>
    </row>
    <row r="861" spans="76:76">
      <c r="BX861" s="129"/>
    </row>
    <row r="862" spans="76:76">
      <c r="BX862" s="129"/>
    </row>
    <row r="863" spans="76:76">
      <c r="BX863" s="129"/>
    </row>
    <row r="864" spans="76:76">
      <c r="BX864" s="129"/>
    </row>
    <row r="865" spans="76:76">
      <c r="BX865" s="129"/>
    </row>
    <row r="866" spans="76:76">
      <c r="BX866" s="129"/>
    </row>
    <row r="867" spans="76:76">
      <c r="BX867" s="129"/>
    </row>
    <row r="868" spans="76:76">
      <c r="BX868" s="129"/>
    </row>
    <row r="869" spans="76:76">
      <c r="BX869" s="129"/>
    </row>
    <row r="870" spans="76:76">
      <c r="BX870" s="129"/>
    </row>
    <row r="871" spans="76:76">
      <c r="BX871" s="129"/>
    </row>
    <row r="872" spans="76:76">
      <c r="BX872" s="129"/>
    </row>
    <row r="873" spans="76:76">
      <c r="BX873" s="129"/>
    </row>
    <row r="874" spans="76:76">
      <c r="BX874" s="129"/>
    </row>
    <row r="875" spans="76:76">
      <c r="BX875" s="129"/>
    </row>
    <row r="876" spans="76:76">
      <c r="BX876" s="129"/>
    </row>
    <row r="877" spans="76:76">
      <c r="BX877" s="129"/>
    </row>
    <row r="878" spans="76:76">
      <c r="BX878" s="129"/>
    </row>
    <row r="879" spans="76:76">
      <c r="BX879" s="129"/>
    </row>
    <row r="880" spans="76:76">
      <c r="BX880" s="129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243" t="s">
        <v>578</v>
      </c>
      <c r="J1" s="372" t="s">
        <v>766</v>
      </c>
    </row>
    <row r="2" spans="1:11" ht="37.5" customHeight="1">
      <c r="A2" s="201"/>
      <c r="B2" s="913" t="s">
        <v>770</v>
      </c>
      <c r="C2" s="913"/>
      <c r="D2" s="913"/>
      <c r="E2" s="913"/>
      <c r="F2" s="913"/>
      <c r="G2" s="913"/>
      <c r="H2" s="913"/>
      <c r="I2" s="913"/>
      <c r="J2" s="913"/>
      <c r="K2" s="913"/>
    </row>
    <row r="3" spans="1:11" ht="5.25" customHeight="1">
      <c r="A3" s="917" t="s">
        <v>303</v>
      </c>
      <c r="B3" s="920" t="s">
        <v>304</v>
      </c>
      <c r="C3" s="923" t="s">
        <v>305</v>
      </c>
      <c r="D3" s="924"/>
      <c r="E3" s="924"/>
      <c r="F3" s="924"/>
      <c r="G3" s="924"/>
      <c r="H3" s="925"/>
      <c r="I3" s="929" t="s">
        <v>648</v>
      </c>
      <c r="J3" s="914" t="s">
        <v>650</v>
      </c>
      <c r="K3" s="914" t="s">
        <v>772</v>
      </c>
    </row>
    <row r="4" spans="1:11" ht="9" customHeight="1">
      <c r="A4" s="918"/>
      <c r="B4" s="921"/>
      <c r="C4" s="926"/>
      <c r="D4" s="927"/>
      <c r="E4" s="927"/>
      <c r="F4" s="927"/>
      <c r="G4" s="927"/>
      <c r="H4" s="928"/>
      <c r="I4" s="930"/>
      <c r="J4" s="915"/>
      <c r="K4" s="915"/>
    </row>
    <row r="5" spans="1:11" ht="39" customHeight="1">
      <c r="A5" s="919"/>
      <c r="B5" s="922"/>
      <c r="C5" s="245" t="s">
        <v>579</v>
      </c>
      <c r="D5" s="244" t="s">
        <v>642</v>
      </c>
      <c r="E5" s="245" t="s">
        <v>580</v>
      </c>
      <c r="F5" s="245" t="s">
        <v>765</v>
      </c>
      <c r="G5" s="245" t="s">
        <v>643</v>
      </c>
      <c r="H5" s="245" t="s">
        <v>771</v>
      </c>
      <c r="I5" s="931"/>
      <c r="J5" s="916"/>
      <c r="K5" s="916"/>
    </row>
    <row r="6" spans="1:11" ht="12.75" customHeight="1">
      <c r="A6" s="246" t="s">
        <v>306</v>
      </c>
      <c r="B6" s="247" t="s">
        <v>307</v>
      </c>
      <c r="C6" s="248">
        <f t="shared" ref="C6:H6" si="0">SUM(C7:C18)</f>
        <v>0</v>
      </c>
      <c r="D6" s="248">
        <f t="shared" si="0"/>
        <v>0</v>
      </c>
      <c r="E6" s="248">
        <f t="shared" si="0"/>
        <v>0</v>
      </c>
      <c r="F6" s="248">
        <f t="shared" si="0"/>
        <v>0</v>
      </c>
      <c r="G6" s="248">
        <f t="shared" si="0"/>
        <v>0</v>
      </c>
      <c r="H6" s="248">
        <f t="shared" si="0"/>
        <v>301.56</v>
      </c>
      <c r="I6" s="249">
        <f>G6-E6</f>
        <v>0</v>
      </c>
      <c r="J6" s="302" t="e">
        <f>H6/F6</f>
        <v>#DIV/0!</v>
      </c>
      <c r="K6" s="302">
        <f>H6-G6</f>
        <v>301.56</v>
      </c>
    </row>
    <row r="7" spans="1:11" hidden="1">
      <c r="A7" s="214"/>
      <c r="B7" s="214" t="s">
        <v>308</v>
      </c>
      <c r="C7" s="217"/>
      <c r="D7" s="216"/>
      <c r="E7" s="217"/>
      <c r="F7" s="217"/>
      <c r="G7" s="217"/>
      <c r="H7" s="217"/>
      <c r="I7" s="249">
        <f t="shared" ref="I7:I71" si="1">G7-E7</f>
        <v>0</v>
      </c>
      <c r="J7" s="302" t="e">
        <f t="shared" ref="J7:J70" si="2">H7/F7</f>
        <v>#DIV/0!</v>
      </c>
      <c r="K7" s="302">
        <f t="shared" ref="K7:K71" si="3">H7-G7</f>
        <v>0</v>
      </c>
    </row>
    <row r="8" spans="1:11" ht="14.25" hidden="1" customHeight="1">
      <c r="A8" s="214"/>
      <c r="B8" s="214" t="s">
        <v>309</v>
      </c>
      <c r="C8" s="153"/>
      <c r="D8" s="16"/>
      <c r="E8" s="153"/>
      <c r="F8" s="153"/>
      <c r="G8" s="153"/>
      <c r="H8" s="153"/>
      <c r="I8" s="249">
        <f t="shared" si="1"/>
        <v>0</v>
      </c>
      <c r="J8" s="302" t="e">
        <f t="shared" si="2"/>
        <v>#DIV/0!</v>
      </c>
      <c r="K8" s="302">
        <f t="shared" si="3"/>
        <v>0</v>
      </c>
    </row>
    <row r="9" spans="1:11" ht="14.25" hidden="1" customHeight="1">
      <c r="A9" s="214"/>
      <c r="B9" s="224" t="s">
        <v>535</v>
      </c>
      <c r="C9" s="153"/>
      <c r="D9" s="16"/>
      <c r="E9" s="153"/>
      <c r="F9" s="153"/>
      <c r="G9" s="153"/>
      <c r="H9" s="153"/>
      <c r="I9" s="249">
        <f t="shared" si="1"/>
        <v>0</v>
      </c>
      <c r="J9" s="302" t="e">
        <f t="shared" si="2"/>
        <v>#DIV/0!</v>
      </c>
      <c r="K9" s="302">
        <f t="shared" si="3"/>
        <v>0</v>
      </c>
    </row>
    <row r="10" spans="1:11" ht="14.25" hidden="1" customHeight="1">
      <c r="A10" s="214"/>
      <c r="B10" s="224" t="s">
        <v>310</v>
      </c>
      <c r="C10" s="153"/>
      <c r="D10" s="16"/>
      <c r="E10" s="153"/>
      <c r="F10" s="153"/>
      <c r="G10" s="153"/>
      <c r="H10" s="153"/>
      <c r="I10" s="249">
        <f t="shared" si="1"/>
        <v>0</v>
      </c>
      <c r="J10" s="302" t="e">
        <f t="shared" si="2"/>
        <v>#DIV/0!</v>
      </c>
      <c r="K10" s="302">
        <f t="shared" si="3"/>
        <v>0</v>
      </c>
    </row>
    <row r="11" spans="1:11" ht="14.25" hidden="1" customHeight="1">
      <c r="A11" s="214"/>
      <c r="B11" s="224" t="s">
        <v>581</v>
      </c>
      <c r="C11" s="153"/>
      <c r="D11" s="16"/>
      <c r="E11" s="153"/>
      <c r="F11" s="153"/>
      <c r="G11" s="153"/>
      <c r="H11" s="153"/>
      <c r="I11" s="249">
        <f t="shared" si="1"/>
        <v>0</v>
      </c>
      <c r="J11" s="302" t="e">
        <f t="shared" si="2"/>
        <v>#DIV/0!</v>
      </c>
      <c r="K11" s="302">
        <f t="shared" si="3"/>
        <v>0</v>
      </c>
    </row>
    <row r="12" spans="1:11" ht="14.25" hidden="1" customHeight="1">
      <c r="A12" s="214"/>
      <c r="B12" s="224" t="s">
        <v>536</v>
      </c>
      <c r="C12" s="153"/>
      <c r="D12" s="16"/>
      <c r="E12" s="153"/>
      <c r="F12" s="153"/>
      <c r="G12" s="153"/>
      <c r="H12" s="153"/>
      <c r="I12" s="249">
        <f t="shared" si="1"/>
        <v>0</v>
      </c>
      <c r="J12" s="302" t="e">
        <f t="shared" si="2"/>
        <v>#DIV/0!</v>
      </c>
      <c r="K12" s="302">
        <f t="shared" si="3"/>
        <v>0</v>
      </c>
    </row>
    <row r="13" spans="1:11" ht="14.25" hidden="1" customHeight="1">
      <c r="A13" s="214"/>
      <c r="B13" s="224" t="s">
        <v>537</v>
      </c>
      <c r="C13" s="153"/>
      <c r="D13" s="16"/>
      <c r="E13" s="153"/>
      <c r="F13" s="153"/>
      <c r="G13" s="153"/>
      <c r="H13" s="153"/>
      <c r="I13" s="249">
        <f t="shared" si="1"/>
        <v>0</v>
      </c>
      <c r="J13" s="302" t="e">
        <f t="shared" si="2"/>
        <v>#DIV/0!</v>
      </c>
      <c r="K13" s="302">
        <f t="shared" si="3"/>
        <v>0</v>
      </c>
    </row>
    <row r="14" spans="1:11" ht="14.25" customHeight="1">
      <c r="A14" s="214"/>
      <c r="B14" s="274" t="s">
        <v>710</v>
      </c>
      <c r="C14" s="153"/>
      <c r="D14" s="16"/>
      <c r="E14" s="153"/>
      <c r="F14" s="153"/>
      <c r="G14" s="153"/>
      <c r="H14" s="153">
        <v>301.06</v>
      </c>
      <c r="I14" s="249">
        <f t="shared" si="1"/>
        <v>0</v>
      </c>
      <c r="J14" s="302" t="e">
        <f t="shared" si="2"/>
        <v>#DIV/0!</v>
      </c>
      <c r="K14" s="302">
        <f t="shared" si="3"/>
        <v>301.06</v>
      </c>
    </row>
    <row r="15" spans="1:11" ht="14.25" hidden="1" customHeight="1">
      <c r="A15" s="214"/>
      <c r="B15" s="224" t="s">
        <v>311</v>
      </c>
      <c r="C15" s="153"/>
      <c r="D15" s="16"/>
      <c r="E15" s="153"/>
      <c r="F15" s="153"/>
      <c r="G15" s="153"/>
      <c r="H15" s="153"/>
      <c r="I15" s="249">
        <f t="shared" si="1"/>
        <v>0</v>
      </c>
      <c r="J15" s="302" t="e">
        <f t="shared" si="2"/>
        <v>#DIV/0!</v>
      </c>
      <c r="K15" s="302">
        <f t="shared" si="3"/>
        <v>0</v>
      </c>
    </row>
    <row r="16" spans="1:11" ht="14.25" hidden="1" customHeight="1">
      <c r="A16" s="214"/>
      <c r="B16" s="224" t="s">
        <v>312</v>
      </c>
      <c r="C16" s="153"/>
      <c r="D16" s="16"/>
      <c r="E16" s="153"/>
      <c r="F16" s="153"/>
      <c r="G16" s="153"/>
      <c r="H16" s="153"/>
      <c r="I16" s="249">
        <f t="shared" si="1"/>
        <v>0</v>
      </c>
      <c r="J16" s="302" t="e">
        <f t="shared" si="2"/>
        <v>#DIV/0!</v>
      </c>
      <c r="K16" s="302">
        <f t="shared" si="3"/>
        <v>0</v>
      </c>
    </row>
    <row r="17" spans="1:11" ht="14.25" hidden="1" customHeight="1">
      <c r="A17" s="214"/>
      <c r="B17" s="224" t="s">
        <v>313</v>
      </c>
      <c r="C17" s="153"/>
      <c r="D17" s="16"/>
      <c r="E17" s="153"/>
      <c r="F17" s="153"/>
      <c r="G17" s="153"/>
      <c r="H17" s="153"/>
      <c r="I17" s="249">
        <f t="shared" si="1"/>
        <v>0</v>
      </c>
      <c r="J17" s="302" t="e">
        <f t="shared" si="2"/>
        <v>#DIV/0!</v>
      </c>
      <c r="K17" s="302">
        <f t="shared" si="3"/>
        <v>0</v>
      </c>
    </row>
    <row r="18" spans="1:11" ht="14.25" customHeight="1">
      <c r="A18" s="214"/>
      <c r="B18" s="224" t="s">
        <v>538</v>
      </c>
      <c r="C18" s="250"/>
      <c r="D18" s="16"/>
      <c r="E18" s="250"/>
      <c r="F18" s="250"/>
      <c r="G18" s="250"/>
      <c r="H18" s="250">
        <v>0.5</v>
      </c>
      <c r="I18" s="249">
        <f t="shared" si="1"/>
        <v>0</v>
      </c>
      <c r="J18" s="302" t="e">
        <f t="shared" si="2"/>
        <v>#DIV/0!</v>
      </c>
      <c r="K18" s="302">
        <f t="shared" si="3"/>
        <v>0.5</v>
      </c>
    </row>
    <row r="19" spans="1:11" ht="14.25" customHeight="1">
      <c r="A19" s="246" t="s">
        <v>314</v>
      </c>
      <c r="B19" s="247" t="s">
        <v>315</v>
      </c>
      <c r="C19" s="78">
        <f t="shared" ref="C19:H19" si="4">SUM(C20:C36)</f>
        <v>0.6</v>
      </c>
      <c r="D19" s="78">
        <f t="shared" si="4"/>
        <v>10.52</v>
      </c>
      <c r="E19" s="78">
        <f t="shared" si="4"/>
        <v>7.6</v>
      </c>
      <c r="F19" s="78">
        <f t="shared" si="4"/>
        <v>6.83</v>
      </c>
      <c r="G19" s="78">
        <f t="shared" si="4"/>
        <v>0</v>
      </c>
      <c r="H19" s="78">
        <f t="shared" si="4"/>
        <v>7.4</v>
      </c>
      <c r="I19" s="249">
        <f t="shared" si="1"/>
        <v>-7.6</v>
      </c>
      <c r="J19" s="302">
        <f t="shared" si="2"/>
        <v>1.0834553440702783</v>
      </c>
      <c r="K19" s="302">
        <f t="shared" si="3"/>
        <v>7.4</v>
      </c>
    </row>
    <row r="20" spans="1:11" ht="14.25" customHeight="1">
      <c r="A20" s="214"/>
      <c r="B20" s="214" t="s">
        <v>316</v>
      </c>
      <c r="C20" s="153"/>
      <c r="D20" s="153"/>
      <c r="E20" s="153"/>
      <c r="F20" s="153"/>
      <c r="G20" s="153"/>
      <c r="H20" s="153"/>
      <c r="I20" s="249">
        <f t="shared" si="1"/>
        <v>0</v>
      </c>
      <c r="J20" s="302" t="e">
        <f t="shared" si="2"/>
        <v>#DIV/0!</v>
      </c>
      <c r="K20" s="302">
        <f t="shared" si="3"/>
        <v>0</v>
      </c>
    </row>
    <row r="21" spans="1:11" ht="14.25" hidden="1" customHeight="1">
      <c r="A21" s="214"/>
      <c r="B21" s="224" t="s">
        <v>317</v>
      </c>
      <c r="C21" s="153"/>
      <c r="D21" s="153"/>
      <c r="E21" s="153"/>
      <c r="F21" s="153"/>
      <c r="G21" s="153"/>
      <c r="H21" s="153"/>
      <c r="I21" s="249">
        <f t="shared" si="1"/>
        <v>0</v>
      </c>
      <c r="J21" s="302" t="e">
        <f t="shared" si="2"/>
        <v>#DIV/0!</v>
      </c>
      <c r="K21" s="302">
        <f t="shared" si="3"/>
        <v>0</v>
      </c>
    </row>
    <row r="22" spans="1:11" ht="14.25" hidden="1" customHeight="1">
      <c r="A22" s="214"/>
      <c r="B22" s="224" t="s">
        <v>582</v>
      </c>
      <c r="C22" s="153"/>
      <c r="D22" s="153"/>
      <c r="E22" s="153"/>
      <c r="F22" s="153"/>
      <c r="G22" s="153"/>
      <c r="H22" s="153"/>
      <c r="I22" s="249">
        <f t="shared" si="1"/>
        <v>0</v>
      </c>
      <c r="J22" s="302" t="e">
        <f t="shared" si="2"/>
        <v>#DIV/0!</v>
      </c>
      <c r="K22" s="302">
        <f t="shared" si="3"/>
        <v>0</v>
      </c>
    </row>
    <row r="23" spans="1:11" ht="14.25" customHeight="1">
      <c r="A23" s="214"/>
      <c r="B23" s="270" t="s">
        <v>318</v>
      </c>
      <c r="C23" s="153">
        <v>0</v>
      </c>
      <c r="D23" s="153">
        <v>10.52</v>
      </c>
      <c r="E23" s="153">
        <v>7.6</v>
      </c>
      <c r="F23" s="153"/>
      <c r="G23" s="153"/>
      <c r="H23" s="153"/>
      <c r="I23" s="249">
        <f t="shared" si="1"/>
        <v>-7.6</v>
      </c>
      <c r="J23" s="302" t="e">
        <f t="shared" si="2"/>
        <v>#DIV/0!</v>
      </c>
      <c r="K23" s="302">
        <f t="shared" si="3"/>
        <v>0</v>
      </c>
    </row>
    <row r="24" spans="1:11" ht="14.25" hidden="1" customHeight="1">
      <c r="A24" s="214"/>
      <c r="B24" s="214" t="s">
        <v>583</v>
      </c>
      <c r="C24" s="153"/>
      <c r="D24" s="153"/>
      <c r="E24" s="153"/>
      <c r="F24" s="153"/>
      <c r="G24" s="153"/>
      <c r="H24" s="153"/>
      <c r="I24" s="249">
        <f t="shared" si="1"/>
        <v>0</v>
      </c>
      <c r="J24" s="302" t="e">
        <f t="shared" si="2"/>
        <v>#DIV/0!</v>
      </c>
      <c r="K24" s="302">
        <f t="shared" si="3"/>
        <v>0</v>
      </c>
    </row>
    <row r="25" spans="1:11" ht="14.25" customHeight="1">
      <c r="A25" s="214"/>
      <c r="B25" s="224" t="s">
        <v>539</v>
      </c>
      <c r="C25" s="153"/>
      <c r="D25" s="153"/>
      <c r="E25" s="153"/>
      <c r="F25" s="153">
        <v>6.83</v>
      </c>
      <c r="G25" s="153"/>
      <c r="H25" s="153"/>
      <c r="I25" s="249">
        <f t="shared" si="1"/>
        <v>0</v>
      </c>
      <c r="J25" s="302">
        <f t="shared" si="2"/>
        <v>0</v>
      </c>
      <c r="K25" s="302">
        <f t="shared" si="3"/>
        <v>0</v>
      </c>
    </row>
    <row r="26" spans="1:11" ht="14.25" hidden="1" customHeight="1">
      <c r="A26" s="214"/>
      <c r="B26" s="214" t="s">
        <v>616</v>
      </c>
      <c r="C26" s="153"/>
      <c r="D26" s="153"/>
      <c r="E26" s="153"/>
      <c r="F26" s="153"/>
      <c r="G26" s="153"/>
      <c r="H26" s="153"/>
      <c r="I26" s="249">
        <f t="shared" si="1"/>
        <v>0</v>
      </c>
      <c r="J26" s="302" t="e">
        <f t="shared" si="2"/>
        <v>#DIV/0!</v>
      </c>
      <c r="K26" s="302">
        <f t="shared" si="3"/>
        <v>0</v>
      </c>
    </row>
    <row r="27" spans="1:11" ht="14.25" customHeight="1">
      <c r="A27" s="214"/>
      <c r="B27" s="224" t="s">
        <v>540</v>
      </c>
      <c r="C27" s="153"/>
      <c r="D27" s="153"/>
      <c r="E27" s="153"/>
      <c r="F27" s="153"/>
      <c r="G27" s="153"/>
      <c r="H27" s="153">
        <v>7.4</v>
      </c>
      <c r="I27" s="249">
        <f t="shared" si="1"/>
        <v>0</v>
      </c>
      <c r="J27" s="302" t="e">
        <f t="shared" si="2"/>
        <v>#DIV/0!</v>
      </c>
      <c r="K27" s="302">
        <f t="shared" si="3"/>
        <v>7.4</v>
      </c>
    </row>
    <row r="28" spans="1:11" ht="14.25" hidden="1" customHeight="1">
      <c r="A28" s="214"/>
      <c r="B28" s="224" t="s">
        <v>584</v>
      </c>
      <c r="C28" s="153"/>
      <c r="D28" s="153"/>
      <c r="E28" s="153"/>
      <c r="F28" s="153"/>
      <c r="G28" s="153"/>
      <c r="H28" s="153"/>
      <c r="I28" s="249">
        <f t="shared" si="1"/>
        <v>0</v>
      </c>
      <c r="J28" s="302" t="e">
        <f t="shared" si="2"/>
        <v>#DIV/0!</v>
      </c>
      <c r="K28" s="302">
        <f t="shared" si="3"/>
        <v>0</v>
      </c>
    </row>
    <row r="29" spans="1:11" ht="14.25" hidden="1" customHeight="1">
      <c r="A29" s="214"/>
      <c r="B29" s="224" t="s">
        <v>319</v>
      </c>
      <c r="C29" s="153"/>
      <c r="D29" s="153"/>
      <c r="E29" s="153"/>
      <c r="F29" s="153"/>
      <c r="G29" s="153"/>
      <c r="H29" s="153"/>
      <c r="I29" s="249">
        <f t="shared" si="1"/>
        <v>0</v>
      </c>
      <c r="J29" s="302" t="e">
        <f t="shared" si="2"/>
        <v>#DIV/0!</v>
      </c>
      <c r="K29" s="302">
        <f t="shared" si="3"/>
        <v>0</v>
      </c>
    </row>
    <row r="30" spans="1:11" ht="14.25" hidden="1" customHeight="1">
      <c r="A30" s="214"/>
      <c r="B30" s="224" t="s">
        <v>320</v>
      </c>
      <c r="C30" s="153"/>
      <c r="D30" s="153"/>
      <c r="E30" s="153"/>
      <c r="F30" s="153"/>
      <c r="G30" s="153"/>
      <c r="H30" s="153"/>
      <c r="I30" s="249">
        <f t="shared" si="1"/>
        <v>0</v>
      </c>
      <c r="J30" s="302" t="e">
        <f t="shared" si="2"/>
        <v>#DIV/0!</v>
      </c>
      <c r="K30" s="302">
        <f t="shared" si="3"/>
        <v>0</v>
      </c>
    </row>
    <row r="31" spans="1:11" ht="14.25" hidden="1" customHeight="1">
      <c r="A31" s="214"/>
      <c r="B31" s="224" t="s">
        <v>321</v>
      </c>
      <c r="C31" s="153"/>
      <c r="D31" s="153"/>
      <c r="E31" s="153"/>
      <c r="F31" s="153"/>
      <c r="G31" s="153"/>
      <c r="H31" s="153"/>
      <c r="I31" s="249">
        <f t="shared" si="1"/>
        <v>0</v>
      </c>
      <c r="J31" s="302" t="e">
        <f t="shared" si="2"/>
        <v>#DIV/0!</v>
      </c>
      <c r="K31" s="302">
        <f t="shared" si="3"/>
        <v>0</v>
      </c>
    </row>
    <row r="32" spans="1:11" ht="14.25" hidden="1" customHeight="1">
      <c r="A32" s="214"/>
      <c r="B32" s="224" t="s">
        <v>322</v>
      </c>
      <c r="C32" s="153"/>
      <c r="D32" s="153"/>
      <c r="E32" s="153"/>
      <c r="F32" s="153"/>
      <c r="G32" s="153"/>
      <c r="H32" s="153"/>
      <c r="I32" s="249">
        <f t="shared" si="1"/>
        <v>0</v>
      </c>
      <c r="J32" s="302" t="e">
        <f t="shared" si="2"/>
        <v>#DIV/0!</v>
      </c>
      <c r="K32" s="302">
        <f t="shared" si="3"/>
        <v>0</v>
      </c>
    </row>
    <row r="33" spans="1:11" ht="14.25" hidden="1" customHeight="1">
      <c r="A33" s="214"/>
      <c r="B33" s="224" t="s">
        <v>585</v>
      </c>
      <c r="C33" s="153"/>
      <c r="D33" s="153"/>
      <c r="E33" s="153"/>
      <c r="F33" s="153"/>
      <c r="G33" s="153"/>
      <c r="H33" s="153"/>
      <c r="I33" s="249">
        <f t="shared" si="1"/>
        <v>0</v>
      </c>
      <c r="J33" s="302" t="e">
        <f t="shared" si="2"/>
        <v>#DIV/0!</v>
      </c>
      <c r="K33" s="302">
        <f t="shared" si="3"/>
        <v>0</v>
      </c>
    </row>
    <row r="34" spans="1:11" ht="14.25" hidden="1" customHeight="1">
      <c r="A34" s="214"/>
      <c r="B34" s="214" t="s">
        <v>541</v>
      </c>
      <c r="C34" s="153"/>
      <c r="D34" s="153"/>
      <c r="E34" s="153"/>
      <c r="F34" s="153"/>
      <c r="G34" s="153"/>
      <c r="H34" s="153"/>
      <c r="I34" s="249">
        <f t="shared" si="1"/>
        <v>0</v>
      </c>
      <c r="J34" s="302" t="e">
        <f t="shared" si="2"/>
        <v>#DIV/0!</v>
      </c>
      <c r="K34" s="302">
        <f t="shared" si="3"/>
        <v>0</v>
      </c>
    </row>
    <row r="35" spans="1:11" ht="14.25" hidden="1" customHeight="1">
      <c r="A35" s="214"/>
      <c r="B35" s="214" t="s">
        <v>323</v>
      </c>
      <c r="C35" s="153"/>
      <c r="D35" s="153"/>
      <c r="E35" s="153"/>
      <c r="F35" s="153"/>
      <c r="G35" s="153"/>
      <c r="H35" s="153"/>
      <c r="I35" s="249">
        <f t="shared" si="1"/>
        <v>0</v>
      </c>
      <c r="J35" s="302" t="e">
        <f t="shared" si="2"/>
        <v>#DIV/0!</v>
      </c>
      <c r="K35" s="302">
        <f t="shared" si="3"/>
        <v>0</v>
      </c>
    </row>
    <row r="36" spans="1:11" ht="14.25" hidden="1" customHeight="1">
      <c r="A36" s="214"/>
      <c r="B36" s="214" t="s">
        <v>542</v>
      </c>
      <c r="C36" s="250">
        <v>0.6</v>
      </c>
      <c r="D36" s="153"/>
      <c r="E36" s="250"/>
      <c r="F36" s="250"/>
      <c r="G36" s="250"/>
      <c r="H36" s="250"/>
      <c r="I36" s="249">
        <f t="shared" si="1"/>
        <v>0</v>
      </c>
      <c r="J36" s="302" t="e">
        <f t="shared" si="2"/>
        <v>#DIV/0!</v>
      </c>
      <c r="K36" s="302">
        <f t="shared" si="3"/>
        <v>0</v>
      </c>
    </row>
    <row r="37" spans="1:11" ht="14.25" customHeight="1">
      <c r="A37" s="246" t="s">
        <v>324</v>
      </c>
      <c r="B37" s="247" t="s">
        <v>325</v>
      </c>
      <c r="C37" s="78">
        <f t="shared" ref="C37:H37" si="5">SUM(C39:C73)</f>
        <v>34.4</v>
      </c>
      <c r="D37" s="78">
        <f t="shared" si="5"/>
        <v>79.360000000000014</v>
      </c>
      <c r="E37" s="78">
        <f t="shared" si="5"/>
        <v>84.399999999999991</v>
      </c>
      <c r="F37" s="78">
        <f t="shared" si="5"/>
        <v>168.03</v>
      </c>
      <c r="G37" s="78">
        <f t="shared" si="5"/>
        <v>147.92000000000002</v>
      </c>
      <c r="H37" s="78">
        <f t="shared" si="5"/>
        <v>468.7</v>
      </c>
      <c r="I37" s="249">
        <f t="shared" si="1"/>
        <v>63.520000000000024</v>
      </c>
      <c r="J37" s="302">
        <f t="shared" si="2"/>
        <v>2.7893828483008987</v>
      </c>
      <c r="K37" s="302">
        <f t="shared" si="3"/>
        <v>320.77999999999997</v>
      </c>
    </row>
    <row r="38" spans="1:11" ht="14.25" customHeight="1">
      <c r="A38" s="246"/>
      <c r="B38" s="247" t="s">
        <v>326</v>
      </c>
      <c r="C38" s="113">
        <f t="shared" ref="C38:H38" si="6">SUM(C39:C60)</f>
        <v>0</v>
      </c>
      <c r="D38" s="78">
        <f t="shared" si="6"/>
        <v>3.09</v>
      </c>
      <c r="E38" s="113">
        <f t="shared" si="6"/>
        <v>0</v>
      </c>
      <c r="F38" s="113">
        <f t="shared" si="6"/>
        <v>1.18</v>
      </c>
      <c r="G38" s="78">
        <f t="shared" si="6"/>
        <v>7.98</v>
      </c>
      <c r="H38" s="113">
        <f t="shared" si="6"/>
        <v>0.2</v>
      </c>
      <c r="I38" s="249">
        <f t="shared" si="1"/>
        <v>7.98</v>
      </c>
      <c r="J38" s="302">
        <f t="shared" si="2"/>
        <v>0.16949152542372883</v>
      </c>
      <c r="K38" s="302">
        <f t="shared" si="3"/>
        <v>-7.78</v>
      </c>
    </row>
    <row r="39" spans="1:11" ht="14.25" hidden="1" customHeight="1">
      <c r="A39" s="214"/>
      <c r="B39" s="224" t="s">
        <v>327</v>
      </c>
      <c r="C39" s="108"/>
      <c r="D39" s="153">
        <v>1.46</v>
      </c>
      <c r="E39" s="108"/>
      <c r="F39" s="108"/>
      <c r="G39" s="108"/>
      <c r="H39" s="108">
        <v>0.2</v>
      </c>
      <c r="I39" s="249">
        <f t="shared" si="1"/>
        <v>0</v>
      </c>
      <c r="J39" s="302"/>
      <c r="K39" s="302">
        <f t="shared" si="3"/>
        <v>0.2</v>
      </c>
    </row>
    <row r="40" spans="1:11" ht="14.25" hidden="1" customHeight="1">
      <c r="A40" s="214"/>
      <c r="B40" s="224" t="s">
        <v>328</v>
      </c>
      <c r="C40" s="108"/>
      <c r="D40" s="153"/>
      <c r="E40" s="108"/>
      <c r="F40" s="108"/>
      <c r="G40" s="108"/>
      <c r="H40" s="108"/>
      <c r="I40" s="249">
        <f t="shared" si="1"/>
        <v>0</v>
      </c>
      <c r="J40" s="302"/>
      <c r="K40" s="302">
        <f t="shared" si="3"/>
        <v>0</v>
      </c>
    </row>
    <row r="41" spans="1:11" ht="14.25" hidden="1" customHeight="1">
      <c r="A41" s="214"/>
      <c r="B41" s="224" t="s">
        <v>329</v>
      </c>
      <c r="C41" s="108"/>
      <c r="D41" s="153"/>
      <c r="E41" s="108"/>
      <c r="F41" s="108"/>
      <c r="G41" s="108"/>
      <c r="H41" s="108"/>
      <c r="I41" s="249">
        <f t="shared" si="1"/>
        <v>0</v>
      </c>
      <c r="J41" s="302"/>
      <c r="K41" s="302">
        <f t="shared" si="3"/>
        <v>0</v>
      </c>
    </row>
    <row r="42" spans="1:11" ht="14.25" customHeight="1">
      <c r="A42" s="214"/>
      <c r="B42" s="214" t="s">
        <v>330</v>
      </c>
      <c r="C42" s="108"/>
      <c r="D42" s="153"/>
      <c r="E42" s="108"/>
      <c r="F42" s="108">
        <v>1.18</v>
      </c>
      <c r="G42" s="108"/>
      <c r="H42" s="153"/>
      <c r="I42" s="249">
        <f t="shared" si="1"/>
        <v>0</v>
      </c>
      <c r="J42" s="302"/>
      <c r="K42" s="302">
        <f t="shared" si="3"/>
        <v>0</v>
      </c>
    </row>
    <row r="43" spans="1:11" ht="14.25" hidden="1" customHeight="1">
      <c r="A43" s="214"/>
      <c r="B43" s="214" t="s">
        <v>331</v>
      </c>
      <c r="C43" s="108"/>
      <c r="D43" s="153"/>
      <c r="E43" s="108"/>
      <c r="F43" s="108"/>
      <c r="G43" s="108"/>
      <c r="H43" s="108"/>
      <c r="I43" s="249">
        <f t="shared" si="1"/>
        <v>0</v>
      </c>
      <c r="J43" s="302"/>
      <c r="K43" s="302">
        <f t="shared" si="3"/>
        <v>0</v>
      </c>
    </row>
    <row r="44" spans="1:11" ht="14.25" hidden="1" customHeight="1">
      <c r="A44" s="214"/>
      <c r="B44" s="214" t="s">
        <v>332</v>
      </c>
      <c r="C44" s="108"/>
      <c r="D44" s="153"/>
      <c r="E44" s="108"/>
      <c r="F44" s="108"/>
      <c r="G44" s="108"/>
      <c r="H44" s="108"/>
      <c r="I44" s="249">
        <f t="shared" si="1"/>
        <v>0</v>
      </c>
      <c r="J44" s="302"/>
      <c r="K44" s="302">
        <f t="shared" si="3"/>
        <v>0</v>
      </c>
    </row>
    <row r="45" spans="1:11" ht="14.25" customHeight="1">
      <c r="A45" s="214"/>
      <c r="B45" s="214" t="s">
        <v>333</v>
      </c>
      <c r="C45" s="108"/>
      <c r="D45" s="153"/>
      <c r="E45" s="108"/>
      <c r="F45" s="108"/>
      <c r="G45" s="108">
        <v>5.7</v>
      </c>
      <c r="H45" s="108"/>
      <c r="I45" s="249">
        <f t="shared" si="1"/>
        <v>5.7</v>
      </c>
      <c r="J45" s="302"/>
      <c r="K45" s="302">
        <f t="shared" si="3"/>
        <v>-5.7</v>
      </c>
    </row>
    <row r="46" spans="1:11" ht="14.25" hidden="1" customHeight="1">
      <c r="A46" s="214"/>
      <c r="B46" s="214" t="s">
        <v>334</v>
      </c>
      <c r="C46" s="108"/>
      <c r="D46" s="153"/>
      <c r="E46" s="108"/>
      <c r="F46" s="108"/>
      <c r="G46" s="108"/>
      <c r="H46" s="108"/>
      <c r="I46" s="249">
        <f t="shared" si="1"/>
        <v>0</v>
      </c>
      <c r="J46" s="302"/>
      <c r="K46" s="302">
        <f t="shared" si="3"/>
        <v>0</v>
      </c>
    </row>
    <row r="47" spans="1:11" ht="14.25" hidden="1" customHeight="1">
      <c r="A47" s="214"/>
      <c r="B47" s="214" t="s">
        <v>335</v>
      </c>
      <c r="C47" s="108"/>
      <c r="D47" s="153"/>
      <c r="E47" s="108"/>
      <c r="F47" s="108"/>
      <c r="G47" s="108"/>
      <c r="H47" s="108"/>
      <c r="I47" s="249">
        <f t="shared" si="1"/>
        <v>0</v>
      </c>
      <c r="J47" s="302"/>
      <c r="K47" s="302">
        <f t="shared" si="3"/>
        <v>0</v>
      </c>
    </row>
    <row r="48" spans="1:11" ht="14.25" customHeight="1">
      <c r="A48" s="214"/>
      <c r="B48" s="214" t="s">
        <v>336</v>
      </c>
      <c r="C48" s="108"/>
      <c r="D48" s="153"/>
      <c r="E48" s="108"/>
      <c r="F48" s="108"/>
      <c r="G48" s="108">
        <v>0.3</v>
      </c>
      <c r="H48" s="153"/>
      <c r="I48" s="249">
        <f t="shared" si="1"/>
        <v>0.3</v>
      </c>
      <c r="J48" s="302"/>
      <c r="K48" s="302">
        <f t="shared" si="3"/>
        <v>-0.3</v>
      </c>
    </row>
    <row r="49" spans="1:11" ht="14.25" hidden="1" customHeight="1">
      <c r="A49" s="214"/>
      <c r="B49" s="214" t="s">
        <v>337</v>
      </c>
      <c r="C49" s="108"/>
      <c r="D49" s="153"/>
      <c r="E49" s="108"/>
      <c r="F49" s="108"/>
      <c r="G49" s="108"/>
      <c r="H49" s="108"/>
      <c r="I49" s="249">
        <f t="shared" si="1"/>
        <v>0</v>
      </c>
      <c r="J49" s="302"/>
      <c r="K49" s="302">
        <f t="shared" si="3"/>
        <v>0</v>
      </c>
    </row>
    <row r="50" spans="1:11" ht="14.25" hidden="1" customHeight="1">
      <c r="A50" s="214"/>
      <c r="B50" s="228" t="s">
        <v>338</v>
      </c>
      <c r="C50" s="108"/>
      <c r="D50" s="153"/>
      <c r="E50" s="108"/>
      <c r="F50" s="108"/>
      <c r="G50" s="108"/>
      <c r="H50" s="108"/>
      <c r="I50" s="249">
        <f t="shared" si="1"/>
        <v>0</v>
      </c>
      <c r="J50" s="302"/>
      <c r="K50" s="302">
        <f t="shared" si="3"/>
        <v>0</v>
      </c>
    </row>
    <row r="51" spans="1:11" ht="14.25" hidden="1" customHeight="1">
      <c r="A51" s="214"/>
      <c r="B51" s="214" t="s">
        <v>543</v>
      </c>
      <c r="C51" s="250"/>
      <c r="D51" s="153"/>
      <c r="E51" s="250"/>
      <c r="F51" s="250"/>
      <c r="G51" s="250"/>
      <c r="H51" s="250"/>
      <c r="I51" s="249">
        <f t="shared" si="1"/>
        <v>0</v>
      </c>
      <c r="J51" s="302"/>
      <c r="K51" s="302">
        <f t="shared" si="3"/>
        <v>0</v>
      </c>
    </row>
    <row r="52" spans="1:11" ht="14.25" customHeight="1">
      <c r="A52" s="214"/>
      <c r="B52" s="214" t="s">
        <v>339</v>
      </c>
      <c r="C52" s="108"/>
      <c r="D52" s="153"/>
      <c r="E52" s="108"/>
      <c r="F52" s="108"/>
      <c r="G52" s="108">
        <v>1.98</v>
      </c>
      <c r="H52" s="108"/>
      <c r="I52" s="249">
        <f t="shared" si="1"/>
        <v>1.98</v>
      </c>
      <c r="J52" s="302"/>
      <c r="K52" s="302">
        <f t="shared" si="3"/>
        <v>-1.98</v>
      </c>
    </row>
    <row r="53" spans="1:11" ht="14.25" hidden="1" customHeight="1">
      <c r="A53" s="214"/>
      <c r="B53" s="214" t="s">
        <v>340</v>
      </c>
      <c r="C53" s="108"/>
      <c r="D53" s="153"/>
      <c r="E53" s="108"/>
      <c r="F53" s="108"/>
      <c r="G53" s="108"/>
      <c r="H53" s="108"/>
      <c r="I53" s="249">
        <f t="shared" si="1"/>
        <v>0</v>
      </c>
      <c r="J53" s="302" t="e">
        <f t="shared" si="2"/>
        <v>#DIV/0!</v>
      </c>
      <c r="K53" s="302">
        <f t="shared" si="3"/>
        <v>0</v>
      </c>
    </row>
    <row r="54" spans="1:11" ht="14.25" hidden="1" customHeight="1">
      <c r="A54" s="214"/>
      <c r="B54" s="214" t="s">
        <v>611</v>
      </c>
      <c r="C54" s="108"/>
      <c r="D54" s="153"/>
      <c r="E54" s="108"/>
      <c r="F54" s="108"/>
      <c r="G54" s="108"/>
      <c r="H54" s="108"/>
      <c r="I54" s="249">
        <f t="shared" si="1"/>
        <v>0</v>
      </c>
      <c r="J54" s="302" t="e">
        <f t="shared" si="2"/>
        <v>#DIV/0!</v>
      </c>
      <c r="K54" s="302">
        <f t="shared" si="3"/>
        <v>0</v>
      </c>
    </row>
    <row r="55" spans="1:11" ht="14.25" hidden="1" customHeight="1">
      <c r="A55" s="214"/>
      <c r="B55" s="214" t="s">
        <v>696</v>
      </c>
      <c r="C55" s="108"/>
      <c r="D55" s="153"/>
      <c r="E55" s="108"/>
      <c r="F55" s="108"/>
      <c r="G55" s="108"/>
      <c r="H55" s="108"/>
      <c r="I55" s="249">
        <f t="shared" si="1"/>
        <v>0</v>
      </c>
      <c r="J55" s="302" t="e">
        <f t="shared" si="2"/>
        <v>#DIV/0!</v>
      </c>
      <c r="K55" s="302">
        <f t="shared" si="3"/>
        <v>0</v>
      </c>
    </row>
    <row r="56" spans="1:11" ht="14.25" hidden="1" customHeight="1">
      <c r="A56" s="214"/>
      <c r="B56" s="228" t="s">
        <v>341</v>
      </c>
      <c r="C56" s="108"/>
      <c r="D56" s="153"/>
      <c r="E56" s="108"/>
      <c r="F56" s="108"/>
      <c r="G56" s="108"/>
      <c r="H56" s="108"/>
      <c r="I56" s="249">
        <f t="shared" si="1"/>
        <v>0</v>
      </c>
      <c r="J56" s="302" t="e">
        <f t="shared" si="2"/>
        <v>#DIV/0!</v>
      </c>
      <c r="K56" s="302">
        <f t="shared" si="3"/>
        <v>0</v>
      </c>
    </row>
    <row r="57" spans="1:11" ht="14.25" hidden="1" customHeight="1">
      <c r="A57" s="214"/>
      <c r="B57" s="214" t="s">
        <v>342</v>
      </c>
      <c r="C57" s="108"/>
      <c r="D57" s="153">
        <v>1.63</v>
      </c>
      <c r="E57" s="108"/>
      <c r="F57" s="108"/>
      <c r="G57" s="108"/>
      <c r="H57" s="108"/>
      <c r="I57" s="249">
        <f t="shared" si="1"/>
        <v>0</v>
      </c>
      <c r="J57" s="302" t="e">
        <f t="shared" si="2"/>
        <v>#DIV/0!</v>
      </c>
      <c r="K57" s="302">
        <f t="shared" si="3"/>
        <v>0</v>
      </c>
    </row>
    <row r="58" spans="1:11" ht="14.25" hidden="1" customHeight="1">
      <c r="A58" s="214"/>
      <c r="B58" s="214" t="s">
        <v>343</v>
      </c>
      <c r="C58" s="108"/>
      <c r="D58" s="153"/>
      <c r="E58" s="108"/>
      <c r="F58" s="108"/>
      <c r="G58" s="108"/>
      <c r="H58" s="108"/>
      <c r="I58" s="249">
        <f t="shared" si="1"/>
        <v>0</v>
      </c>
      <c r="J58" s="302" t="e">
        <f t="shared" si="2"/>
        <v>#DIV/0!</v>
      </c>
      <c r="K58" s="302">
        <f t="shared" si="3"/>
        <v>0</v>
      </c>
    </row>
    <row r="59" spans="1:11" ht="14.25" hidden="1" customHeight="1">
      <c r="A59" s="214"/>
      <c r="B59" s="228" t="s">
        <v>344</v>
      </c>
      <c r="C59" s="108"/>
      <c r="D59" s="153"/>
      <c r="E59" s="108"/>
      <c r="F59" s="108"/>
      <c r="G59" s="108"/>
      <c r="H59" s="108"/>
      <c r="I59" s="249">
        <f t="shared" si="1"/>
        <v>0</v>
      </c>
      <c r="J59" s="302" t="e">
        <f t="shared" si="2"/>
        <v>#DIV/0!</v>
      </c>
      <c r="K59" s="302">
        <f t="shared" si="3"/>
        <v>0</v>
      </c>
    </row>
    <row r="60" spans="1:11" ht="14.25" hidden="1" customHeight="1">
      <c r="A60" s="214"/>
      <c r="B60" s="214" t="s">
        <v>72</v>
      </c>
      <c r="C60" s="108"/>
      <c r="D60" s="153"/>
      <c r="E60" s="108"/>
      <c r="F60" s="108"/>
      <c r="G60" s="108"/>
      <c r="H60" s="108"/>
      <c r="I60" s="249">
        <f t="shared" si="1"/>
        <v>0</v>
      </c>
      <c r="J60" s="302" t="e">
        <f t="shared" si="2"/>
        <v>#DIV/0!</v>
      </c>
      <c r="K60" s="302">
        <f t="shared" si="3"/>
        <v>0</v>
      </c>
    </row>
    <row r="61" spans="1:11" ht="14.25" customHeight="1">
      <c r="A61" s="214"/>
      <c r="B61" s="214" t="s">
        <v>586</v>
      </c>
      <c r="C61" s="153"/>
      <c r="D61" s="153"/>
      <c r="E61" s="153">
        <v>9.4</v>
      </c>
      <c r="F61" s="153">
        <v>9.42</v>
      </c>
      <c r="G61" s="153">
        <v>9.43</v>
      </c>
      <c r="H61" s="153">
        <v>45.6</v>
      </c>
      <c r="I61" s="249">
        <f t="shared" si="1"/>
        <v>2.9999999999999361E-2</v>
      </c>
      <c r="J61" s="302">
        <f t="shared" si="2"/>
        <v>4.8407643312101909</v>
      </c>
      <c r="K61" s="302">
        <f t="shared" si="3"/>
        <v>36.17</v>
      </c>
    </row>
    <row r="62" spans="1:11" ht="14.25" customHeight="1">
      <c r="A62" s="214"/>
      <c r="B62" s="214" t="s">
        <v>587</v>
      </c>
      <c r="C62" s="153"/>
      <c r="D62" s="153">
        <v>4.0599999999999996</v>
      </c>
      <c r="E62" s="153">
        <v>9.6</v>
      </c>
      <c r="F62" s="153">
        <v>12.25</v>
      </c>
      <c r="G62" s="153">
        <v>0</v>
      </c>
      <c r="H62" s="153">
        <v>262.89999999999998</v>
      </c>
      <c r="I62" s="249">
        <f t="shared" si="1"/>
        <v>-9.6</v>
      </c>
      <c r="J62" s="302">
        <f t="shared" si="2"/>
        <v>21.461224489795917</v>
      </c>
      <c r="K62" s="302">
        <f t="shared" si="3"/>
        <v>262.89999999999998</v>
      </c>
    </row>
    <row r="63" spans="1:11" ht="14.25" hidden="1" customHeight="1">
      <c r="A63" s="214"/>
      <c r="B63" s="214" t="s">
        <v>588</v>
      </c>
      <c r="C63" s="153"/>
      <c r="D63" s="153"/>
      <c r="E63" s="153"/>
      <c r="F63" s="153"/>
      <c r="G63" s="153"/>
      <c r="H63" s="153"/>
      <c r="I63" s="249">
        <f t="shared" si="1"/>
        <v>0</v>
      </c>
      <c r="J63" s="302" t="e">
        <f t="shared" si="2"/>
        <v>#DIV/0!</v>
      </c>
      <c r="K63" s="302">
        <f t="shared" si="3"/>
        <v>0</v>
      </c>
    </row>
    <row r="64" spans="1:11" ht="14.25" customHeight="1">
      <c r="A64" s="214"/>
      <c r="B64" s="214" t="s">
        <v>589</v>
      </c>
      <c r="C64" s="153"/>
      <c r="D64" s="153">
        <v>9.86</v>
      </c>
      <c r="E64" s="153">
        <v>5</v>
      </c>
      <c r="F64" s="153">
        <v>19.329999999999998</v>
      </c>
      <c r="G64" s="153">
        <v>19.3</v>
      </c>
      <c r="H64" s="153">
        <v>40</v>
      </c>
      <c r="I64" s="249">
        <f t="shared" si="1"/>
        <v>14.3</v>
      </c>
      <c r="J64" s="302">
        <f t="shared" si="2"/>
        <v>2.0693222969477496</v>
      </c>
      <c r="K64" s="302">
        <f t="shared" si="3"/>
        <v>20.7</v>
      </c>
    </row>
    <row r="65" spans="1:11" ht="14.25" customHeight="1">
      <c r="A65" s="214"/>
      <c r="B65" s="214" t="s">
        <v>546</v>
      </c>
      <c r="C65" s="108"/>
      <c r="D65" s="153"/>
      <c r="E65" s="108">
        <v>2.4</v>
      </c>
      <c r="F65" s="108">
        <v>20.100000000000001</v>
      </c>
      <c r="G65" s="108">
        <v>23.4</v>
      </c>
      <c r="H65" s="108">
        <v>22.8</v>
      </c>
      <c r="I65" s="249">
        <f t="shared" si="1"/>
        <v>21</v>
      </c>
      <c r="J65" s="302">
        <f t="shared" si="2"/>
        <v>1.1343283582089552</v>
      </c>
      <c r="K65" s="302">
        <f t="shared" si="3"/>
        <v>-0.59999999999999787</v>
      </c>
    </row>
    <row r="66" spans="1:11" ht="14.25" customHeight="1">
      <c r="A66" s="214"/>
      <c r="B66" s="224" t="s">
        <v>590</v>
      </c>
      <c r="C66" s="153"/>
      <c r="D66" s="153">
        <v>9.86</v>
      </c>
      <c r="E66" s="153"/>
      <c r="F66" s="153">
        <v>5.7</v>
      </c>
      <c r="G66" s="153">
        <v>5.73</v>
      </c>
      <c r="H66" s="153">
        <v>42.9</v>
      </c>
      <c r="I66" s="249">
        <f t="shared" si="1"/>
        <v>5.73</v>
      </c>
      <c r="J66" s="302">
        <f t="shared" si="2"/>
        <v>7.5263157894736841</v>
      </c>
      <c r="K66" s="302">
        <f t="shared" si="3"/>
        <v>37.17</v>
      </c>
    </row>
    <row r="67" spans="1:11" ht="14.25" customHeight="1">
      <c r="A67" s="214"/>
      <c r="B67" s="224" t="s">
        <v>345</v>
      </c>
      <c r="C67" s="153">
        <v>3.7</v>
      </c>
      <c r="D67" s="153">
        <v>7.6</v>
      </c>
      <c r="E67" s="153">
        <v>15.5</v>
      </c>
      <c r="F67" s="153">
        <v>33.799999999999997</v>
      </c>
      <c r="G67" s="153">
        <v>30.93</v>
      </c>
      <c r="H67" s="153">
        <v>14</v>
      </c>
      <c r="I67" s="249">
        <f t="shared" si="1"/>
        <v>15.43</v>
      </c>
      <c r="J67" s="302">
        <f t="shared" si="2"/>
        <v>0.41420118343195272</v>
      </c>
      <c r="K67" s="302">
        <f t="shared" si="3"/>
        <v>-16.93</v>
      </c>
    </row>
    <row r="68" spans="1:11" ht="14.25" customHeight="1">
      <c r="A68" s="214"/>
      <c r="B68" s="224" t="s">
        <v>591</v>
      </c>
      <c r="C68" s="108"/>
      <c r="D68" s="153">
        <v>2.4900000000000002</v>
      </c>
      <c r="E68" s="108"/>
      <c r="F68" s="108">
        <v>11.05</v>
      </c>
      <c r="G68" s="108">
        <v>4.1500000000000004</v>
      </c>
      <c r="H68" s="108"/>
      <c r="I68" s="249">
        <f t="shared" si="1"/>
        <v>4.1500000000000004</v>
      </c>
      <c r="J68" s="302">
        <f t="shared" si="2"/>
        <v>0</v>
      </c>
      <c r="K68" s="302">
        <f t="shared" si="3"/>
        <v>-4.1500000000000004</v>
      </c>
    </row>
    <row r="69" spans="1:11" ht="14.25" hidden="1" customHeight="1">
      <c r="A69" s="214"/>
      <c r="B69" s="224" t="s">
        <v>592</v>
      </c>
      <c r="C69" s="108"/>
      <c r="D69" s="153"/>
      <c r="E69" s="108"/>
      <c r="F69" s="108"/>
      <c r="G69" s="108"/>
      <c r="H69" s="108"/>
      <c r="I69" s="249">
        <f t="shared" si="1"/>
        <v>0</v>
      </c>
      <c r="J69" s="302" t="e">
        <f t="shared" si="2"/>
        <v>#DIV/0!</v>
      </c>
      <c r="K69" s="302">
        <f t="shared" si="3"/>
        <v>0</v>
      </c>
    </row>
    <row r="70" spans="1:11" ht="14.25" customHeight="1">
      <c r="A70" s="214"/>
      <c r="B70" s="224" t="s">
        <v>346</v>
      </c>
      <c r="C70" s="153">
        <v>3.7</v>
      </c>
      <c r="D70" s="153"/>
      <c r="E70" s="108"/>
      <c r="F70" s="108"/>
      <c r="G70" s="108"/>
      <c r="H70" s="153">
        <v>1</v>
      </c>
      <c r="I70" s="249">
        <f t="shared" si="1"/>
        <v>0</v>
      </c>
      <c r="J70" s="302" t="e">
        <f t="shared" si="2"/>
        <v>#DIV/0!</v>
      </c>
      <c r="K70" s="302">
        <f t="shared" si="3"/>
        <v>1</v>
      </c>
    </row>
    <row r="71" spans="1:11" ht="14.25" hidden="1" customHeight="1">
      <c r="A71" s="214"/>
      <c r="B71" s="224" t="s">
        <v>549</v>
      </c>
      <c r="C71" s="108"/>
      <c r="D71" s="153"/>
      <c r="E71" s="108"/>
      <c r="F71" s="108"/>
      <c r="G71" s="108"/>
      <c r="H71" s="108"/>
      <c r="I71" s="249">
        <f t="shared" si="1"/>
        <v>0</v>
      </c>
      <c r="J71" s="302" t="e">
        <f t="shared" ref="J71:J134" si="7">H71/F71</f>
        <v>#DIV/0!</v>
      </c>
      <c r="K71" s="302">
        <f t="shared" si="3"/>
        <v>0</v>
      </c>
    </row>
    <row r="72" spans="1:11" ht="14.25" customHeight="1">
      <c r="A72" s="214"/>
      <c r="B72" s="224" t="s">
        <v>390</v>
      </c>
      <c r="C72" s="108">
        <v>27</v>
      </c>
      <c r="D72" s="153">
        <v>28.5</v>
      </c>
      <c r="E72" s="108">
        <v>38.9</v>
      </c>
      <c r="F72" s="108">
        <v>47.1</v>
      </c>
      <c r="G72" s="108">
        <v>38.9</v>
      </c>
      <c r="H72" s="108">
        <v>39.299999999999997</v>
      </c>
      <c r="I72" s="249">
        <f t="shared" ref="I72:I135" si="8">G72-E72</f>
        <v>0</v>
      </c>
      <c r="J72" s="302">
        <f t="shared" si="7"/>
        <v>0.83439490445859865</v>
      </c>
      <c r="K72" s="302">
        <f t="shared" ref="K72:K135" si="9">H72-G72</f>
        <v>0.39999999999999858</v>
      </c>
    </row>
    <row r="73" spans="1:11" ht="14.25" customHeight="1">
      <c r="A73" s="214"/>
      <c r="B73" s="224" t="s">
        <v>347</v>
      </c>
      <c r="C73" s="108"/>
      <c r="D73" s="153">
        <v>13.9</v>
      </c>
      <c r="E73" s="108">
        <v>3.6</v>
      </c>
      <c r="F73" s="108">
        <v>8.1</v>
      </c>
      <c r="G73" s="108">
        <v>8.1</v>
      </c>
      <c r="H73" s="108"/>
      <c r="I73" s="249">
        <f t="shared" si="8"/>
        <v>4.5</v>
      </c>
      <c r="J73" s="302">
        <f t="shared" si="7"/>
        <v>0</v>
      </c>
      <c r="K73" s="302">
        <f t="shared" si="9"/>
        <v>-8.1</v>
      </c>
    </row>
    <row r="74" spans="1:11" ht="14.25" hidden="1" customHeight="1">
      <c r="A74" s="251"/>
      <c r="B74" s="252" t="s">
        <v>348</v>
      </c>
      <c r="C74" s="113">
        <f>SUM(C75:C81)</f>
        <v>0</v>
      </c>
      <c r="D74" s="113">
        <f>SUM(D75:D81)</f>
        <v>0</v>
      </c>
      <c r="E74" s="113">
        <f>SUM(E75:E81)</f>
        <v>0</v>
      </c>
      <c r="F74" s="113"/>
      <c r="G74" s="113">
        <f>SUM(G75:G81)</f>
        <v>0</v>
      </c>
      <c r="H74" s="113"/>
      <c r="I74" s="249">
        <f t="shared" si="8"/>
        <v>0</v>
      </c>
      <c r="J74" s="302" t="e">
        <f t="shared" si="7"/>
        <v>#DIV/0!</v>
      </c>
      <c r="K74" s="302">
        <f t="shared" si="9"/>
        <v>0</v>
      </c>
    </row>
    <row r="75" spans="1:11" ht="14.25" hidden="1" customHeight="1">
      <c r="A75" s="214"/>
      <c r="B75" s="214" t="s">
        <v>349</v>
      </c>
      <c r="C75" s="250"/>
      <c r="D75" s="16"/>
      <c r="E75" s="250">
        <f>K75+O75+S75+W75+AA75+AL75+AP75+AT75+AX75+BF75+BJ75+BZ75+CH75+CL75+CP75+CT75+CX75+DB75+BB75+BN75+BV75</f>
        <v>0</v>
      </c>
      <c r="F75" s="250"/>
      <c r="G75" s="250">
        <f>M75+Q75+U75+Y75+AC75+AN75+AR75+AV75+AZ75+BH75+BL75+CB75+CJ75+CN75+CR75+CV75+CZ75+DD75+BD75+BP75+BX75</f>
        <v>0</v>
      </c>
      <c r="H75" s="250"/>
      <c r="I75" s="249">
        <f t="shared" si="8"/>
        <v>0</v>
      </c>
      <c r="J75" s="302" t="e">
        <f t="shared" si="7"/>
        <v>#DIV/0!</v>
      </c>
      <c r="K75" s="302">
        <f t="shared" si="9"/>
        <v>0</v>
      </c>
    </row>
    <row r="76" spans="1:11" ht="14.25" hidden="1" customHeight="1">
      <c r="A76" s="214"/>
      <c r="B76" s="214" t="s">
        <v>593</v>
      </c>
      <c r="C76" s="250"/>
      <c r="D76" s="16"/>
      <c r="E76" s="250">
        <f t="shared" ref="E76:G81" si="10">K76+O76+S76+W76+AA76+AL76+AP76+AT76+AX76+BF76+BJ76+BZ76+CH76+CL76+CP76+CT76+CX76+DB76+BN76+BV76</f>
        <v>0</v>
      </c>
      <c r="F76" s="250"/>
      <c r="G76" s="250">
        <f t="shared" si="10"/>
        <v>0</v>
      </c>
      <c r="H76" s="250"/>
      <c r="I76" s="249">
        <f t="shared" si="8"/>
        <v>0</v>
      </c>
      <c r="J76" s="302" t="e">
        <f t="shared" si="7"/>
        <v>#DIV/0!</v>
      </c>
      <c r="K76" s="302">
        <f t="shared" si="9"/>
        <v>0</v>
      </c>
    </row>
    <row r="77" spans="1:11" ht="14.25" hidden="1" customHeight="1">
      <c r="A77" s="214"/>
      <c r="B77" s="214" t="s">
        <v>350</v>
      </c>
      <c r="C77" s="250"/>
      <c r="D77" s="16"/>
      <c r="E77" s="250">
        <f t="shared" si="10"/>
        <v>0</v>
      </c>
      <c r="F77" s="250"/>
      <c r="G77" s="250">
        <f t="shared" si="10"/>
        <v>0</v>
      </c>
      <c r="H77" s="250"/>
      <c r="I77" s="249">
        <f t="shared" si="8"/>
        <v>0</v>
      </c>
      <c r="J77" s="302" t="e">
        <f t="shared" si="7"/>
        <v>#DIV/0!</v>
      </c>
      <c r="K77" s="302">
        <f t="shared" si="9"/>
        <v>0</v>
      </c>
    </row>
    <row r="78" spans="1:11" ht="14.25" hidden="1" customHeight="1">
      <c r="A78" s="214"/>
      <c r="B78" s="214" t="s">
        <v>351</v>
      </c>
      <c r="C78" s="250"/>
      <c r="D78" s="16"/>
      <c r="E78" s="250">
        <f t="shared" si="10"/>
        <v>0</v>
      </c>
      <c r="F78" s="250"/>
      <c r="G78" s="250">
        <f t="shared" si="10"/>
        <v>0</v>
      </c>
      <c r="H78" s="250"/>
      <c r="I78" s="249">
        <f t="shared" si="8"/>
        <v>0</v>
      </c>
      <c r="J78" s="302" t="e">
        <f t="shared" si="7"/>
        <v>#DIV/0!</v>
      </c>
      <c r="K78" s="302">
        <f t="shared" si="9"/>
        <v>0</v>
      </c>
    </row>
    <row r="79" spans="1:11" ht="14.25" hidden="1" customHeight="1">
      <c r="A79" s="214"/>
      <c r="B79" s="214" t="s">
        <v>352</v>
      </c>
      <c r="C79" s="250"/>
      <c r="D79" s="16"/>
      <c r="E79" s="250">
        <f t="shared" si="10"/>
        <v>0</v>
      </c>
      <c r="F79" s="250"/>
      <c r="G79" s="250">
        <f t="shared" si="10"/>
        <v>0</v>
      </c>
      <c r="H79" s="250"/>
      <c r="I79" s="249">
        <f t="shared" si="8"/>
        <v>0</v>
      </c>
      <c r="J79" s="302" t="e">
        <f t="shared" si="7"/>
        <v>#DIV/0!</v>
      </c>
      <c r="K79" s="302">
        <f t="shared" si="9"/>
        <v>0</v>
      </c>
    </row>
    <row r="80" spans="1:11" ht="14.25" hidden="1" customHeight="1">
      <c r="A80" s="214"/>
      <c r="B80" s="214" t="s">
        <v>353</v>
      </c>
      <c r="C80" s="250"/>
      <c r="D80" s="16"/>
      <c r="E80" s="250">
        <f t="shared" si="10"/>
        <v>0</v>
      </c>
      <c r="F80" s="250"/>
      <c r="G80" s="250">
        <f t="shared" si="10"/>
        <v>0</v>
      </c>
      <c r="H80" s="250"/>
      <c r="I80" s="249">
        <f t="shared" si="8"/>
        <v>0</v>
      </c>
      <c r="J80" s="302" t="e">
        <f t="shared" si="7"/>
        <v>#DIV/0!</v>
      </c>
      <c r="K80" s="302">
        <f t="shared" si="9"/>
        <v>0</v>
      </c>
    </row>
    <row r="81" spans="1:11" ht="14.25" hidden="1" customHeight="1">
      <c r="A81" s="214"/>
      <c r="B81" s="214" t="s">
        <v>354</v>
      </c>
      <c r="C81" s="250"/>
      <c r="D81" s="16"/>
      <c r="E81" s="250">
        <f t="shared" si="10"/>
        <v>0</v>
      </c>
      <c r="F81" s="250"/>
      <c r="G81" s="250">
        <f t="shared" si="10"/>
        <v>0</v>
      </c>
      <c r="H81" s="250"/>
      <c r="I81" s="249">
        <f t="shared" si="8"/>
        <v>0</v>
      </c>
      <c r="J81" s="302" t="e">
        <f t="shared" si="7"/>
        <v>#DIV/0!</v>
      </c>
      <c r="K81" s="302">
        <f t="shared" si="9"/>
        <v>0</v>
      </c>
    </row>
    <row r="82" spans="1:11" ht="14.25" customHeight="1">
      <c r="A82" s="246" t="s">
        <v>355</v>
      </c>
      <c r="B82" s="247" t="s">
        <v>356</v>
      </c>
      <c r="C82" s="113">
        <f t="shared" ref="C82:H82" si="11">SUM(C83:C91)</f>
        <v>2687.25</v>
      </c>
      <c r="D82" s="78">
        <f t="shared" si="11"/>
        <v>3676.66</v>
      </c>
      <c r="E82" s="113">
        <f t="shared" si="11"/>
        <v>2794.7</v>
      </c>
      <c r="F82" s="113">
        <f t="shared" si="11"/>
        <v>2601.1999999999998</v>
      </c>
      <c r="G82" s="78">
        <f t="shared" si="11"/>
        <v>2632.8</v>
      </c>
      <c r="H82" s="78">
        <f t="shared" si="11"/>
        <v>3784.8500000000004</v>
      </c>
      <c r="I82" s="249">
        <f t="shared" si="8"/>
        <v>-161.89999999999964</v>
      </c>
      <c r="J82" s="302">
        <f t="shared" si="7"/>
        <v>1.4550399815469786</v>
      </c>
      <c r="K82" s="302">
        <f t="shared" si="9"/>
        <v>1152.0500000000002</v>
      </c>
    </row>
    <row r="83" spans="1:11" ht="14.25" hidden="1" customHeight="1">
      <c r="A83" s="214"/>
      <c r="B83" s="214" t="s">
        <v>357</v>
      </c>
      <c r="C83" s="250"/>
      <c r="D83" s="16"/>
      <c r="E83" s="250"/>
      <c r="F83" s="250"/>
      <c r="G83" s="153"/>
      <c r="H83" s="250"/>
      <c r="I83" s="249">
        <f t="shared" si="8"/>
        <v>0</v>
      </c>
      <c r="J83" s="302" t="e">
        <f t="shared" si="7"/>
        <v>#DIV/0!</v>
      </c>
      <c r="K83" s="302">
        <f t="shared" si="9"/>
        <v>0</v>
      </c>
    </row>
    <row r="84" spans="1:11" ht="14.25" hidden="1" customHeight="1">
      <c r="A84" s="214"/>
      <c r="B84" s="214" t="s">
        <v>358</v>
      </c>
      <c r="C84" s="250">
        <v>0.25</v>
      </c>
      <c r="D84" s="250"/>
      <c r="E84" s="250"/>
      <c r="F84" s="250"/>
      <c r="G84" s="153"/>
      <c r="H84" s="250"/>
      <c r="I84" s="249">
        <f t="shared" si="8"/>
        <v>0</v>
      </c>
      <c r="J84" s="302" t="e">
        <f t="shared" si="7"/>
        <v>#DIV/0!</v>
      </c>
      <c r="K84" s="302">
        <f t="shared" si="9"/>
        <v>0</v>
      </c>
    </row>
    <row r="85" spans="1:11" ht="14.25" customHeight="1">
      <c r="A85" s="214"/>
      <c r="B85" s="214" t="s">
        <v>594</v>
      </c>
      <c r="C85" s="108">
        <v>2687</v>
      </c>
      <c r="D85" s="153">
        <v>2703.33</v>
      </c>
      <c r="E85" s="108">
        <v>2769.5</v>
      </c>
      <c r="F85" s="108">
        <v>2430.1</v>
      </c>
      <c r="G85" s="153">
        <v>2439</v>
      </c>
      <c r="H85" s="153">
        <v>1684.7</v>
      </c>
      <c r="I85" s="249">
        <f t="shared" si="8"/>
        <v>-330.5</v>
      </c>
      <c r="J85" s="302">
        <f t="shared" si="7"/>
        <v>0.69326365170157611</v>
      </c>
      <c r="K85" s="302">
        <f t="shared" si="9"/>
        <v>-754.3</v>
      </c>
    </row>
    <row r="86" spans="1:11" ht="14.25" hidden="1" customHeight="1">
      <c r="A86" s="214"/>
      <c r="B86" s="224" t="s">
        <v>359</v>
      </c>
      <c r="C86" s="250"/>
      <c r="D86" s="153"/>
      <c r="E86" s="250"/>
      <c r="F86" s="250"/>
      <c r="G86" s="153"/>
      <c r="H86" s="153"/>
      <c r="I86" s="249">
        <f t="shared" si="8"/>
        <v>0</v>
      </c>
      <c r="J86" s="302" t="e">
        <f t="shared" si="7"/>
        <v>#DIV/0!</v>
      </c>
      <c r="K86" s="302">
        <f t="shared" si="9"/>
        <v>0</v>
      </c>
    </row>
    <row r="87" spans="1:11" ht="14.25" customHeight="1">
      <c r="A87" s="214"/>
      <c r="B87" s="224" t="s">
        <v>552</v>
      </c>
      <c r="C87" s="153"/>
      <c r="D87" s="153"/>
      <c r="E87" s="153"/>
      <c r="F87" s="153">
        <v>54.65</v>
      </c>
      <c r="G87" s="153">
        <v>54.7</v>
      </c>
      <c r="H87" s="153">
        <v>1606.1</v>
      </c>
      <c r="I87" s="249">
        <f t="shared" si="8"/>
        <v>54.7</v>
      </c>
      <c r="J87" s="302">
        <f t="shared" si="7"/>
        <v>29.388838060384263</v>
      </c>
      <c r="K87" s="302">
        <f t="shared" si="9"/>
        <v>1551.3999999999999</v>
      </c>
    </row>
    <row r="88" spans="1:11" ht="14.25" customHeight="1">
      <c r="A88" s="214"/>
      <c r="B88" s="224" t="s">
        <v>360</v>
      </c>
      <c r="C88" s="153"/>
      <c r="D88" s="153"/>
      <c r="E88" s="153">
        <v>21.1</v>
      </c>
      <c r="F88" s="153">
        <v>21.1</v>
      </c>
      <c r="G88" s="153">
        <v>21.07</v>
      </c>
      <c r="H88" s="153">
        <v>21.07</v>
      </c>
      <c r="I88" s="249">
        <f t="shared" si="8"/>
        <v>-3.0000000000001137E-2</v>
      </c>
      <c r="J88" s="302">
        <f t="shared" si="7"/>
        <v>0.99857819905213263</v>
      </c>
      <c r="K88" s="302">
        <f t="shared" si="9"/>
        <v>0</v>
      </c>
    </row>
    <row r="89" spans="1:11" ht="14.25" hidden="1" customHeight="1">
      <c r="A89" s="214"/>
      <c r="B89" s="214" t="s">
        <v>553</v>
      </c>
      <c r="C89" s="153"/>
      <c r="D89" s="153"/>
      <c r="E89" s="153"/>
      <c r="F89" s="153"/>
      <c r="G89" s="153"/>
      <c r="H89" s="153"/>
      <c r="I89" s="249">
        <f t="shared" si="8"/>
        <v>0</v>
      </c>
      <c r="J89" s="302" t="e">
        <f t="shared" si="7"/>
        <v>#DIV/0!</v>
      </c>
      <c r="K89" s="302">
        <f t="shared" si="9"/>
        <v>0</v>
      </c>
    </row>
    <row r="90" spans="1:11" ht="14.25" customHeight="1">
      <c r="A90" s="214"/>
      <c r="B90" s="214" t="s">
        <v>595</v>
      </c>
      <c r="C90" s="153"/>
      <c r="D90" s="153"/>
      <c r="E90" s="153">
        <v>4.0999999999999996</v>
      </c>
      <c r="F90" s="153">
        <v>92.75</v>
      </c>
      <c r="G90" s="153">
        <v>115.15</v>
      </c>
      <c r="H90" s="153">
        <v>101.8</v>
      </c>
      <c r="I90" s="249">
        <f t="shared" si="8"/>
        <v>111.05000000000001</v>
      </c>
      <c r="J90" s="302">
        <f t="shared" si="7"/>
        <v>1.0975741239892183</v>
      </c>
      <c r="K90" s="302">
        <f t="shared" si="9"/>
        <v>-13.350000000000009</v>
      </c>
    </row>
    <row r="91" spans="1:11" ht="14.25" customHeight="1">
      <c r="A91" s="214"/>
      <c r="B91" s="214" t="s">
        <v>361</v>
      </c>
      <c r="C91" s="153">
        <v>0</v>
      </c>
      <c r="D91" s="153">
        <v>973.33</v>
      </c>
      <c r="E91" s="153"/>
      <c r="F91" s="153">
        <v>2.6</v>
      </c>
      <c r="G91" s="153">
        <v>2.88</v>
      </c>
      <c r="H91" s="153">
        <v>371.18</v>
      </c>
      <c r="I91" s="249">
        <f t="shared" si="8"/>
        <v>2.88</v>
      </c>
      <c r="J91" s="302">
        <f t="shared" si="7"/>
        <v>142.76153846153846</v>
      </c>
      <c r="K91" s="302">
        <f t="shared" si="9"/>
        <v>368.3</v>
      </c>
    </row>
    <row r="92" spans="1:11" ht="14.25" customHeight="1">
      <c r="A92" s="246" t="s">
        <v>362</v>
      </c>
      <c r="B92" s="247" t="s">
        <v>363</v>
      </c>
      <c r="C92" s="113">
        <f>SUM(C95:C139)</f>
        <v>3125.0399999999995</v>
      </c>
      <c r="D92" s="78">
        <f>SUM(D95:D139)</f>
        <v>5973.329999999999</v>
      </c>
      <c r="E92" s="113">
        <f>SUM(E95:E139)</f>
        <v>4042.1000000000008</v>
      </c>
      <c r="F92" s="78">
        <f>SUM(F93:F139)</f>
        <v>6499.56</v>
      </c>
      <c r="G92" s="78">
        <f>SUM(G93:G139)</f>
        <v>6251.03</v>
      </c>
      <c r="H92" s="78">
        <f>SUM(H93:H139)</f>
        <v>4140.3100000000004</v>
      </c>
      <c r="I92" s="249">
        <f t="shared" si="8"/>
        <v>2208.9299999999989</v>
      </c>
      <c r="J92" s="302">
        <f t="shared" si="7"/>
        <v>0.63701389017102694</v>
      </c>
      <c r="K92" s="302">
        <f t="shared" si="9"/>
        <v>-2110.7199999999993</v>
      </c>
    </row>
    <row r="93" spans="1:11" ht="14.25" hidden="1" customHeight="1">
      <c r="A93" s="229"/>
      <c r="B93" s="224" t="s">
        <v>364</v>
      </c>
      <c r="C93" s="250"/>
      <c r="D93" s="16"/>
      <c r="E93" s="250"/>
      <c r="F93" s="153"/>
      <c r="G93" s="250"/>
      <c r="H93" s="250"/>
      <c r="I93" s="249">
        <f t="shared" si="8"/>
        <v>0</v>
      </c>
      <c r="J93" s="302" t="e">
        <f t="shared" si="7"/>
        <v>#DIV/0!</v>
      </c>
      <c r="K93" s="302">
        <f t="shared" si="9"/>
        <v>0</v>
      </c>
    </row>
    <row r="94" spans="1:11" ht="14.25" hidden="1" customHeight="1">
      <c r="A94" s="229"/>
      <c r="B94" s="224" t="s">
        <v>596</v>
      </c>
      <c r="C94" s="250"/>
      <c r="D94" s="16"/>
      <c r="E94" s="250"/>
      <c r="F94" s="153"/>
      <c r="G94" s="250"/>
      <c r="H94" s="250"/>
      <c r="I94" s="249">
        <f t="shared" si="8"/>
        <v>0</v>
      </c>
      <c r="J94" s="302" t="e">
        <f t="shared" si="7"/>
        <v>#DIV/0!</v>
      </c>
      <c r="K94" s="302">
        <f t="shared" si="9"/>
        <v>0</v>
      </c>
    </row>
    <row r="95" spans="1:11" ht="14.25" customHeight="1">
      <c r="A95" s="229"/>
      <c r="B95" s="224" t="s">
        <v>597</v>
      </c>
      <c r="C95" s="250"/>
      <c r="D95" s="153"/>
      <c r="E95" s="250">
        <v>583.20000000000005</v>
      </c>
      <c r="F95" s="153">
        <v>775.8</v>
      </c>
      <c r="G95" s="250">
        <v>778.19</v>
      </c>
      <c r="H95" s="250">
        <v>780.4</v>
      </c>
      <c r="I95" s="249">
        <f t="shared" si="8"/>
        <v>194.99</v>
      </c>
      <c r="J95" s="302">
        <f t="shared" si="7"/>
        <v>1.005929363237948</v>
      </c>
      <c r="K95" s="302">
        <f t="shared" si="9"/>
        <v>2.2099999999999227</v>
      </c>
    </row>
    <row r="96" spans="1:11" ht="14.25" hidden="1" customHeight="1">
      <c r="A96" s="214"/>
      <c r="B96" s="214" t="s">
        <v>365</v>
      </c>
      <c r="C96" s="250"/>
      <c r="D96" s="153"/>
      <c r="E96" s="250"/>
      <c r="F96" s="153"/>
      <c r="G96" s="250"/>
      <c r="H96" s="250"/>
      <c r="I96" s="249">
        <f t="shared" si="8"/>
        <v>0</v>
      </c>
      <c r="J96" s="302" t="e">
        <f t="shared" si="7"/>
        <v>#DIV/0!</v>
      </c>
      <c r="K96" s="302">
        <f t="shared" si="9"/>
        <v>0</v>
      </c>
    </row>
    <row r="97" spans="1:11" ht="14.25" customHeight="1">
      <c r="A97" s="214"/>
      <c r="B97" s="214" t="s">
        <v>366</v>
      </c>
      <c r="C97" s="250"/>
      <c r="D97" s="153">
        <v>29.35</v>
      </c>
      <c r="E97" s="250"/>
      <c r="F97" s="153"/>
      <c r="G97" s="250"/>
      <c r="H97" s="250">
        <v>44.71</v>
      </c>
      <c r="I97" s="249">
        <f t="shared" si="8"/>
        <v>0</v>
      </c>
      <c r="J97" s="302" t="e">
        <f t="shared" si="7"/>
        <v>#DIV/0!</v>
      </c>
      <c r="K97" s="302">
        <f t="shared" si="9"/>
        <v>44.71</v>
      </c>
    </row>
    <row r="98" spans="1:11" ht="14.25" customHeight="1">
      <c r="A98" s="214"/>
      <c r="B98" s="214" t="s">
        <v>367</v>
      </c>
      <c r="C98" s="153">
        <v>9.1999999999999993</v>
      </c>
      <c r="D98" s="153">
        <v>42.1</v>
      </c>
      <c r="E98" s="153">
        <v>38.700000000000003</v>
      </c>
      <c r="F98" s="153">
        <v>72.8</v>
      </c>
      <c r="G98" s="153">
        <v>73.06</v>
      </c>
      <c r="H98" s="153">
        <v>90.9</v>
      </c>
      <c r="I98" s="249">
        <f t="shared" si="8"/>
        <v>34.36</v>
      </c>
      <c r="J98" s="302">
        <f t="shared" si="7"/>
        <v>1.2486263736263739</v>
      </c>
      <c r="K98" s="302">
        <f t="shared" si="9"/>
        <v>17.840000000000003</v>
      </c>
    </row>
    <row r="99" spans="1:11" ht="14.25" customHeight="1">
      <c r="A99" s="214"/>
      <c r="B99" s="214" t="s">
        <v>368</v>
      </c>
      <c r="C99" s="153">
        <v>2918.9</v>
      </c>
      <c r="D99" s="153">
        <v>2742.87</v>
      </c>
      <c r="E99" s="153">
        <v>2918.9</v>
      </c>
      <c r="F99" s="153">
        <v>2925.4</v>
      </c>
      <c r="G99" s="153">
        <v>2925.43</v>
      </c>
      <c r="H99" s="153">
        <v>1105.5999999999999</v>
      </c>
      <c r="I99" s="249">
        <f t="shared" si="8"/>
        <v>6.5299999999997453</v>
      </c>
      <c r="J99" s="302">
        <f t="shared" si="7"/>
        <v>0.37793122308060434</v>
      </c>
      <c r="K99" s="302">
        <f t="shared" si="9"/>
        <v>-1819.83</v>
      </c>
    </row>
    <row r="100" spans="1:11" ht="14.25" customHeight="1">
      <c r="A100" s="214"/>
      <c r="B100" s="214" t="s">
        <v>598</v>
      </c>
      <c r="C100" s="250"/>
      <c r="D100" s="153"/>
      <c r="E100" s="250"/>
      <c r="F100" s="153"/>
      <c r="G100" s="250">
        <v>1.96</v>
      </c>
      <c r="H100" s="250"/>
      <c r="I100" s="249">
        <f t="shared" si="8"/>
        <v>1.96</v>
      </c>
      <c r="J100" s="302"/>
      <c r="K100" s="302">
        <f t="shared" si="9"/>
        <v>-1.96</v>
      </c>
    </row>
    <row r="101" spans="1:11" ht="14.25" hidden="1" customHeight="1">
      <c r="A101" s="214"/>
      <c r="B101" s="214" t="s">
        <v>711</v>
      </c>
      <c r="C101" s="250"/>
      <c r="D101" s="153"/>
      <c r="E101" s="250"/>
      <c r="F101" s="153"/>
      <c r="G101" s="250"/>
      <c r="H101" s="250"/>
      <c r="I101" s="249">
        <f t="shared" si="8"/>
        <v>0</v>
      </c>
      <c r="J101" s="302" t="e">
        <f t="shared" si="7"/>
        <v>#DIV/0!</v>
      </c>
      <c r="K101" s="302">
        <f t="shared" si="9"/>
        <v>0</v>
      </c>
    </row>
    <row r="102" spans="1:11" ht="14.25" hidden="1" customHeight="1">
      <c r="A102" s="214"/>
      <c r="B102" s="214" t="s">
        <v>369</v>
      </c>
      <c r="C102" s="250"/>
      <c r="D102" s="153"/>
      <c r="E102" s="250"/>
      <c r="F102" s="153"/>
      <c r="G102" s="250"/>
      <c r="H102" s="250"/>
      <c r="I102" s="249">
        <f t="shared" si="8"/>
        <v>0</v>
      </c>
      <c r="J102" s="302" t="e">
        <f t="shared" si="7"/>
        <v>#DIV/0!</v>
      </c>
      <c r="K102" s="302">
        <f t="shared" si="9"/>
        <v>0</v>
      </c>
    </row>
    <row r="103" spans="1:11" ht="14.25" hidden="1" customHeight="1">
      <c r="A103" s="214"/>
      <c r="B103" s="214" t="s">
        <v>370</v>
      </c>
      <c r="C103" s="250"/>
      <c r="D103" s="153"/>
      <c r="E103" s="250"/>
      <c r="F103" s="153"/>
      <c r="G103" s="250"/>
      <c r="H103" s="250"/>
      <c r="I103" s="249">
        <f t="shared" si="8"/>
        <v>0</v>
      </c>
      <c r="J103" s="302" t="e">
        <f t="shared" si="7"/>
        <v>#DIV/0!</v>
      </c>
      <c r="K103" s="302">
        <f t="shared" si="9"/>
        <v>0</v>
      </c>
    </row>
    <row r="104" spans="1:11" ht="14.25" hidden="1" customHeight="1">
      <c r="A104" s="214"/>
      <c r="B104" s="214" t="s">
        <v>371</v>
      </c>
      <c r="C104" s="250"/>
      <c r="D104" s="153"/>
      <c r="E104" s="250"/>
      <c r="F104" s="153"/>
      <c r="G104" s="250"/>
      <c r="H104" s="250"/>
      <c r="I104" s="249">
        <f t="shared" si="8"/>
        <v>0</v>
      </c>
      <c r="J104" s="302" t="e">
        <f t="shared" si="7"/>
        <v>#DIV/0!</v>
      </c>
      <c r="K104" s="302">
        <f t="shared" si="9"/>
        <v>0</v>
      </c>
    </row>
    <row r="105" spans="1:11" ht="14.25" hidden="1" customHeight="1">
      <c r="A105" s="214"/>
      <c r="B105" s="214" t="s">
        <v>372</v>
      </c>
      <c r="C105" s="250"/>
      <c r="D105" s="153"/>
      <c r="E105" s="250"/>
      <c r="F105" s="153"/>
      <c r="G105" s="250"/>
      <c r="H105" s="250"/>
      <c r="I105" s="249">
        <f t="shared" si="8"/>
        <v>0</v>
      </c>
      <c r="J105" s="302" t="e">
        <f t="shared" si="7"/>
        <v>#DIV/0!</v>
      </c>
      <c r="K105" s="302">
        <f t="shared" si="9"/>
        <v>0</v>
      </c>
    </row>
    <row r="106" spans="1:11" ht="14.25" hidden="1" customHeight="1">
      <c r="A106" s="214"/>
      <c r="B106" s="214" t="s">
        <v>373</v>
      </c>
      <c r="C106" s="250"/>
      <c r="D106" s="153"/>
      <c r="E106" s="250"/>
      <c r="F106" s="153"/>
      <c r="G106" s="250"/>
      <c r="H106" s="250"/>
      <c r="I106" s="249">
        <f t="shared" si="8"/>
        <v>0</v>
      </c>
      <c r="J106" s="302" t="e">
        <f t="shared" si="7"/>
        <v>#DIV/0!</v>
      </c>
      <c r="K106" s="302">
        <f t="shared" si="9"/>
        <v>0</v>
      </c>
    </row>
    <row r="107" spans="1:11" ht="14.25" customHeight="1">
      <c r="A107" s="214"/>
      <c r="B107" s="214" t="s">
        <v>599</v>
      </c>
      <c r="C107" s="153">
        <v>57</v>
      </c>
      <c r="D107" s="153"/>
      <c r="E107" s="153">
        <v>113.3</v>
      </c>
      <c r="F107" s="153">
        <v>121.1</v>
      </c>
      <c r="G107" s="153">
        <v>123.7</v>
      </c>
      <c r="H107" s="153">
        <v>128.65</v>
      </c>
      <c r="I107" s="249">
        <f t="shared" si="8"/>
        <v>10.400000000000006</v>
      </c>
      <c r="J107" s="302">
        <f t="shared" si="7"/>
        <v>1.0623451692815855</v>
      </c>
      <c r="K107" s="302">
        <f t="shared" si="9"/>
        <v>4.9500000000000028</v>
      </c>
    </row>
    <row r="108" spans="1:11" ht="14.25" customHeight="1">
      <c r="A108" s="214"/>
      <c r="B108" s="214" t="s">
        <v>557</v>
      </c>
      <c r="C108" s="250"/>
      <c r="D108" s="153">
        <v>3.01</v>
      </c>
      <c r="E108" s="250">
        <v>3</v>
      </c>
      <c r="F108" s="153">
        <v>3.01</v>
      </c>
      <c r="G108" s="250">
        <v>3</v>
      </c>
      <c r="H108" s="250">
        <v>3</v>
      </c>
      <c r="I108" s="249">
        <f t="shared" si="8"/>
        <v>0</v>
      </c>
      <c r="J108" s="302">
        <f t="shared" si="7"/>
        <v>0.99667774086378746</v>
      </c>
      <c r="K108" s="302">
        <f t="shared" si="9"/>
        <v>0</v>
      </c>
    </row>
    <row r="109" spans="1:11" ht="14.25" hidden="1" customHeight="1">
      <c r="A109" s="214"/>
      <c r="B109" s="214" t="s">
        <v>647</v>
      </c>
      <c r="C109" s="153"/>
      <c r="D109" s="153"/>
      <c r="E109" s="153"/>
      <c r="F109" s="153"/>
      <c r="G109" s="153"/>
      <c r="H109" s="153"/>
      <c r="I109" s="249">
        <f t="shared" si="8"/>
        <v>0</v>
      </c>
      <c r="J109" s="302"/>
      <c r="K109" s="302">
        <f t="shared" si="9"/>
        <v>0</v>
      </c>
    </row>
    <row r="110" spans="1:11" ht="14.25" hidden="1" customHeight="1">
      <c r="A110" s="214"/>
      <c r="B110" s="214" t="s">
        <v>374</v>
      </c>
      <c r="C110" s="250"/>
      <c r="D110" s="153"/>
      <c r="E110" s="250"/>
      <c r="F110" s="153"/>
      <c r="G110" s="250"/>
      <c r="H110" s="250"/>
      <c r="I110" s="249">
        <f t="shared" si="8"/>
        <v>0</v>
      </c>
      <c r="J110" s="302"/>
      <c r="K110" s="302">
        <f t="shared" si="9"/>
        <v>0</v>
      </c>
    </row>
    <row r="111" spans="1:11" ht="14.25" customHeight="1">
      <c r="A111" s="214"/>
      <c r="B111" s="214" t="s">
        <v>375</v>
      </c>
      <c r="C111" s="250"/>
      <c r="D111" s="153"/>
      <c r="E111" s="250"/>
      <c r="F111" s="153"/>
      <c r="G111" s="250">
        <v>1.68</v>
      </c>
      <c r="H111" s="250">
        <v>3.3</v>
      </c>
      <c r="I111" s="249">
        <f t="shared" si="8"/>
        <v>1.68</v>
      </c>
      <c r="J111" s="302"/>
      <c r="K111" s="302">
        <f t="shared" si="9"/>
        <v>1.6199999999999999</v>
      </c>
    </row>
    <row r="112" spans="1:11" ht="15.75" hidden="1" customHeight="1">
      <c r="A112" s="214"/>
      <c r="B112" s="214" t="s">
        <v>376</v>
      </c>
      <c r="C112" s="250">
        <v>9.0399999999999991</v>
      </c>
      <c r="D112" s="250">
        <v>9.0399999999999991</v>
      </c>
      <c r="E112" s="250"/>
      <c r="F112" s="153"/>
      <c r="G112" s="250"/>
      <c r="H112" s="250"/>
      <c r="I112" s="249">
        <f t="shared" si="8"/>
        <v>0</v>
      </c>
      <c r="J112" s="302"/>
      <c r="K112" s="302">
        <f t="shared" si="9"/>
        <v>0</v>
      </c>
    </row>
    <row r="113" spans="1:11" ht="14.25" hidden="1" customHeight="1">
      <c r="A113" s="214"/>
      <c r="B113" s="214" t="s">
        <v>377</v>
      </c>
      <c r="C113" s="153"/>
      <c r="D113" s="153"/>
      <c r="E113" s="153"/>
      <c r="F113" s="153"/>
      <c r="G113" s="153"/>
      <c r="H113" s="153"/>
      <c r="I113" s="249">
        <f t="shared" si="8"/>
        <v>0</v>
      </c>
      <c r="J113" s="302"/>
      <c r="K113" s="302">
        <f t="shared" si="9"/>
        <v>0</v>
      </c>
    </row>
    <row r="114" spans="1:11" ht="14.25" hidden="1" customHeight="1">
      <c r="A114" s="214"/>
      <c r="B114" s="214" t="s">
        <v>644</v>
      </c>
      <c r="C114" s="250"/>
      <c r="D114" s="153">
        <v>12.2</v>
      </c>
      <c r="E114" s="250"/>
      <c r="F114" s="153"/>
      <c r="G114" s="250"/>
      <c r="H114" s="250"/>
      <c r="I114" s="249">
        <f t="shared" si="8"/>
        <v>0</v>
      </c>
      <c r="J114" s="302"/>
      <c r="K114" s="302">
        <f t="shared" si="9"/>
        <v>0</v>
      </c>
    </row>
    <row r="115" spans="1:11" ht="14.25" hidden="1" customHeight="1">
      <c r="A115" s="214"/>
      <c r="B115" s="214" t="s">
        <v>646</v>
      </c>
      <c r="C115" s="250"/>
      <c r="D115" s="153"/>
      <c r="E115" s="250"/>
      <c r="F115" s="153"/>
      <c r="G115" s="250"/>
      <c r="H115" s="250"/>
      <c r="I115" s="249">
        <f t="shared" si="8"/>
        <v>0</v>
      </c>
      <c r="J115" s="302"/>
      <c r="K115" s="302">
        <f t="shared" si="9"/>
        <v>0</v>
      </c>
    </row>
    <row r="116" spans="1:11" ht="14.25" customHeight="1">
      <c r="A116" s="214"/>
      <c r="B116" s="214" t="s">
        <v>562</v>
      </c>
      <c r="C116" s="250"/>
      <c r="D116" s="153">
        <v>1.1399999999999999</v>
      </c>
      <c r="E116" s="250">
        <v>0.5</v>
      </c>
      <c r="F116" s="153">
        <v>14.65</v>
      </c>
      <c r="G116" s="250">
        <v>9.6</v>
      </c>
      <c r="H116" s="153">
        <v>72.8</v>
      </c>
      <c r="I116" s="249">
        <f t="shared" si="8"/>
        <v>9.1</v>
      </c>
      <c r="J116" s="302">
        <f t="shared" si="7"/>
        <v>4.9692832764505113</v>
      </c>
      <c r="K116" s="302">
        <f t="shared" si="9"/>
        <v>63.199999999999996</v>
      </c>
    </row>
    <row r="117" spans="1:11" ht="14.25" customHeight="1">
      <c r="A117" s="214"/>
      <c r="B117" s="214" t="s">
        <v>600</v>
      </c>
      <c r="C117" s="250"/>
      <c r="D117" s="153"/>
      <c r="E117" s="250">
        <v>3.5</v>
      </c>
      <c r="F117" s="108">
        <v>7</v>
      </c>
      <c r="G117" s="250"/>
      <c r="H117" s="108"/>
      <c r="I117" s="249">
        <f t="shared" si="8"/>
        <v>-3.5</v>
      </c>
      <c r="J117" s="302">
        <f t="shared" si="7"/>
        <v>0</v>
      </c>
      <c r="K117" s="302">
        <f t="shared" si="9"/>
        <v>0</v>
      </c>
    </row>
    <row r="118" spans="1:11" ht="14.25" customHeight="1">
      <c r="A118" s="214"/>
      <c r="B118" s="214" t="s">
        <v>561</v>
      </c>
      <c r="C118" s="108"/>
      <c r="D118" s="153">
        <v>2.59</v>
      </c>
      <c r="E118" s="108"/>
      <c r="F118" s="153"/>
      <c r="G118" s="108"/>
      <c r="H118" s="108">
        <v>151.9</v>
      </c>
      <c r="I118" s="249">
        <f t="shared" si="8"/>
        <v>0</v>
      </c>
      <c r="J118" s="302" t="e">
        <f t="shared" si="7"/>
        <v>#DIV/0!</v>
      </c>
      <c r="K118" s="302">
        <f t="shared" si="9"/>
        <v>151.9</v>
      </c>
    </row>
    <row r="119" spans="1:11" ht="14.25" customHeight="1">
      <c r="A119" s="214"/>
      <c r="B119" s="214" t="s">
        <v>601</v>
      </c>
      <c r="C119" s="153"/>
      <c r="D119" s="153">
        <v>107.4</v>
      </c>
      <c r="E119" s="153">
        <v>107.4</v>
      </c>
      <c r="F119" s="153"/>
      <c r="G119" s="153"/>
      <c r="H119" s="153"/>
      <c r="I119" s="249">
        <f t="shared" si="8"/>
        <v>-107.4</v>
      </c>
      <c r="J119" s="302"/>
      <c r="K119" s="302">
        <f t="shared" si="9"/>
        <v>0</v>
      </c>
    </row>
    <row r="120" spans="1:11" ht="14.25" customHeight="1">
      <c r="A120" s="214"/>
      <c r="B120" s="214" t="s">
        <v>645</v>
      </c>
      <c r="C120" s="250"/>
      <c r="D120" s="153"/>
      <c r="E120" s="250"/>
      <c r="F120" s="153"/>
      <c r="G120" s="250"/>
      <c r="H120" s="250">
        <v>0.12</v>
      </c>
      <c r="I120" s="249">
        <f t="shared" si="8"/>
        <v>0</v>
      </c>
      <c r="J120" s="302"/>
      <c r="K120" s="302">
        <f t="shared" si="9"/>
        <v>0.12</v>
      </c>
    </row>
    <row r="121" spans="1:11" ht="14.25" customHeight="1">
      <c r="A121" s="214"/>
      <c r="B121" s="214" t="s">
        <v>602</v>
      </c>
      <c r="C121" s="250"/>
      <c r="D121" s="153"/>
      <c r="E121" s="250">
        <v>2.9</v>
      </c>
      <c r="F121" s="153"/>
      <c r="G121" s="250"/>
      <c r="H121" s="250"/>
      <c r="I121" s="249">
        <f t="shared" si="8"/>
        <v>-2.9</v>
      </c>
      <c r="J121" s="302"/>
      <c r="K121" s="302">
        <f t="shared" si="9"/>
        <v>0</v>
      </c>
    </row>
    <row r="122" spans="1:11" ht="14.25" hidden="1" customHeight="1">
      <c r="A122" s="214"/>
      <c r="B122" s="214" t="s">
        <v>564</v>
      </c>
      <c r="C122" s="250"/>
      <c r="D122" s="153"/>
      <c r="E122" s="250"/>
      <c r="F122" s="153"/>
      <c r="G122" s="250"/>
      <c r="H122" s="250"/>
      <c r="I122" s="249">
        <f t="shared" si="8"/>
        <v>0</v>
      </c>
      <c r="J122" s="302" t="e">
        <f t="shared" si="7"/>
        <v>#DIV/0!</v>
      </c>
      <c r="K122" s="302">
        <f t="shared" si="9"/>
        <v>0</v>
      </c>
    </row>
    <row r="123" spans="1:11" ht="14.25" hidden="1" customHeight="1">
      <c r="A123" s="214"/>
      <c r="B123" s="214" t="s">
        <v>378</v>
      </c>
      <c r="C123" s="153">
        <v>79.2</v>
      </c>
      <c r="D123" s="153">
        <v>82.3</v>
      </c>
      <c r="E123" s="153"/>
      <c r="F123" s="153"/>
      <c r="G123" s="153"/>
      <c r="H123" s="153"/>
      <c r="I123" s="249">
        <f t="shared" si="8"/>
        <v>0</v>
      </c>
      <c r="J123" s="302" t="e">
        <f t="shared" si="7"/>
        <v>#DIV/0!</v>
      </c>
      <c r="K123" s="302">
        <f t="shared" si="9"/>
        <v>0</v>
      </c>
    </row>
    <row r="124" spans="1:11" ht="14.25" customHeight="1">
      <c r="A124" s="214"/>
      <c r="B124" s="214" t="s">
        <v>603</v>
      </c>
      <c r="C124" s="250"/>
      <c r="D124" s="153"/>
      <c r="E124" s="250"/>
      <c r="F124" s="153">
        <v>2</v>
      </c>
      <c r="G124" s="250"/>
      <c r="H124" s="250"/>
      <c r="I124" s="249">
        <f t="shared" si="8"/>
        <v>0</v>
      </c>
      <c r="J124" s="302">
        <f t="shared" si="7"/>
        <v>0</v>
      </c>
      <c r="K124" s="302">
        <f t="shared" si="9"/>
        <v>0</v>
      </c>
    </row>
    <row r="125" spans="1:11" ht="14.25" customHeight="1">
      <c r="A125" s="214"/>
      <c r="B125" s="214" t="s">
        <v>713</v>
      </c>
      <c r="C125" s="250"/>
      <c r="D125" s="153"/>
      <c r="E125" s="250"/>
      <c r="F125" s="153"/>
      <c r="G125" s="250"/>
      <c r="H125" s="250">
        <v>6.44</v>
      </c>
      <c r="I125" s="249">
        <f t="shared" si="8"/>
        <v>0</v>
      </c>
      <c r="J125" s="302" t="e">
        <f t="shared" si="7"/>
        <v>#DIV/0!</v>
      </c>
      <c r="K125" s="302">
        <f t="shared" si="9"/>
        <v>6.44</v>
      </c>
    </row>
    <row r="126" spans="1:11" ht="14.25" hidden="1" customHeight="1">
      <c r="A126" s="214"/>
      <c r="B126" s="214" t="s">
        <v>379</v>
      </c>
      <c r="C126" s="250"/>
      <c r="D126" s="153"/>
      <c r="E126" s="250"/>
      <c r="F126" s="153"/>
      <c r="G126" s="250"/>
      <c r="H126" s="250"/>
      <c r="I126" s="249">
        <f t="shared" si="8"/>
        <v>0</v>
      </c>
      <c r="J126" s="302" t="e">
        <f t="shared" si="7"/>
        <v>#DIV/0!</v>
      </c>
      <c r="K126" s="302">
        <f t="shared" si="9"/>
        <v>0</v>
      </c>
    </row>
    <row r="127" spans="1:11" ht="14.25" customHeight="1">
      <c r="A127" s="214"/>
      <c r="B127" s="214" t="s">
        <v>380</v>
      </c>
      <c r="C127" s="250">
        <v>24.4</v>
      </c>
      <c r="D127" s="153">
        <v>2237.08</v>
      </c>
      <c r="E127" s="250"/>
      <c r="F127" s="153">
        <v>1690.46</v>
      </c>
      <c r="G127" s="250">
        <v>1197.24</v>
      </c>
      <c r="H127" s="153">
        <v>499.9</v>
      </c>
      <c r="I127" s="249">
        <f t="shared" si="8"/>
        <v>1197.24</v>
      </c>
      <c r="J127" s="302">
        <f t="shared" si="7"/>
        <v>0.29571832518959335</v>
      </c>
      <c r="K127" s="302">
        <f t="shared" si="9"/>
        <v>-697.34</v>
      </c>
    </row>
    <row r="128" spans="1:11" ht="14.25" hidden="1" customHeight="1">
      <c r="A128" s="214"/>
      <c r="B128" s="14" t="s">
        <v>381</v>
      </c>
      <c r="C128" s="250">
        <v>12.2</v>
      </c>
      <c r="D128" s="153">
        <v>0.11</v>
      </c>
      <c r="E128" s="250"/>
      <c r="F128" s="153"/>
      <c r="G128" s="250"/>
      <c r="H128" s="250"/>
      <c r="I128" s="249">
        <f t="shared" si="8"/>
        <v>0</v>
      </c>
      <c r="J128" s="302"/>
      <c r="K128" s="302">
        <f t="shared" si="9"/>
        <v>0</v>
      </c>
    </row>
    <row r="129" spans="1:11" ht="14.25" hidden="1" customHeight="1">
      <c r="A129" s="214"/>
      <c r="B129" s="14" t="s">
        <v>565</v>
      </c>
      <c r="C129" s="250"/>
      <c r="D129" s="153"/>
      <c r="E129" s="250"/>
      <c r="F129" s="153"/>
      <c r="G129" s="250"/>
      <c r="H129" s="250"/>
      <c r="I129" s="249">
        <f t="shared" si="8"/>
        <v>0</v>
      </c>
      <c r="J129" s="302" t="e">
        <f t="shared" si="7"/>
        <v>#DIV/0!</v>
      </c>
      <c r="K129" s="302">
        <f t="shared" si="9"/>
        <v>0</v>
      </c>
    </row>
    <row r="130" spans="1:11" ht="14.25" customHeight="1">
      <c r="A130" s="214"/>
      <c r="B130" s="14" t="s">
        <v>566</v>
      </c>
      <c r="C130" s="153"/>
      <c r="D130" s="153">
        <v>46</v>
      </c>
      <c r="E130" s="153"/>
      <c r="F130" s="153"/>
      <c r="G130" s="153"/>
      <c r="H130" s="153">
        <v>43.16</v>
      </c>
      <c r="I130" s="249">
        <f t="shared" si="8"/>
        <v>0</v>
      </c>
      <c r="J130" s="302" t="e">
        <f t="shared" si="7"/>
        <v>#DIV/0!</v>
      </c>
      <c r="K130" s="302">
        <f t="shared" si="9"/>
        <v>43.16</v>
      </c>
    </row>
    <row r="131" spans="1:11" ht="14.25" hidden="1" customHeight="1">
      <c r="A131" s="214"/>
      <c r="B131" s="14" t="s">
        <v>382</v>
      </c>
      <c r="C131" s="250"/>
      <c r="D131" s="153"/>
      <c r="E131" s="250"/>
      <c r="F131" s="153"/>
      <c r="G131" s="250"/>
      <c r="H131" s="250"/>
      <c r="I131" s="249">
        <f t="shared" si="8"/>
        <v>0</v>
      </c>
      <c r="J131" s="302" t="e">
        <f t="shared" si="7"/>
        <v>#DIV/0!</v>
      </c>
      <c r="K131" s="302">
        <f t="shared" si="9"/>
        <v>0</v>
      </c>
    </row>
    <row r="132" spans="1:11" ht="14.25" hidden="1" customHeight="1">
      <c r="A132" s="214"/>
      <c r="B132" s="14" t="s">
        <v>567</v>
      </c>
      <c r="C132" s="250"/>
      <c r="D132" s="153"/>
      <c r="E132" s="250"/>
      <c r="F132" s="153"/>
      <c r="G132" s="250"/>
      <c r="H132" s="250"/>
      <c r="I132" s="249">
        <f t="shared" si="8"/>
        <v>0</v>
      </c>
      <c r="J132" s="302" t="e">
        <f t="shared" si="7"/>
        <v>#DIV/0!</v>
      </c>
      <c r="K132" s="302">
        <f t="shared" si="9"/>
        <v>0</v>
      </c>
    </row>
    <row r="133" spans="1:11" ht="14.25" customHeight="1">
      <c r="A133" s="214"/>
      <c r="B133" s="214" t="s">
        <v>604</v>
      </c>
      <c r="C133" s="250"/>
      <c r="D133" s="153">
        <v>7.29</v>
      </c>
      <c r="E133" s="250"/>
      <c r="F133" s="153"/>
      <c r="G133" s="250">
        <v>2.2000000000000002</v>
      </c>
      <c r="H133" s="250"/>
      <c r="I133" s="249">
        <f t="shared" si="8"/>
        <v>2.2000000000000002</v>
      </c>
      <c r="J133" s="302" t="e">
        <f t="shared" si="7"/>
        <v>#DIV/0!</v>
      </c>
      <c r="K133" s="302">
        <f t="shared" si="9"/>
        <v>-2.2000000000000002</v>
      </c>
    </row>
    <row r="134" spans="1:11" ht="14.25" hidden="1" customHeight="1">
      <c r="A134" s="214"/>
      <c r="B134" s="214" t="s">
        <v>568</v>
      </c>
      <c r="C134" s="250"/>
      <c r="D134" s="153"/>
      <c r="E134" s="250"/>
      <c r="F134" s="153"/>
      <c r="G134" s="250"/>
      <c r="H134" s="250"/>
      <c r="I134" s="249">
        <f t="shared" si="8"/>
        <v>0</v>
      </c>
      <c r="J134" s="302" t="e">
        <f t="shared" si="7"/>
        <v>#DIV/0!</v>
      </c>
      <c r="K134" s="302">
        <f t="shared" si="9"/>
        <v>0</v>
      </c>
    </row>
    <row r="135" spans="1:11">
      <c r="A135" s="214"/>
      <c r="B135" s="214" t="s">
        <v>712</v>
      </c>
      <c r="C135" s="250"/>
      <c r="D135" s="153"/>
      <c r="E135" s="250"/>
      <c r="F135" s="153"/>
      <c r="G135" s="250"/>
      <c r="H135" s="250">
        <v>2.5299999999999998</v>
      </c>
      <c r="I135" s="249">
        <f t="shared" si="8"/>
        <v>0</v>
      </c>
      <c r="J135" s="302" t="e">
        <f t="shared" ref="J135:J143" si="12">H135/F135</f>
        <v>#DIV/0!</v>
      </c>
      <c r="K135" s="302">
        <f t="shared" si="9"/>
        <v>2.5299999999999998</v>
      </c>
    </row>
    <row r="136" spans="1:11" ht="14.25" hidden="1" customHeight="1">
      <c r="A136" s="214"/>
      <c r="B136" s="214" t="s">
        <v>383</v>
      </c>
      <c r="C136" s="250"/>
      <c r="D136" s="153">
        <v>29.19</v>
      </c>
      <c r="E136" s="250"/>
      <c r="F136" s="153"/>
      <c r="G136" s="250"/>
      <c r="H136" s="250"/>
      <c r="I136" s="249">
        <f t="shared" ref="I136:I143" si="13">G136-E136</f>
        <v>0</v>
      </c>
      <c r="J136" s="302" t="e">
        <f t="shared" si="12"/>
        <v>#DIV/0!</v>
      </c>
      <c r="K136" s="302">
        <f t="shared" ref="K136:K143" si="14">H136-G136</f>
        <v>0</v>
      </c>
    </row>
    <row r="137" spans="1:11" ht="14.25" customHeight="1">
      <c r="A137" s="214"/>
      <c r="B137" s="214" t="s">
        <v>556</v>
      </c>
      <c r="C137" s="250"/>
      <c r="D137" s="153">
        <v>606.52</v>
      </c>
      <c r="E137" s="250">
        <v>267.39999999999998</v>
      </c>
      <c r="F137" s="153">
        <v>884.04</v>
      </c>
      <c r="G137" s="250">
        <v>1131.67</v>
      </c>
      <c r="H137" s="153">
        <v>1203.5999999999999</v>
      </c>
      <c r="I137" s="249">
        <f t="shared" si="13"/>
        <v>864.2700000000001</v>
      </c>
      <c r="J137" s="302">
        <f t="shared" si="12"/>
        <v>1.3614768562508484</v>
      </c>
      <c r="K137" s="302">
        <f t="shared" si="14"/>
        <v>71.929999999999836</v>
      </c>
    </row>
    <row r="138" spans="1:11" ht="14.25" customHeight="1">
      <c r="A138" s="214"/>
      <c r="B138" s="214" t="s">
        <v>570</v>
      </c>
      <c r="C138" s="153">
        <v>4.0999999999999996</v>
      </c>
      <c r="D138" s="153">
        <v>4.0999999999999996</v>
      </c>
      <c r="E138" s="153">
        <v>3.3</v>
      </c>
      <c r="F138" s="153">
        <v>3.3</v>
      </c>
      <c r="G138" s="153">
        <v>3.3</v>
      </c>
      <c r="H138" s="153">
        <v>3.3</v>
      </c>
      <c r="I138" s="249">
        <f t="shared" si="13"/>
        <v>0</v>
      </c>
      <c r="J138" s="302">
        <f t="shared" si="12"/>
        <v>1</v>
      </c>
      <c r="K138" s="302">
        <f t="shared" si="14"/>
        <v>0</v>
      </c>
    </row>
    <row r="139" spans="1:11" ht="14.25" customHeight="1">
      <c r="A139" s="214"/>
      <c r="B139" s="214" t="s">
        <v>410</v>
      </c>
      <c r="C139" s="153">
        <v>11</v>
      </c>
      <c r="D139" s="153">
        <v>11.04</v>
      </c>
      <c r="E139" s="250"/>
      <c r="F139" s="153"/>
      <c r="G139" s="250"/>
      <c r="H139" s="250"/>
      <c r="I139" s="249">
        <f t="shared" si="13"/>
        <v>0</v>
      </c>
      <c r="J139" s="302"/>
      <c r="K139" s="302">
        <f t="shared" si="14"/>
        <v>0</v>
      </c>
    </row>
    <row r="140" spans="1:11" ht="14.25" customHeight="1">
      <c r="A140" s="251"/>
      <c r="B140" s="252" t="s">
        <v>384</v>
      </c>
      <c r="C140" s="113">
        <f t="shared" ref="C140:H140" si="15">C6+C19+C37+C74+C82+C92</f>
        <v>5847.2899999999991</v>
      </c>
      <c r="D140" s="113">
        <f t="shared" si="15"/>
        <v>9739.869999999999</v>
      </c>
      <c r="E140" s="113">
        <f t="shared" si="15"/>
        <v>6928.8000000000011</v>
      </c>
      <c r="F140" s="78">
        <f t="shared" si="15"/>
        <v>9275.6200000000008</v>
      </c>
      <c r="G140" s="78">
        <f t="shared" si="15"/>
        <v>9031.75</v>
      </c>
      <c r="H140" s="78">
        <f t="shared" si="15"/>
        <v>8702.82</v>
      </c>
      <c r="I140" s="249">
        <f t="shared" si="13"/>
        <v>2102.9499999999989</v>
      </c>
      <c r="J140" s="302">
        <f t="shared" si="12"/>
        <v>0.93824671558343253</v>
      </c>
      <c r="K140" s="302">
        <f t="shared" si="14"/>
        <v>-328.93000000000029</v>
      </c>
    </row>
    <row r="141" spans="1:11" ht="14.25" customHeight="1">
      <c r="A141" s="229" t="s">
        <v>385</v>
      </c>
      <c r="B141" s="231" t="s">
        <v>386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49">
        <f t="shared" si="13"/>
        <v>3474</v>
      </c>
      <c r="J141" s="302">
        <f t="shared" si="12"/>
        <v>9.423362189208935E-2</v>
      </c>
      <c r="K141" s="302">
        <f t="shared" si="14"/>
        <v>-3673.3</v>
      </c>
    </row>
    <row r="142" spans="1:11" ht="14.25" customHeight="1">
      <c r="A142" s="229" t="s">
        <v>387</v>
      </c>
      <c r="B142" s="231" t="s">
        <v>388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49">
        <f t="shared" si="13"/>
        <v>-563.19999999999982</v>
      </c>
      <c r="J142" s="302">
        <f t="shared" si="12"/>
        <v>1.4172606026391927</v>
      </c>
      <c r="K142" s="302">
        <f t="shared" si="14"/>
        <v>344.39999999999964</v>
      </c>
    </row>
    <row r="143" spans="1:11" ht="14.25" customHeight="1">
      <c r="A143" s="246"/>
      <c r="B143" s="247" t="s">
        <v>389</v>
      </c>
      <c r="C143" s="113">
        <f>C140+C142+C141</f>
        <v>9854.489999999998</v>
      </c>
      <c r="D143" s="78">
        <f>D142+D141+D140</f>
        <v>14193.05</v>
      </c>
      <c r="E143" s="113">
        <f>E140+E142+E141</f>
        <v>12708.400000000001</v>
      </c>
      <c r="F143" s="78">
        <f>F140+F142+F141</f>
        <v>16431.73</v>
      </c>
      <c r="G143" s="78">
        <f>G140+G142+G141</f>
        <v>17722.150000000001</v>
      </c>
      <c r="H143" s="78">
        <f>H140+H142+H141</f>
        <v>14064.32</v>
      </c>
      <c r="I143" s="249">
        <f t="shared" si="13"/>
        <v>5013.75</v>
      </c>
      <c r="J143" s="302">
        <f t="shared" si="12"/>
        <v>0.85592448269293619</v>
      </c>
      <c r="K143" s="302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325" customWidth="1"/>
    <col min="2" max="2" width="31" style="345" customWidth="1"/>
    <col min="3" max="3" width="7.7109375" style="346" customWidth="1"/>
    <col min="4" max="5" width="7.42578125" style="347" customWidth="1"/>
    <col min="6" max="6" width="8.85546875" style="325" customWidth="1"/>
    <col min="7" max="7" width="5.85546875" style="325" customWidth="1"/>
    <col min="8" max="8" width="7.140625" style="347" customWidth="1"/>
    <col min="9" max="9" width="6.5703125" style="347" customWidth="1"/>
    <col min="10" max="10" width="6.7109375" style="325" customWidth="1"/>
    <col min="11" max="11" width="4" style="325" customWidth="1"/>
    <col min="12" max="12" width="7.7109375" style="347" customWidth="1"/>
    <col min="13" max="13" width="7.42578125" style="347" customWidth="1"/>
    <col min="14" max="14" width="7.42578125" style="325" customWidth="1"/>
    <col min="15" max="15" width="5.85546875" style="325" customWidth="1"/>
    <col min="16" max="16" width="7.140625" style="347" customWidth="1"/>
    <col min="17" max="17" width="6.7109375" style="347" customWidth="1"/>
    <col min="18" max="18" width="7.42578125" style="325" customWidth="1"/>
    <col min="19" max="19" width="3.85546875" style="325" customWidth="1"/>
    <col min="20" max="20" width="6.7109375" style="347" customWidth="1"/>
    <col min="21" max="21" width="7" style="347" customWidth="1"/>
    <col min="22" max="22" width="6.7109375" style="325" customWidth="1"/>
    <col min="23" max="23" width="5.7109375" style="325" customWidth="1"/>
    <col min="24" max="24" width="4.140625" style="348" hidden="1" customWidth="1"/>
    <col min="25" max="25" width="9.140625" style="348" hidden="1" customWidth="1"/>
    <col min="26" max="27" width="9.140625" style="325" hidden="1" customWidth="1"/>
    <col min="28" max="29" width="9.140625" style="347" hidden="1" customWidth="1"/>
    <col min="30" max="34" width="9.140625" style="325" hidden="1" customWidth="1"/>
    <col min="35" max="35" width="9.140625" style="347" hidden="1" customWidth="1"/>
    <col min="36" max="36" width="6.28515625" style="347" hidden="1" customWidth="1"/>
    <col min="37" max="37" width="5.85546875" style="325" hidden="1" customWidth="1"/>
    <col min="38" max="38" width="5.7109375" style="325" hidden="1" customWidth="1"/>
    <col min="39" max="39" width="5.85546875" style="347" hidden="1" customWidth="1"/>
    <col min="40" max="40" width="6" style="347" hidden="1" customWidth="1"/>
    <col min="41" max="41" width="5.7109375" style="325" hidden="1" customWidth="1"/>
    <col min="42" max="42" width="4" style="325" customWidth="1"/>
    <col min="43" max="43" width="4.140625" style="325" hidden="1" customWidth="1"/>
    <col min="44" max="44" width="5.7109375" style="325" hidden="1" customWidth="1"/>
    <col min="45" max="45" width="5.85546875" style="325" hidden="1" customWidth="1"/>
    <col min="46" max="46" width="4.140625" style="325" hidden="1" customWidth="1"/>
    <col min="47" max="47" width="5.7109375" style="347" customWidth="1"/>
    <col min="48" max="48" width="7" style="347" customWidth="1"/>
    <col min="49" max="49" width="6.5703125" style="325" customWidth="1"/>
    <col min="50" max="50" width="4.140625" style="325" customWidth="1"/>
    <col min="51" max="51" width="4.28515625" style="325" hidden="1" customWidth="1"/>
    <col min="52" max="54" width="9.140625" style="325" hidden="1" customWidth="1"/>
    <col min="55" max="56" width="9.140625" style="347" hidden="1" customWidth="1"/>
    <col min="57" max="58" width="9.140625" style="325" hidden="1" customWidth="1"/>
    <col min="59" max="60" width="9.140625" style="347" hidden="1" customWidth="1"/>
    <col min="61" max="61" width="9.140625" style="325" hidden="1" customWidth="1"/>
    <col min="62" max="62" width="3.85546875" style="325" hidden="1" customWidth="1"/>
    <col min="63" max="64" width="6.42578125" style="325" customWidth="1"/>
    <col min="65" max="65" width="6.7109375" style="325" customWidth="1"/>
    <col min="66" max="66" width="5.140625" style="325" customWidth="1"/>
    <col min="67" max="67" width="5.85546875" style="325" customWidth="1"/>
    <col min="68" max="68" width="5.7109375" style="325" customWidth="1"/>
    <col min="69" max="69" width="5.28515625" style="325" customWidth="1"/>
    <col min="70" max="70" width="5" style="325" customWidth="1"/>
    <col min="71" max="71" width="4.7109375" style="325" hidden="1" customWidth="1"/>
    <col min="72" max="73" width="9.140625" style="325" hidden="1" customWidth="1"/>
    <col min="74" max="74" width="4.42578125" style="325" hidden="1" customWidth="1"/>
    <col min="75" max="75" width="4.28515625" style="347" hidden="1" customWidth="1"/>
    <col min="76" max="76" width="9.140625" style="347" hidden="1" customWidth="1"/>
    <col min="77" max="77" width="9.140625" style="325" hidden="1" customWidth="1"/>
    <col min="78" max="79" width="4.140625" style="325" hidden="1" customWidth="1"/>
    <col min="80" max="81" width="9.140625" style="325" hidden="1" customWidth="1"/>
    <col min="82" max="82" width="4.42578125" style="325" hidden="1" customWidth="1"/>
    <col min="83" max="83" width="6.42578125" style="347" customWidth="1"/>
    <col min="84" max="84" width="7.140625" style="347" customWidth="1"/>
    <col min="85" max="85" width="7.85546875" style="325" customWidth="1"/>
    <col min="86" max="86" width="5.42578125" style="325" customWidth="1"/>
    <col min="87" max="87" width="6.28515625" style="347" customWidth="1"/>
    <col min="88" max="88" width="6.140625" style="347" customWidth="1"/>
    <col min="89" max="89" width="5.42578125" style="325" customWidth="1"/>
    <col min="90" max="90" width="4" style="325" customWidth="1"/>
    <col min="91" max="91" width="6.28515625" style="325" customWidth="1"/>
    <col min="92" max="92" width="5.85546875" style="325" customWidth="1"/>
    <col min="93" max="93" width="6.140625" style="325" customWidth="1"/>
    <col min="94" max="94" width="4.7109375" style="325" customWidth="1"/>
    <col min="95" max="95" width="5.5703125" style="325" hidden="1" customWidth="1"/>
    <col min="96" max="97" width="9.140625" style="325" hidden="1" customWidth="1"/>
    <col min="98" max="98" width="4.7109375" style="325" hidden="1" customWidth="1"/>
    <col min="99" max="99" width="4.28515625" style="347" hidden="1" customWidth="1"/>
    <col min="100" max="100" width="9.140625" style="347" hidden="1" customWidth="1"/>
    <col min="101" max="101" width="9.140625" style="325" hidden="1" customWidth="1"/>
    <col min="102" max="102" width="4.5703125" style="325" hidden="1" customWidth="1"/>
    <col min="103" max="103" width="4.5703125" style="347" hidden="1" customWidth="1"/>
    <col min="104" max="104" width="9.140625" style="347" hidden="1" customWidth="1"/>
    <col min="105" max="105" width="9.140625" style="325" hidden="1" customWidth="1"/>
    <col min="106" max="106" width="4.28515625" style="325" hidden="1" customWidth="1"/>
    <col min="107" max="107" width="4.42578125" style="325" customWidth="1"/>
    <col min="108" max="16384" width="9.140625" style="325"/>
  </cols>
  <sheetData>
    <row r="1" spans="1:106" ht="28.5" customHeight="1">
      <c r="A1" s="201"/>
      <c r="B1" s="201" t="s">
        <v>684</v>
      </c>
      <c r="C1" s="323"/>
      <c r="D1" s="324" t="s">
        <v>763</v>
      </c>
      <c r="E1" s="202"/>
      <c r="F1" s="201"/>
      <c r="G1" s="201"/>
      <c r="H1" s="202"/>
      <c r="I1" s="202"/>
      <c r="J1" s="201"/>
      <c r="K1" s="201"/>
      <c r="L1" s="202"/>
      <c r="M1" s="202"/>
      <c r="N1" s="201"/>
      <c r="O1" s="201"/>
      <c r="P1" s="202"/>
      <c r="Q1" s="202"/>
      <c r="R1" s="201"/>
      <c r="S1" s="201"/>
      <c r="T1" s="202"/>
      <c r="U1" s="202"/>
      <c r="V1" s="201"/>
      <c r="W1" s="201"/>
      <c r="X1" s="203"/>
      <c r="Y1" s="203"/>
      <c r="Z1" s="201"/>
      <c r="AA1" s="201"/>
      <c r="AB1" s="202"/>
      <c r="AC1" s="202"/>
      <c r="AD1" s="201"/>
      <c r="AE1" s="201"/>
      <c r="AF1" s="201"/>
      <c r="AG1" s="201"/>
      <c r="AH1" s="201"/>
      <c r="AI1" s="202"/>
      <c r="AJ1" s="202"/>
      <c r="AK1" s="201"/>
      <c r="AL1" s="201"/>
      <c r="AM1" s="202"/>
      <c r="AN1" s="202"/>
      <c r="AO1" s="201"/>
      <c r="AP1" s="201"/>
      <c r="AQ1" s="201"/>
      <c r="AR1" s="201"/>
      <c r="AS1" s="201"/>
      <c r="AT1" s="201"/>
      <c r="AU1" s="202"/>
      <c r="AV1" s="202"/>
      <c r="AW1" s="201"/>
      <c r="AX1" s="201"/>
      <c r="AY1" s="201"/>
      <c r="AZ1" s="201"/>
      <c r="BA1" s="201"/>
      <c r="BB1" s="201"/>
      <c r="BC1" s="202"/>
      <c r="BD1" s="202"/>
      <c r="BE1" s="201"/>
      <c r="BF1" s="201"/>
      <c r="BG1" s="202"/>
      <c r="BH1" s="202"/>
      <c r="BI1" s="201"/>
      <c r="BJ1" s="201"/>
      <c r="BK1" s="204"/>
      <c r="BL1" s="204"/>
      <c r="BM1" s="204"/>
      <c r="BN1" s="204"/>
      <c r="BO1" s="204"/>
      <c r="BP1" s="204"/>
      <c r="BQ1" s="204"/>
      <c r="BR1" s="204"/>
      <c r="BS1" s="204"/>
      <c r="BT1" s="936" t="s">
        <v>500</v>
      </c>
      <c r="BU1" s="936"/>
      <c r="BV1" s="936"/>
      <c r="BW1" s="936"/>
      <c r="BX1" s="936"/>
      <c r="BY1" s="936"/>
      <c r="BZ1" s="936"/>
      <c r="CA1" s="936"/>
      <c r="CB1" s="936"/>
      <c r="CC1" s="936"/>
      <c r="CD1" s="936"/>
      <c r="CE1" s="936"/>
      <c r="CF1" s="936"/>
      <c r="CG1" s="936"/>
      <c r="CH1" s="936"/>
      <c r="CI1" s="936"/>
      <c r="CJ1" s="936"/>
      <c r="CK1" s="936"/>
      <c r="CL1" s="936"/>
      <c r="CM1" s="936"/>
      <c r="CN1" s="936"/>
      <c r="CO1" s="936"/>
      <c r="CP1" s="936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932" t="s">
        <v>303</v>
      </c>
      <c r="B2" s="938" t="s">
        <v>304</v>
      </c>
      <c r="C2" s="941" t="s">
        <v>305</v>
      </c>
      <c r="D2" s="942"/>
      <c r="E2" s="943"/>
      <c r="F2" s="947" t="s">
        <v>501</v>
      </c>
      <c r="G2" s="947" t="s">
        <v>502</v>
      </c>
      <c r="H2" s="205"/>
      <c r="I2" s="205"/>
      <c r="J2" s="206"/>
      <c r="K2" s="206"/>
      <c r="L2" s="205"/>
      <c r="M2" s="205"/>
      <c r="N2" s="206"/>
      <c r="O2" s="206"/>
      <c r="P2" s="205"/>
      <c r="Q2" s="205"/>
      <c r="R2" s="206"/>
      <c r="S2" s="206"/>
      <c r="T2" s="205"/>
      <c r="U2" s="205"/>
      <c r="V2" s="206"/>
      <c r="W2" s="206"/>
      <c r="X2" s="205"/>
      <c r="Y2" s="205"/>
      <c r="Z2" s="206"/>
      <c r="AA2" s="206"/>
      <c r="AB2" s="205"/>
      <c r="AC2" s="205"/>
      <c r="AD2" s="206"/>
      <c r="AE2" s="206"/>
      <c r="AF2" s="206" t="s">
        <v>503</v>
      </c>
      <c r="AG2" s="206" t="s">
        <v>503</v>
      </c>
      <c r="AH2" s="206"/>
      <c r="AI2" s="205"/>
      <c r="AJ2" s="205"/>
      <c r="AK2" s="206"/>
      <c r="AL2" s="206"/>
      <c r="AM2" s="205"/>
      <c r="AN2" s="205"/>
      <c r="AO2" s="206"/>
      <c r="AP2" s="206"/>
      <c r="AQ2" s="206"/>
      <c r="AR2" s="206"/>
      <c r="AS2" s="206"/>
      <c r="AT2" s="206"/>
      <c r="AU2" s="205"/>
      <c r="AV2" s="205"/>
      <c r="AW2" s="206"/>
      <c r="AX2" s="206"/>
      <c r="AY2" s="206"/>
      <c r="AZ2" s="206"/>
      <c r="BA2" s="206"/>
      <c r="BB2" s="206"/>
      <c r="BC2" s="205"/>
      <c r="BD2" s="205"/>
      <c r="BE2" s="207"/>
      <c r="BF2" s="207"/>
      <c r="BG2" s="205"/>
      <c r="BH2" s="205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5"/>
      <c r="BX2" s="205"/>
      <c r="BY2" s="206"/>
      <c r="BZ2" s="207"/>
      <c r="CA2" s="207"/>
      <c r="CB2" s="207"/>
      <c r="CC2" s="207"/>
      <c r="CD2" s="207"/>
      <c r="CE2" s="205"/>
      <c r="CF2" s="205"/>
      <c r="CG2" s="207"/>
      <c r="CH2" s="207"/>
      <c r="CI2" s="205"/>
      <c r="CJ2" s="205"/>
      <c r="CK2" s="207"/>
      <c r="CL2" s="207"/>
      <c r="CM2" s="207"/>
      <c r="CN2" s="207"/>
      <c r="CO2" s="207"/>
      <c r="CP2" s="207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937"/>
      <c r="B3" s="939"/>
      <c r="C3" s="944"/>
      <c r="D3" s="945"/>
      <c r="E3" s="946"/>
      <c r="F3" s="948"/>
      <c r="G3" s="948"/>
      <c r="H3" s="934" t="s">
        <v>504</v>
      </c>
      <c r="I3" s="935"/>
      <c r="J3" s="932" t="s">
        <v>505</v>
      </c>
      <c r="K3" s="932" t="s">
        <v>502</v>
      </c>
      <c r="L3" s="934" t="s">
        <v>506</v>
      </c>
      <c r="M3" s="935"/>
      <c r="N3" s="932" t="s">
        <v>505</v>
      </c>
      <c r="O3" s="932" t="s">
        <v>502</v>
      </c>
      <c r="P3" s="934" t="s">
        <v>507</v>
      </c>
      <c r="Q3" s="935"/>
      <c r="R3" s="932" t="s">
        <v>505</v>
      </c>
      <c r="S3" s="932" t="s">
        <v>502</v>
      </c>
      <c r="T3" s="934" t="s">
        <v>508</v>
      </c>
      <c r="U3" s="935"/>
      <c r="V3" s="932" t="s">
        <v>509</v>
      </c>
      <c r="W3" s="932" t="s">
        <v>502</v>
      </c>
      <c r="X3" s="934" t="s">
        <v>510</v>
      </c>
      <c r="Y3" s="935"/>
      <c r="Z3" s="932" t="s">
        <v>505</v>
      </c>
      <c r="AA3" s="932" t="s">
        <v>502</v>
      </c>
      <c r="AB3" s="934" t="s">
        <v>511</v>
      </c>
      <c r="AC3" s="935"/>
      <c r="AD3" s="932" t="s">
        <v>512</v>
      </c>
      <c r="AE3" s="932" t="s">
        <v>513</v>
      </c>
      <c r="AF3" s="934" t="s">
        <v>514</v>
      </c>
      <c r="AG3" s="935"/>
      <c r="AH3" s="932" t="s">
        <v>515</v>
      </c>
      <c r="AI3" s="934" t="s">
        <v>516</v>
      </c>
      <c r="AJ3" s="935"/>
      <c r="AK3" s="932" t="s">
        <v>512</v>
      </c>
      <c r="AL3" s="932" t="s">
        <v>502</v>
      </c>
      <c r="AM3" s="934" t="s">
        <v>517</v>
      </c>
      <c r="AN3" s="935"/>
      <c r="AO3" s="932" t="s">
        <v>505</v>
      </c>
      <c r="AP3" s="932" t="s">
        <v>502</v>
      </c>
      <c r="AQ3" s="934" t="s">
        <v>518</v>
      </c>
      <c r="AR3" s="935"/>
      <c r="AS3" s="932" t="s">
        <v>505</v>
      </c>
      <c r="AT3" s="932" t="s">
        <v>502</v>
      </c>
      <c r="AU3" s="934" t="s">
        <v>519</v>
      </c>
      <c r="AV3" s="935"/>
      <c r="AW3" s="932" t="s">
        <v>520</v>
      </c>
      <c r="AX3" s="932" t="s">
        <v>513</v>
      </c>
      <c r="AY3" s="934" t="s">
        <v>521</v>
      </c>
      <c r="AZ3" s="935"/>
      <c r="BA3" s="932" t="s">
        <v>520</v>
      </c>
      <c r="BB3" s="932" t="s">
        <v>513</v>
      </c>
      <c r="BC3" s="934" t="s">
        <v>522</v>
      </c>
      <c r="BD3" s="935"/>
      <c r="BE3" s="932" t="s">
        <v>520</v>
      </c>
      <c r="BF3" s="932" t="s">
        <v>513</v>
      </c>
      <c r="BG3" s="934" t="s">
        <v>523</v>
      </c>
      <c r="BH3" s="935"/>
      <c r="BI3" s="932" t="s">
        <v>520</v>
      </c>
      <c r="BJ3" s="932" t="s">
        <v>513</v>
      </c>
      <c r="BK3" s="934" t="s">
        <v>685</v>
      </c>
      <c r="BL3" s="935"/>
      <c r="BM3" s="932" t="s">
        <v>520</v>
      </c>
      <c r="BN3" s="932" t="s">
        <v>513</v>
      </c>
      <c r="BO3" s="934" t="s">
        <v>686</v>
      </c>
      <c r="BP3" s="935"/>
      <c r="BQ3" s="932" t="s">
        <v>520</v>
      </c>
      <c r="BR3" s="932" t="s">
        <v>513</v>
      </c>
      <c r="BS3" s="934" t="s">
        <v>524</v>
      </c>
      <c r="BT3" s="935"/>
      <c r="BU3" s="932" t="s">
        <v>520</v>
      </c>
      <c r="BV3" s="932" t="s">
        <v>513</v>
      </c>
      <c r="BW3" s="934" t="s">
        <v>525</v>
      </c>
      <c r="BX3" s="935"/>
      <c r="BY3" s="932" t="s">
        <v>520</v>
      </c>
      <c r="BZ3" s="932" t="s">
        <v>513</v>
      </c>
      <c r="CA3" s="934" t="s">
        <v>526</v>
      </c>
      <c r="CB3" s="935"/>
      <c r="CC3" s="932" t="s">
        <v>520</v>
      </c>
      <c r="CD3" s="932" t="s">
        <v>513</v>
      </c>
      <c r="CE3" s="934" t="s">
        <v>527</v>
      </c>
      <c r="CF3" s="935"/>
      <c r="CG3" s="932" t="s">
        <v>520</v>
      </c>
      <c r="CH3" s="932" t="s">
        <v>513</v>
      </c>
      <c r="CI3" s="934" t="s">
        <v>528</v>
      </c>
      <c r="CJ3" s="935"/>
      <c r="CK3" s="932" t="s">
        <v>520</v>
      </c>
      <c r="CL3" s="932" t="s">
        <v>513</v>
      </c>
      <c r="CM3" s="934" t="s">
        <v>529</v>
      </c>
      <c r="CN3" s="935"/>
      <c r="CO3" s="932" t="s">
        <v>520</v>
      </c>
      <c r="CP3" s="932" t="s">
        <v>513</v>
      </c>
      <c r="CQ3" s="950" t="s">
        <v>612</v>
      </c>
      <c r="CR3" s="951"/>
      <c r="CS3" s="952" t="s">
        <v>520</v>
      </c>
      <c r="CT3" s="952" t="s">
        <v>513</v>
      </c>
      <c r="CU3" s="950" t="s">
        <v>613</v>
      </c>
      <c r="CV3" s="951"/>
      <c r="CW3" s="952" t="s">
        <v>520</v>
      </c>
      <c r="CX3" s="952" t="s">
        <v>513</v>
      </c>
      <c r="CY3" s="950" t="s">
        <v>614</v>
      </c>
      <c r="CZ3" s="951"/>
      <c r="DA3" s="952" t="s">
        <v>520</v>
      </c>
      <c r="DB3" s="952" t="s">
        <v>513</v>
      </c>
    </row>
    <row r="4" spans="1:106" ht="25.5" customHeight="1">
      <c r="A4" s="933"/>
      <c r="B4" s="940"/>
      <c r="C4" s="208" t="s">
        <v>530</v>
      </c>
      <c r="D4" s="208" t="s">
        <v>687</v>
      </c>
      <c r="E4" s="209" t="s">
        <v>764</v>
      </c>
      <c r="F4" s="949"/>
      <c r="G4" s="949"/>
      <c r="H4" s="208" t="s">
        <v>687</v>
      </c>
      <c r="I4" s="209" t="s">
        <v>764</v>
      </c>
      <c r="J4" s="933"/>
      <c r="K4" s="933"/>
      <c r="L4" s="208" t="s">
        <v>687</v>
      </c>
      <c r="M4" s="209" t="s">
        <v>764</v>
      </c>
      <c r="N4" s="933"/>
      <c r="O4" s="933"/>
      <c r="P4" s="208" t="s">
        <v>687</v>
      </c>
      <c r="Q4" s="209" t="s">
        <v>764</v>
      </c>
      <c r="R4" s="933"/>
      <c r="S4" s="933"/>
      <c r="T4" s="208" t="s">
        <v>687</v>
      </c>
      <c r="U4" s="209" t="s">
        <v>764</v>
      </c>
      <c r="V4" s="933"/>
      <c r="W4" s="933"/>
      <c r="X4" s="208" t="s">
        <v>531</v>
      </c>
      <c r="Y4" s="208" t="s">
        <v>532</v>
      </c>
      <c r="Z4" s="933"/>
      <c r="AA4" s="933"/>
      <c r="AB4" s="208" t="s">
        <v>533</v>
      </c>
      <c r="AC4" s="208" t="s">
        <v>532</v>
      </c>
      <c r="AD4" s="933"/>
      <c r="AE4" s="933"/>
      <c r="AF4" s="208" t="s">
        <v>531</v>
      </c>
      <c r="AG4" s="208" t="s">
        <v>532</v>
      </c>
      <c r="AH4" s="933"/>
      <c r="AI4" s="208" t="s">
        <v>687</v>
      </c>
      <c r="AJ4" s="209" t="s">
        <v>764</v>
      </c>
      <c r="AK4" s="933"/>
      <c r="AL4" s="933"/>
      <c r="AM4" s="208" t="s">
        <v>687</v>
      </c>
      <c r="AN4" s="209" t="s">
        <v>764</v>
      </c>
      <c r="AO4" s="933"/>
      <c r="AP4" s="933"/>
      <c r="AQ4" s="208" t="s">
        <v>499</v>
      </c>
      <c r="AR4" s="209" t="s">
        <v>688</v>
      </c>
      <c r="AS4" s="933"/>
      <c r="AT4" s="933"/>
      <c r="AU4" s="208" t="s">
        <v>687</v>
      </c>
      <c r="AV4" s="209" t="s">
        <v>764</v>
      </c>
      <c r="AW4" s="933"/>
      <c r="AX4" s="933"/>
      <c r="AY4" s="208" t="s">
        <v>689</v>
      </c>
      <c r="AZ4" s="208" t="s">
        <v>690</v>
      </c>
      <c r="BA4" s="933"/>
      <c r="BB4" s="933"/>
      <c r="BC4" s="208" t="s">
        <v>531</v>
      </c>
      <c r="BD4" s="208" t="s">
        <v>532</v>
      </c>
      <c r="BE4" s="933"/>
      <c r="BF4" s="933"/>
      <c r="BG4" s="208" t="s">
        <v>531</v>
      </c>
      <c r="BH4" s="208" t="s">
        <v>532</v>
      </c>
      <c r="BI4" s="933"/>
      <c r="BJ4" s="933"/>
      <c r="BK4" s="208" t="s">
        <v>687</v>
      </c>
      <c r="BL4" s="209" t="s">
        <v>764</v>
      </c>
      <c r="BM4" s="933"/>
      <c r="BN4" s="933"/>
      <c r="BO4" s="208" t="s">
        <v>687</v>
      </c>
      <c r="BP4" s="209" t="s">
        <v>764</v>
      </c>
      <c r="BQ4" s="933"/>
      <c r="BR4" s="933"/>
      <c r="BS4" s="208" t="s">
        <v>687</v>
      </c>
      <c r="BT4" s="209" t="s">
        <v>691</v>
      </c>
      <c r="BU4" s="933"/>
      <c r="BV4" s="933"/>
      <c r="BW4" s="208" t="s">
        <v>531</v>
      </c>
      <c r="BX4" s="208" t="s">
        <v>532</v>
      </c>
      <c r="BY4" s="933"/>
      <c r="BZ4" s="933"/>
      <c r="CA4" s="208" t="s">
        <v>531</v>
      </c>
      <c r="CB4" s="208" t="s">
        <v>534</v>
      </c>
      <c r="CC4" s="933"/>
      <c r="CD4" s="933"/>
      <c r="CE4" s="208" t="s">
        <v>687</v>
      </c>
      <c r="CF4" s="209" t="s">
        <v>764</v>
      </c>
      <c r="CG4" s="933"/>
      <c r="CH4" s="933"/>
      <c r="CI4" s="208" t="s">
        <v>687</v>
      </c>
      <c r="CJ4" s="209" t="s">
        <v>764</v>
      </c>
      <c r="CK4" s="933"/>
      <c r="CL4" s="933"/>
      <c r="CM4" s="208" t="s">
        <v>687</v>
      </c>
      <c r="CN4" s="209" t="s">
        <v>764</v>
      </c>
      <c r="CO4" s="933"/>
      <c r="CP4" s="933"/>
      <c r="CQ4" s="368" t="s">
        <v>531</v>
      </c>
      <c r="CR4" s="368" t="s">
        <v>532</v>
      </c>
      <c r="CS4" s="953"/>
      <c r="CT4" s="953"/>
      <c r="CU4" s="368" t="s">
        <v>531</v>
      </c>
      <c r="CV4" s="368" t="s">
        <v>615</v>
      </c>
      <c r="CW4" s="953"/>
      <c r="CX4" s="953"/>
      <c r="CY4" s="368" t="s">
        <v>531</v>
      </c>
      <c r="CZ4" s="368" t="s">
        <v>532</v>
      </c>
      <c r="DA4" s="953"/>
      <c r="DB4" s="953"/>
    </row>
    <row r="5" spans="1:106" s="326" customFormat="1" ht="24.75" customHeight="1">
      <c r="A5" s="369" t="s">
        <v>306</v>
      </c>
      <c r="B5" s="330" t="s">
        <v>307</v>
      </c>
      <c r="C5" s="210">
        <f>SUM(C6:C17)</f>
        <v>0</v>
      </c>
      <c r="D5" s="211">
        <f>SUM(D6:D17)</f>
        <v>0</v>
      </c>
      <c r="E5" s="211">
        <f>SUM(E6:E17)</f>
        <v>301.565</v>
      </c>
      <c r="F5" s="212">
        <f>E5-D5</f>
        <v>301.565</v>
      </c>
      <c r="G5" s="258" t="e">
        <f>E5/D5</f>
        <v>#DIV/0!</v>
      </c>
      <c r="H5" s="211">
        <f t="shared" ref="H5:AC5" si="0">SUM(H6:H17)</f>
        <v>0</v>
      </c>
      <c r="I5" s="211">
        <f t="shared" si="0"/>
        <v>301.05599999999998</v>
      </c>
      <c r="J5" s="212">
        <f t="shared" si="0"/>
        <v>301.05599999999998</v>
      </c>
      <c r="K5" s="212" t="e">
        <f t="shared" si="0"/>
        <v>#DIV/0!</v>
      </c>
      <c r="L5" s="211">
        <f t="shared" si="0"/>
        <v>0</v>
      </c>
      <c r="M5" s="211">
        <f t="shared" si="0"/>
        <v>0.50700000000000001</v>
      </c>
      <c r="N5" s="212">
        <f t="shared" si="0"/>
        <v>0.50700000000000001</v>
      </c>
      <c r="O5" s="212">
        <f t="shared" si="0"/>
        <v>0</v>
      </c>
      <c r="P5" s="211">
        <f t="shared" si="0"/>
        <v>0</v>
      </c>
      <c r="Q5" s="211">
        <f t="shared" si="0"/>
        <v>0</v>
      </c>
      <c r="R5" s="212">
        <f t="shared" si="0"/>
        <v>0</v>
      </c>
      <c r="S5" s="212">
        <f t="shared" si="0"/>
        <v>0</v>
      </c>
      <c r="T5" s="211">
        <f t="shared" si="0"/>
        <v>0</v>
      </c>
      <c r="U5" s="211">
        <f t="shared" si="0"/>
        <v>2E-3</v>
      </c>
      <c r="V5" s="212">
        <f t="shared" si="0"/>
        <v>0</v>
      </c>
      <c r="W5" s="212">
        <f t="shared" si="0"/>
        <v>0</v>
      </c>
      <c r="X5" s="211">
        <f t="shared" si="0"/>
        <v>0</v>
      </c>
      <c r="Y5" s="211">
        <f t="shared" si="0"/>
        <v>0</v>
      </c>
      <c r="Z5" s="212">
        <f t="shared" si="0"/>
        <v>0</v>
      </c>
      <c r="AA5" s="212">
        <f t="shared" si="0"/>
        <v>0</v>
      </c>
      <c r="AB5" s="211">
        <f t="shared" si="0"/>
        <v>0</v>
      </c>
      <c r="AC5" s="211">
        <f t="shared" si="0"/>
        <v>0</v>
      </c>
      <c r="AD5" s="212">
        <f>AC5-AB5</f>
        <v>0</v>
      </c>
      <c r="AE5" s="212"/>
      <c r="AF5" s="211">
        <f t="shared" ref="AF5:AR5" si="1">SUM(AF6:AF17)</f>
        <v>0</v>
      </c>
      <c r="AG5" s="211">
        <f t="shared" si="1"/>
        <v>0</v>
      </c>
      <c r="AH5" s="212">
        <f t="shared" si="1"/>
        <v>0</v>
      </c>
      <c r="AI5" s="211">
        <f t="shared" si="1"/>
        <v>0</v>
      </c>
      <c r="AJ5" s="211">
        <f t="shared" si="1"/>
        <v>0</v>
      </c>
      <c r="AK5" s="212">
        <f t="shared" si="1"/>
        <v>0</v>
      </c>
      <c r="AL5" s="212">
        <f t="shared" si="1"/>
        <v>0</v>
      </c>
      <c r="AM5" s="211">
        <f t="shared" si="1"/>
        <v>0</v>
      </c>
      <c r="AN5" s="211">
        <f t="shared" si="1"/>
        <v>0</v>
      </c>
      <c r="AO5" s="212">
        <f t="shared" si="1"/>
        <v>0</v>
      </c>
      <c r="AP5" s="212">
        <f t="shared" si="1"/>
        <v>0</v>
      </c>
      <c r="AQ5" s="212">
        <f t="shared" si="1"/>
        <v>0</v>
      </c>
      <c r="AR5" s="212">
        <f t="shared" si="1"/>
        <v>0</v>
      </c>
      <c r="AS5" s="212">
        <f>AR5-AQ5</f>
        <v>0</v>
      </c>
      <c r="AT5" s="212"/>
      <c r="AU5" s="211">
        <f t="shared" ref="AU5:CN5" si="2">SUM(AU6:AU17)</f>
        <v>0</v>
      </c>
      <c r="AV5" s="211">
        <f t="shared" si="2"/>
        <v>0</v>
      </c>
      <c r="AW5" s="212">
        <f t="shared" si="2"/>
        <v>0</v>
      </c>
      <c r="AX5" s="212">
        <f t="shared" si="2"/>
        <v>0</v>
      </c>
      <c r="AY5" s="211">
        <f t="shared" si="2"/>
        <v>0</v>
      </c>
      <c r="AZ5" s="211">
        <f t="shared" si="2"/>
        <v>0</v>
      </c>
      <c r="BA5" s="212">
        <f t="shared" si="2"/>
        <v>0</v>
      </c>
      <c r="BB5" s="212">
        <f t="shared" si="2"/>
        <v>0</v>
      </c>
      <c r="BC5" s="211">
        <f t="shared" si="2"/>
        <v>0</v>
      </c>
      <c r="BD5" s="211">
        <f t="shared" si="2"/>
        <v>0</v>
      </c>
      <c r="BE5" s="212">
        <f t="shared" si="2"/>
        <v>0</v>
      </c>
      <c r="BF5" s="212">
        <f t="shared" si="2"/>
        <v>0</v>
      </c>
      <c r="BG5" s="211">
        <f t="shared" si="2"/>
        <v>0</v>
      </c>
      <c r="BH5" s="211">
        <f t="shared" si="2"/>
        <v>0</v>
      </c>
      <c r="BI5" s="212">
        <f t="shared" si="2"/>
        <v>0</v>
      </c>
      <c r="BJ5" s="212">
        <f t="shared" si="2"/>
        <v>0</v>
      </c>
      <c r="BK5" s="211">
        <f t="shared" si="2"/>
        <v>0</v>
      </c>
      <c r="BL5" s="211">
        <f t="shared" si="2"/>
        <v>0</v>
      </c>
      <c r="BM5" s="212">
        <f t="shared" si="2"/>
        <v>0</v>
      </c>
      <c r="BN5" s="212">
        <f t="shared" si="2"/>
        <v>0</v>
      </c>
      <c r="BO5" s="211">
        <f>SUM(BO6:BO17)</f>
        <v>0</v>
      </c>
      <c r="BP5" s="211">
        <f>SUM(BP6:BP17)</f>
        <v>0</v>
      </c>
      <c r="BQ5" s="212">
        <f>SUM(BQ6:BQ17)</f>
        <v>0</v>
      </c>
      <c r="BR5" s="212">
        <f>SUM(BR6:BR17)</f>
        <v>0</v>
      </c>
      <c r="BS5" s="211">
        <f t="shared" si="2"/>
        <v>0</v>
      </c>
      <c r="BT5" s="211">
        <f t="shared" si="2"/>
        <v>0</v>
      </c>
      <c r="BU5" s="212">
        <f t="shared" si="2"/>
        <v>0</v>
      </c>
      <c r="BV5" s="212">
        <f t="shared" si="2"/>
        <v>0</v>
      </c>
      <c r="BW5" s="211">
        <f t="shared" si="2"/>
        <v>0</v>
      </c>
      <c r="BX5" s="211">
        <f t="shared" si="2"/>
        <v>0</v>
      </c>
      <c r="BY5" s="212">
        <f t="shared" si="2"/>
        <v>0</v>
      </c>
      <c r="BZ5" s="212">
        <f t="shared" si="2"/>
        <v>0</v>
      </c>
      <c r="CA5" s="211">
        <f>SUM(CA6:CA17)</f>
        <v>0</v>
      </c>
      <c r="CB5" s="211">
        <f>SUM(CB6:CB17)</f>
        <v>0</v>
      </c>
      <c r="CC5" s="212">
        <f>SUM(CC6:CC17)</f>
        <v>0</v>
      </c>
      <c r="CD5" s="212">
        <f>SUM(CD6:CD17)</f>
        <v>0</v>
      </c>
      <c r="CE5" s="211">
        <f t="shared" si="2"/>
        <v>0</v>
      </c>
      <c r="CF5" s="211">
        <f t="shared" si="2"/>
        <v>0</v>
      </c>
      <c r="CG5" s="212">
        <f t="shared" si="2"/>
        <v>0</v>
      </c>
      <c r="CH5" s="212">
        <f t="shared" si="2"/>
        <v>0</v>
      </c>
      <c r="CI5" s="211">
        <f t="shared" si="2"/>
        <v>0</v>
      </c>
      <c r="CJ5" s="211">
        <f t="shared" si="2"/>
        <v>0</v>
      </c>
      <c r="CK5" s="212">
        <f t="shared" si="2"/>
        <v>0</v>
      </c>
      <c r="CL5" s="213">
        <f t="shared" si="2"/>
        <v>0</v>
      </c>
      <c r="CM5" s="213">
        <f t="shared" si="2"/>
        <v>0</v>
      </c>
      <c r="CN5" s="213">
        <f t="shared" si="2"/>
        <v>0</v>
      </c>
      <c r="CO5" s="213">
        <f>CN5-CM5</f>
        <v>0</v>
      </c>
      <c r="CP5" s="213"/>
      <c r="CQ5" s="7">
        <f>SUM(CQ6:CQ17)</f>
        <v>0</v>
      </c>
      <c r="CR5" s="7">
        <f>SUM(CR6:CR17)</f>
        <v>0</v>
      </c>
      <c r="CS5" s="259">
        <f>CR5-CQ5</f>
        <v>0</v>
      </c>
      <c r="CT5" s="260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34"/>
      <c r="B6" s="334" t="s">
        <v>308</v>
      </c>
      <c r="C6" s="215"/>
      <c r="D6" s="217">
        <f t="shared" ref="D6:D16" si="4">H6+L6+P6+T6+X6+AI6+AM6+AQ6+AU6+BC6+BG6+BW6+CE6+CI6+CM6+CQ6+CU6+CY6+AY6+BK6+BS6</f>
        <v>0</v>
      </c>
      <c r="E6" s="217">
        <f t="shared" ref="E6:E17" si="5">I6+M6+Q6+U6+Y6+AJ6+AN6+AR6+AV6+BD6+BH6+BX6+CF6+CJ6+CN6+CR6+CV6+CZ6+BL6+BT6</f>
        <v>0</v>
      </c>
      <c r="F6" s="218">
        <f t="shared" ref="F6:F33" si="6">E6-D6</f>
        <v>0</v>
      </c>
      <c r="G6" s="218"/>
      <c r="H6" s="217"/>
      <c r="I6" s="217"/>
      <c r="J6" s="219">
        <f>I6-H6</f>
        <v>0</v>
      </c>
      <c r="K6" s="219"/>
      <c r="L6" s="217"/>
      <c r="M6" s="217"/>
      <c r="N6" s="219">
        <f>M6-L6</f>
        <v>0</v>
      </c>
      <c r="O6" s="219"/>
      <c r="P6" s="217"/>
      <c r="Q6" s="217"/>
      <c r="R6" s="219">
        <f>Q6-P6</f>
        <v>0</v>
      </c>
      <c r="S6" s="219"/>
      <c r="T6" s="217"/>
      <c r="U6" s="217"/>
      <c r="V6" s="219">
        <f>U6-T6</f>
        <v>0</v>
      </c>
      <c r="W6" s="219"/>
      <c r="X6" s="217">
        <f t="shared" ref="X6:Y40" si="7">AB6</f>
        <v>0</v>
      </c>
      <c r="Y6" s="217">
        <f t="shared" si="7"/>
        <v>0</v>
      </c>
      <c r="Z6" s="219">
        <f>Y6-X6</f>
        <v>0</v>
      </c>
      <c r="AA6" s="219"/>
      <c r="AB6" s="217"/>
      <c r="AC6" s="217"/>
      <c r="AD6" s="219">
        <f>AC6-AB6</f>
        <v>0</v>
      </c>
      <c r="AE6" s="219"/>
      <c r="AF6" s="217"/>
      <c r="AG6" s="217"/>
      <c r="AH6" s="219">
        <f>AG6-AF6</f>
        <v>0</v>
      </c>
      <c r="AI6" s="217"/>
      <c r="AJ6" s="217"/>
      <c r="AK6" s="219">
        <f>AJ6-AI6</f>
        <v>0</v>
      </c>
      <c r="AL6" s="219"/>
      <c r="AM6" s="217"/>
      <c r="AN6" s="217"/>
      <c r="AO6" s="219">
        <f>AN6-AM6</f>
        <v>0</v>
      </c>
      <c r="AP6" s="219"/>
      <c r="AQ6" s="219"/>
      <c r="AR6" s="219"/>
      <c r="AS6" s="219">
        <f>AR6-AQ6</f>
        <v>0</v>
      </c>
      <c r="AT6" s="219"/>
      <c r="AU6" s="217"/>
      <c r="AV6" s="217"/>
      <c r="AW6" s="219">
        <f>AV6-AU6</f>
        <v>0</v>
      </c>
      <c r="AX6" s="219"/>
      <c r="AY6" s="217"/>
      <c r="AZ6" s="217"/>
      <c r="BA6" s="219">
        <f>AZ6-AY6</f>
        <v>0</v>
      </c>
      <c r="BB6" s="219"/>
      <c r="BC6" s="217"/>
      <c r="BD6" s="217"/>
      <c r="BE6" s="219">
        <f>BD6-BC6</f>
        <v>0</v>
      </c>
      <c r="BF6" s="219"/>
      <c r="BG6" s="217"/>
      <c r="BH6" s="217"/>
      <c r="BI6" s="219">
        <f>BH6-BG6</f>
        <v>0</v>
      </c>
      <c r="BJ6" s="219"/>
      <c r="BK6" s="217"/>
      <c r="BL6" s="217"/>
      <c r="BM6" s="219">
        <f>BL6-BK6</f>
        <v>0</v>
      </c>
      <c r="BN6" s="219"/>
      <c r="BO6" s="217"/>
      <c r="BP6" s="217"/>
      <c r="BQ6" s="219">
        <f>BP6-BO6</f>
        <v>0</v>
      </c>
      <c r="BR6" s="219"/>
      <c r="BS6" s="217"/>
      <c r="BT6" s="217"/>
      <c r="BU6" s="219">
        <f>BT6-BS6</f>
        <v>0</v>
      </c>
      <c r="BV6" s="219"/>
      <c r="BW6" s="217"/>
      <c r="BX6" s="217"/>
      <c r="BY6" s="219">
        <f>BX6-BW6</f>
        <v>0</v>
      </c>
      <c r="BZ6" s="219"/>
      <c r="CA6" s="217"/>
      <c r="CB6" s="217"/>
      <c r="CC6" s="219">
        <f>CB6-CA6</f>
        <v>0</v>
      </c>
      <c r="CD6" s="219"/>
      <c r="CE6" s="217"/>
      <c r="CF6" s="217"/>
      <c r="CG6" s="219">
        <f>CF6-CE6</f>
        <v>0</v>
      </c>
      <c r="CH6" s="219"/>
      <c r="CI6" s="217"/>
      <c r="CJ6" s="217"/>
      <c r="CK6" s="219">
        <f>CJ6-CI6</f>
        <v>0</v>
      </c>
      <c r="CL6" s="220"/>
      <c r="CM6" s="220"/>
      <c r="CN6" s="220"/>
      <c r="CO6" s="220">
        <f>CN6-CM6</f>
        <v>0</v>
      </c>
      <c r="CP6" s="220"/>
      <c r="CQ6" s="14"/>
      <c r="CR6" s="14"/>
      <c r="CS6" s="261">
        <f>CR6-CQ6</f>
        <v>0</v>
      </c>
      <c r="CT6" s="262"/>
      <c r="CU6" s="13"/>
      <c r="CV6" s="13"/>
      <c r="CW6" s="261">
        <f>CV6-CU6</f>
        <v>0</v>
      </c>
      <c r="CX6" s="262"/>
      <c r="CY6" s="13"/>
      <c r="CZ6" s="13"/>
      <c r="DA6" s="261">
        <f>CZ6-CY6</f>
        <v>0</v>
      </c>
      <c r="DB6" s="262"/>
    </row>
    <row r="7" spans="1:106" ht="14.25" hidden="1" customHeight="1">
      <c r="A7" s="334"/>
      <c r="B7" s="334" t="s">
        <v>309</v>
      </c>
      <c r="C7" s="221"/>
      <c r="D7" s="153">
        <f t="shared" si="4"/>
        <v>0</v>
      </c>
      <c r="E7" s="153">
        <f t="shared" si="5"/>
        <v>0</v>
      </c>
      <c r="F7" s="192">
        <f t="shared" si="6"/>
        <v>0</v>
      </c>
      <c r="G7" s="192"/>
      <c r="H7" s="153"/>
      <c r="I7" s="153"/>
      <c r="J7" s="156">
        <f>I7-H7</f>
        <v>0</v>
      </c>
      <c r="K7" s="156"/>
      <c r="L7" s="153"/>
      <c r="M7" s="153"/>
      <c r="N7" s="156">
        <f>M7-L7</f>
        <v>0</v>
      </c>
      <c r="O7" s="156"/>
      <c r="P7" s="153"/>
      <c r="Q7" s="153"/>
      <c r="R7" s="156">
        <f>Q7-P7</f>
        <v>0</v>
      </c>
      <c r="S7" s="156"/>
      <c r="T7" s="153"/>
      <c r="U7" s="153"/>
      <c r="V7" s="156">
        <f>U7-T7</f>
        <v>0</v>
      </c>
      <c r="W7" s="156"/>
      <c r="X7" s="153">
        <f t="shared" si="7"/>
        <v>0</v>
      </c>
      <c r="Y7" s="153">
        <f t="shared" si="7"/>
        <v>0</v>
      </c>
      <c r="Z7" s="156">
        <f>Y7-X7</f>
        <v>0</v>
      </c>
      <c r="AA7" s="156"/>
      <c r="AB7" s="153"/>
      <c r="AC7" s="153"/>
      <c r="AD7" s="156">
        <f>AC7-AB7</f>
        <v>0</v>
      </c>
      <c r="AE7" s="156"/>
      <c r="AF7" s="153"/>
      <c r="AG7" s="153"/>
      <c r="AH7" s="156">
        <f>AG7-AF7</f>
        <v>0</v>
      </c>
      <c r="AI7" s="153"/>
      <c r="AJ7" s="153"/>
      <c r="AK7" s="156">
        <f>AJ7-AI7</f>
        <v>0</v>
      </c>
      <c r="AL7" s="156"/>
      <c r="AM7" s="153"/>
      <c r="AN7" s="153"/>
      <c r="AO7" s="156">
        <f>AN7-AM7</f>
        <v>0</v>
      </c>
      <c r="AP7" s="156"/>
      <c r="AQ7" s="156"/>
      <c r="AR7" s="156"/>
      <c r="AS7" s="156">
        <f>AR7-AQ7</f>
        <v>0</v>
      </c>
      <c r="AT7" s="156"/>
      <c r="AU7" s="153"/>
      <c r="AV7" s="153"/>
      <c r="AW7" s="156">
        <f>AV7-AU7</f>
        <v>0</v>
      </c>
      <c r="AX7" s="156"/>
      <c r="AY7" s="153"/>
      <c r="AZ7" s="153"/>
      <c r="BA7" s="156">
        <f>AZ7-AY7</f>
        <v>0</v>
      </c>
      <c r="BB7" s="156"/>
      <c r="BC7" s="153"/>
      <c r="BD7" s="153"/>
      <c r="BE7" s="156">
        <f>BD7-BC7</f>
        <v>0</v>
      </c>
      <c r="BF7" s="156"/>
      <c r="BG7" s="153"/>
      <c r="BH7" s="153"/>
      <c r="BI7" s="156">
        <f>BH7-BG7</f>
        <v>0</v>
      </c>
      <c r="BJ7" s="156"/>
      <c r="BK7" s="153"/>
      <c r="BL7" s="153"/>
      <c r="BM7" s="156">
        <f>BL7-BK7</f>
        <v>0</v>
      </c>
      <c r="BN7" s="156"/>
      <c r="BO7" s="153"/>
      <c r="BP7" s="153"/>
      <c r="BQ7" s="156">
        <f>BP7-BO7</f>
        <v>0</v>
      </c>
      <c r="BR7" s="156"/>
      <c r="BS7" s="153"/>
      <c r="BT7" s="153"/>
      <c r="BU7" s="156">
        <f>BT7-BS7</f>
        <v>0</v>
      </c>
      <c r="BV7" s="156"/>
      <c r="BW7" s="153"/>
      <c r="BX7" s="153"/>
      <c r="BY7" s="156">
        <f>BX7-BW7</f>
        <v>0</v>
      </c>
      <c r="BZ7" s="156"/>
      <c r="CA7" s="153"/>
      <c r="CB7" s="153"/>
      <c r="CC7" s="156">
        <f>CB7-CA7</f>
        <v>0</v>
      </c>
      <c r="CD7" s="156"/>
      <c r="CE7" s="153"/>
      <c r="CF7" s="153"/>
      <c r="CG7" s="156">
        <f>CF7-CE7</f>
        <v>0</v>
      </c>
      <c r="CH7" s="156"/>
      <c r="CI7" s="153"/>
      <c r="CJ7" s="153"/>
      <c r="CK7" s="156">
        <f>CJ7-CI7</f>
        <v>0</v>
      </c>
      <c r="CL7" s="222"/>
      <c r="CM7" s="222"/>
      <c r="CN7" s="222"/>
      <c r="CO7" s="222">
        <f>CN7-CM7</f>
        <v>0</v>
      </c>
      <c r="CP7" s="222"/>
      <c r="CQ7" s="14"/>
      <c r="CR7" s="14"/>
      <c r="CS7" s="261">
        <f>CR7-CQ7</f>
        <v>0</v>
      </c>
      <c r="CT7" s="262"/>
      <c r="CU7" s="13"/>
      <c r="CV7" s="13"/>
      <c r="CW7" s="261">
        <f>CV7-CU7</f>
        <v>0</v>
      </c>
      <c r="CX7" s="262"/>
      <c r="CY7" s="13"/>
      <c r="CZ7" s="13"/>
      <c r="DA7" s="261">
        <f>CZ7-CY7</f>
        <v>0</v>
      </c>
      <c r="DB7" s="262"/>
    </row>
    <row r="8" spans="1:106" ht="14.25" hidden="1" customHeight="1">
      <c r="A8" s="334"/>
      <c r="B8" s="333" t="s">
        <v>535</v>
      </c>
      <c r="C8" s="225"/>
      <c r="D8" s="153">
        <f t="shared" si="4"/>
        <v>0</v>
      </c>
      <c r="E8" s="153">
        <f t="shared" si="5"/>
        <v>0</v>
      </c>
      <c r="F8" s="192">
        <f t="shared" si="6"/>
        <v>0</v>
      </c>
      <c r="G8" s="192" t="e">
        <f t="shared" ref="G8:G20" si="8">E8/D8</f>
        <v>#DIV/0!</v>
      </c>
      <c r="H8" s="153"/>
      <c r="I8" s="153"/>
      <c r="J8" s="156">
        <f>I8-H8</f>
        <v>0</v>
      </c>
      <c r="K8" s="156"/>
      <c r="L8" s="153"/>
      <c r="M8" s="153"/>
      <c r="N8" s="156">
        <f>M8-L8</f>
        <v>0</v>
      </c>
      <c r="O8" s="156"/>
      <c r="P8" s="153"/>
      <c r="Q8" s="153"/>
      <c r="R8" s="156">
        <f>Q8-P8</f>
        <v>0</v>
      </c>
      <c r="S8" s="156"/>
      <c r="T8" s="153"/>
      <c r="U8" s="153"/>
      <c r="V8" s="156">
        <f>U8-T8</f>
        <v>0</v>
      </c>
      <c r="W8" s="156"/>
      <c r="X8" s="153">
        <f t="shared" si="7"/>
        <v>0</v>
      </c>
      <c r="Y8" s="153">
        <f t="shared" si="7"/>
        <v>0</v>
      </c>
      <c r="Z8" s="156">
        <f>Y8-X8</f>
        <v>0</v>
      </c>
      <c r="AA8" s="156"/>
      <c r="AB8" s="153"/>
      <c r="AC8" s="153"/>
      <c r="AD8" s="156">
        <f>AC8-AB8</f>
        <v>0</v>
      </c>
      <c r="AE8" s="156"/>
      <c r="AF8" s="153"/>
      <c r="AG8" s="153"/>
      <c r="AH8" s="156">
        <f>AG8-AF8</f>
        <v>0</v>
      </c>
      <c r="AI8" s="153"/>
      <c r="AJ8" s="153"/>
      <c r="AK8" s="156">
        <f>AJ8-AI8</f>
        <v>0</v>
      </c>
      <c r="AL8" s="156"/>
      <c r="AM8" s="153"/>
      <c r="AN8" s="153"/>
      <c r="AO8" s="156">
        <f>AN8-AM8</f>
        <v>0</v>
      </c>
      <c r="AP8" s="156"/>
      <c r="AQ8" s="156"/>
      <c r="AR8" s="156"/>
      <c r="AS8" s="156">
        <f>AR8-AQ8</f>
        <v>0</v>
      </c>
      <c r="AT8" s="156"/>
      <c r="AU8" s="153"/>
      <c r="AV8" s="153"/>
      <c r="AW8" s="156">
        <f>AV8-AU8</f>
        <v>0</v>
      </c>
      <c r="AX8" s="156"/>
      <c r="AY8" s="153"/>
      <c r="AZ8" s="153"/>
      <c r="BA8" s="156">
        <f>AZ8-AY8</f>
        <v>0</v>
      </c>
      <c r="BB8" s="156"/>
      <c r="BC8" s="153"/>
      <c r="BD8" s="153"/>
      <c r="BE8" s="156">
        <f>BD8-BC8</f>
        <v>0</v>
      </c>
      <c r="BF8" s="156"/>
      <c r="BG8" s="153"/>
      <c r="BH8" s="153"/>
      <c r="BI8" s="156">
        <f>BH8-BG8</f>
        <v>0</v>
      </c>
      <c r="BJ8" s="156"/>
      <c r="BK8" s="153"/>
      <c r="BL8" s="153"/>
      <c r="BM8" s="156">
        <f>BL8-BK8</f>
        <v>0</v>
      </c>
      <c r="BN8" s="156"/>
      <c r="BO8" s="153"/>
      <c r="BP8" s="153"/>
      <c r="BQ8" s="156">
        <f>BP8-BO8</f>
        <v>0</v>
      </c>
      <c r="BR8" s="156"/>
      <c r="BS8" s="153"/>
      <c r="BT8" s="153"/>
      <c r="BU8" s="156">
        <f>BT8-BS8</f>
        <v>0</v>
      </c>
      <c r="BV8" s="156"/>
      <c r="BW8" s="153"/>
      <c r="BX8" s="153"/>
      <c r="BY8" s="156">
        <f>BX8-BW8</f>
        <v>0</v>
      </c>
      <c r="BZ8" s="156"/>
      <c r="CA8" s="153"/>
      <c r="CB8" s="153"/>
      <c r="CC8" s="156">
        <f>CB8-CA8</f>
        <v>0</v>
      </c>
      <c r="CD8" s="156"/>
      <c r="CE8" s="153"/>
      <c r="CF8" s="153"/>
      <c r="CG8" s="156">
        <f>CF8-CE8</f>
        <v>0</v>
      </c>
      <c r="CH8" s="156"/>
      <c r="CI8" s="153"/>
      <c r="CJ8" s="153"/>
      <c r="CK8" s="156">
        <f>CJ8-CI8</f>
        <v>0</v>
      </c>
      <c r="CL8" s="222"/>
      <c r="CM8" s="222"/>
      <c r="CN8" s="222"/>
      <c r="CO8" s="222">
        <f>CN8-CM8</f>
        <v>0</v>
      </c>
      <c r="CP8" s="222"/>
      <c r="CQ8" s="14"/>
      <c r="CR8" s="14"/>
      <c r="CS8" s="261">
        <f>CR8-CQ8</f>
        <v>0</v>
      </c>
      <c r="CT8" s="262"/>
      <c r="CU8" s="13"/>
      <c r="CV8" s="13"/>
      <c r="CW8" s="261">
        <f>CV8-CU8</f>
        <v>0</v>
      </c>
      <c r="CX8" s="262"/>
      <c r="CY8" s="13"/>
      <c r="CZ8" s="13"/>
      <c r="DA8" s="261">
        <f>CZ8-CY8</f>
        <v>0</v>
      </c>
      <c r="DB8" s="262"/>
    </row>
    <row r="9" spans="1:106" ht="14.25" hidden="1" customHeight="1">
      <c r="A9" s="334"/>
      <c r="B9" s="333" t="s">
        <v>310</v>
      </c>
      <c r="C9" s="225"/>
      <c r="D9" s="153">
        <f t="shared" si="4"/>
        <v>0</v>
      </c>
      <c r="E9" s="153">
        <f t="shared" si="5"/>
        <v>0</v>
      </c>
      <c r="F9" s="192">
        <f t="shared" si="6"/>
        <v>0</v>
      </c>
      <c r="G9" s="192" t="e">
        <f t="shared" si="8"/>
        <v>#DIV/0!</v>
      </c>
      <c r="H9" s="153"/>
      <c r="I9" s="153"/>
      <c r="J9" s="156">
        <f>I9-H9</f>
        <v>0</v>
      </c>
      <c r="K9" s="156"/>
      <c r="L9" s="153"/>
      <c r="M9" s="153"/>
      <c r="N9" s="156">
        <f>M9-L9</f>
        <v>0</v>
      </c>
      <c r="O9" s="156"/>
      <c r="P9" s="153"/>
      <c r="Q9" s="153"/>
      <c r="R9" s="156">
        <f>Q9-P9</f>
        <v>0</v>
      </c>
      <c r="S9" s="156"/>
      <c r="T9" s="153"/>
      <c r="U9" s="153"/>
      <c r="V9" s="156">
        <f>U9-T9</f>
        <v>0</v>
      </c>
      <c r="W9" s="156"/>
      <c r="X9" s="153">
        <f t="shared" si="7"/>
        <v>0</v>
      </c>
      <c r="Y9" s="153">
        <f t="shared" si="7"/>
        <v>0</v>
      </c>
      <c r="Z9" s="156">
        <f>Y9-X9</f>
        <v>0</v>
      </c>
      <c r="AA9" s="156"/>
      <c r="AB9" s="153"/>
      <c r="AC9" s="153"/>
      <c r="AD9" s="156">
        <f>AC9-AB9</f>
        <v>0</v>
      </c>
      <c r="AE9" s="156"/>
      <c r="AF9" s="153"/>
      <c r="AG9" s="153"/>
      <c r="AH9" s="156">
        <f>AG9-AF9</f>
        <v>0</v>
      </c>
      <c r="AI9" s="153"/>
      <c r="AJ9" s="153"/>
      <c r="AK9" s="156">
        <f>AJ9-AI9</f>
        <v>0</v>
      </c>
      <c r="AL9" s="156"/>
      <c r="AM9" s="153"/>
      <c r="AN9" s="153"/>
      <c r="AO9" s="156">
        <f>AN9-AM9</f>
        <v>0</v>
      </c>
      <c r="AP9" s="156"/>
      <c r="AQ9" s="156"/>
      <c r="AR9" s="156"/>
      <c r="AS9" s="156">
        <f>AR9-AQ9</f>
        <v>0</v>
      </c>
      <c r="AT9" s="156"/>
      <c r="AU9" s="153"/>
      <c r="AV9" s="153"/>
      <c r="AW9" s="156">
        <f>AV9-AU9</f>
        <v>0</v>
      </c>
      <c r="AX9" s="156"/>
      <c r="AY9" s="153"/>
      <c r="AZ9" s="153"/>
      <c r="BA9" s="156">
        <f>AZ9-AY9</f>
        <v>0</v>
      </c>
      <c r="BB9" s="156"/>
      <c r="BC9" s="153"/>
      <c r="BD9" s="153"/>
      <c r="BE9" s="156">
        <f>BD9-BC9</f>
        <v>0</v>
      </c>
      <c r="BF9" s="156"/>
      <c r="BG9" s="153"/>
      <c r="BH9" s="153"/>
      <c r="BI9" s="156">
        <f>BH9-BG9</f>
        <v>0</v>
      </c>
      <c r="BJ9" s="156"/>
      <c r="BK9" s="153"/>
      <c r="BL9" s="153"/>
      <c r="BM9" s="156">
        <f>BL9-BK9</f>
        <v>0</v>
      </c>
      <c r="BN9" s="156"/>
      <c r="BO9" s="153"/>
      <c r="BP9" s="153"/>
      <c r="BQ9" s="156">
        <f>BP9-BO9</f>
        <v>0</v>
      </c>
      <c r="BR9" s="156"/>
      <c r="BS9" s="153"/>
      <c r="BT9" s="153"/>
      <c r="BU9" s="156">
        <f>BT9-BS9</f>
        <v>0</v>
      </c>
      <c r="BV9" s="156"/>
      <c r="BW9" s="153"/>
      <c r="BX9" s="153"/>
      <c r="BY9" s="156">
        <f>BX9-BW9</f>
        <v>0</v>
      </c>
      <c r="BZ9" s="156"/>
      <c r="CA9" s="153"/>
      <c r="CB9" s="153"/>
      <c r="CC9" s="156">
        <f>CB9-CA9</f>
        <v>0</v>
      </c>
      <c r="CD9" s="156"/>
      <c r="CE9" s="153"/>
      <c r="CF9" s="153"/>
      <c r="CG9" s="156">
        <f>CF9-CE9</f>
        <v>0</v>
      </c>
      <c r="CH9" s="156"/>
      <c r="CI9" s="153"/>
      <c r="CJ9" s="153"/>
      <c r="CK9" s="156">
        <f>CJ9-CI9</f>
        <v>0</v>
      </c>
      <c r="CL9" s="222"/>
      <c r="CM9" s="222"/>
      <c r="CN9" s="222"/>
      <c r="CO9" s="222">
        <f>CN9-CM9</f>
        <v>0</v>
      </c>
      <c r="CP9" s="222"/>
      <c r="CQ9" s="14"/>
      <c r="CR9" s="14"/>
      <c r="CS9" s="261">
        <f>CR9-CQ9</f>
        <v>0</v>
      </c>
      <c r="CT9" s="262"/>
      <c r="CU9" s="13"/>
      <c r="CV9" s="13"/>
      <c r="CW9" s="261">
        <f>CV9-CU9</f>
        <v>0</v>
      </c>
      <c r="CX9" s="262"/>
      <c r="CY9" s="13"/>
      <c r="CZ9" s="13"/>
      <c r="DA9" s="261">
        <f>CZ9-CY9</f>
        <v>0</v>
      </c>
      <c r="DB9" s="262"/>
    </row>
    <row r="10" spans="1:106" ht="14.25" hidden="1" customHeight="1">
      <c r="A10" s="334"/>
      <c r="B10" s="333" t="s">
        <v>536</v>
      </c>
      <c r="C10" s="225">
        <v>0</v>
      </c>
      <c r="D10" s="153">
        <f t="shared" si="4"/>
        <v>0</v>
      </c>
      <c r="E10" s="153">
        <f t="shared" si="5"/>
        <v>0</v>
      </c>
      <c r="F10" s="192">
        <f t="shared" si="6"/>
        <v>0</v>
      </c>
      <c r="G10" s="192" t="e">
        <f t="shared" si="8"/>
        <v>#DIV/0!</v>
      </c>
      <c r="H10" s="153"/>
      <c r="I10" s="153"/>
      <c r="J10" s="156"/>
      <c r="K10" s="156"/>
      <c r="L10" s="153"/>
      <c r="M10" s="153"/>
      <c r="N10" s="156"/>
      <c r="O10" s="156"/>
      <c r="P10" s="153"/>
      <c r="Q10" s="153"/>
      <c r="R10" s="156"/>
      <c r="S10" s="156"/>
      <c r="T10" s="153"/>
      <c r="U10" s="153"/>
      <c r="V10" s="156"/>
      <c r="W10" s="156"/>
      <c r="X10" s="153">
        <f t="shared" si="7"/>
        <v>0</v>
      </c>
      <c r="Y10" s="153">
        <f t="shared" si="7"/>
        <v>0</v>
      </c>
      <c r="Z10" s="156"/>
      <c r="AA10" s="156"/>
      <c r="AB10" s="153"/>
      <c r="AC10" s="153"/>
      <c r="AD10" s="156"/>
      <c r="AE10" s="156"/>
      <c r="AF10" s="153"/>
      <c r="AG10" s="153"/>
      <c r="AH10" s="156"/>
      <c r="AI10" s="153"/>
      <c r="AJ10" s="153"/>
      <c r="AK10" s="156"/>
      <c r="AL10" s="156"/>
      <c r="AM10" s="153"/>
      <c r="AN10" s="153"/>
      <c r="AO10" s="156"/>
      <c r="AP10" s="156"/>
      <c r="AQ10" s="156"/>
      <c r="AR10" s="156"/>
      <c r="AS10" s="156"/>
      <c r="AT10" s="156"/>
      <c r="AU10" s="153"/>
      <c r="AV10" s="153"/>
      <c r="AW10" s="156"/>
      <c r="AX10" s="156"/>
      <c r="AY10" s="153"/>
      <c r="AZ10" s="153"/>
      <c r="BA10" s="156"/>
      <c r="BB10" s="156"/>
      <c r="BC10" s="153"/>
      <c r="BD10" s="153"/>
      <c r="BE10" s="156"/>
      <c r="BF10" s="156"/>
      <c r="BG10" s="153"/>
      <c r="BH10" s="153"/>
      <c r="BI10" s="156"/>
      <c r="BJ10" s="156"/>
      <c r="BK10" s="153"/>
      <c r="BL10" s="153"/>
      <c r="BM10" s="156"/>
      <c r="BN10" s="156"/>
      <c r="BO10" s="153"/>
      <c r="BP10" s="153"/>
      <c r="BQ10" s="156"/>
      <c r="BR10" s="156"/>
      <c r="BS10" s="153"/>
      <c r="BT10" s="153"/>
      <c r="BU10" s="156"/>
      <c r="BV10" s="156"/>
      <c r="BW10" s="153"/>
      <c r="BX10" s="153"/>
      <c r="BY10" s="156"/>
      <c r="BZ10" s="156"/>
      <c r="CA10" s="153"/>
      <c r="CB10" s="153"/>
      <c r="CC10" s="156"/>
      <c r="CD10" s="156"/>
      <c r="CE10" s="153"/>
      <c r="CF10" s="153"/>
      <c r="CG10" s="156"/>
      <c r="CH10" s="156"/>
      <c r="CI10" s="153"/>
      <c r="CJ10" s="153"/>
      <c r="CK10" s="156"/>
      <c r="CL10" s="222"/>
      <c r="CM10" s="222"/>
      <c r="CN10" s="222"/>
      <c r="CO10" s="222"/>
      <c r="CP10" s="222"/>
      <c r="CQ10" s="14"/>
      <c r="CR10" s="14"/>
      <c r="CS10" s="261"/>
      <c r="CT10" s="262"/>
      <c r="CU10" s="13"/>
      <c r="CV10" s="13"/>
      <c r="CW10" s="261"/>
      <c r="CX10" s="262"/>
      <c r="CY10" s="13"/>
      <c r="CZ10" s="13"/>
      <c r="DA10" s="261"/>
      <c r="DB10" s="262"/>
    </row>
    <row r="11" spans="1:106" ht="14.25" hidden="1" customHeight="1">
      <c r="A11" s="334"/>
      <c r="B11" s="333" t="s">
        <v>537</v>
      </c>
      <c r="C11" s="225"/>
      <c r="D11" s="153">
        <f t="shared" si="4"/>
        <v>0</v>
      </c>
      <c r="E11" s="153">
        <f t="shared" si="5"/>
        <v>2E-3</v>
      </c>
      <c r="F11" s="192">
        <f t="shared" si="6"/>
        <v>2E-3</v>
      </c>
      <c r="G11" s="192" t="e">
        <f t="shared" si="8"/>
        <v>#DIV/0!</v>
      </c>
      <c r="H11" s="153"/>
      <c r="I11" s="153"/>
      <c r="J11" s="156"/>
      <c r="K11" s="156"/>
      <c r="L11" s="153"/>
      <c r="M11" s="153"/>
      <c r="N11" s="156"/>
      <c r="O11" s="156"/>
      <c r="P11" s="153"/>
      <c r="Q11" s="153"/>
      <c r="R11" s="156"/>
      <c r="S11" s="156"/>
      <c r="T11" s="153"/>
      <c r="U11" s="153">
        <v>2E-3</v>
      </c>
      <c r="V11" s="156"/>
      <c r="W11" s="156"/>
      <c r="X11" s="153"/>
      <c r="Y11" s="153"/>
      <c r="Z11" s="156"/>
      <c r="AA11" s="156"/>
      <c r="AB11" s="153"/>
      <c r="AC11" s="153"/>
      <c r="AD11" s="156"/>
      <c r="AE11" s="156"/>
      <c r="AF11" s="153"/>
      <c r="AG11" s="153"/>
      <c r="AH11" s="156"/>
      <c r="AI11" s="153"/>
      <c r="AJ11" s="153"/>
      <c r="AK11" s="156"/>
      <c r="AL11" s="156"/>
      <c r="AM11" s="153"/>
      <c r="AN11" s="153"/>
      <c r="AO11" s="156"/>
      <c r="AP11" s="156"/>
      <c r="AQ11" s="156"/>
      <c r="AR11" s="156"/>
      <c r="AS11" s="156"/>
      <c r="AT11" s="156"/>
      <c r="AU11" s="153"/>
      <c r="AV11" s="153"/>
      <c r="AW11" s="156"/>
      <c r="AX11" s="156"/>
      <c r="AY11" s="153"/>
      <c r="AZ11" s="153"/>
      <c r="BA11" s="156"/>
      <c r="BB11" s="156"/>
      <c r="BC11" s="153"/>
      <c r="BD11" s="153"/>
      <c r="BE11" s="156"/>
      <c r="BF11" s="156"/>
      <c r="BG11" s="153"/>
      <c r="BH11" s="153"/>
      <c r="BI11" s="156"/>
      <c r="BJ11" s="156"/>
      <c r="BK11" s="153"/>
      <c r="BL11" s="153"/>
      <c r="BM11" s="156"/>
      <c r="BN11" s="156"/>
      <c r="BO11" s="153"/>
      <c r="BP11" s="153"/>
      <c r="BQ11" s="156"/>
      <c r="BR11" s="156"/>
      <c r="BS11" s="153"/>
      <c r="BT11" s="153"/>
      <c r="BU11" s="156"/>
      <c r="BV11" s="156"/>
      <c r="BW11" s="153"/>
      <c r="BX11" s="153"/>
      <c r="BY11" s="156"/>
      <c r="BZ11" s="156"/>
      <c r="CA11" s="153"/>
      <c r="CB11" s="153"/>
      <c r="CC11" s="156"/>
      <c r="CD11" s="156"/>
      <c r="CE11" s="153"/>
      <c r="CF11" s="153"/>
      <c r="CG11" s="156"/>
      <c r="CH11" s="156"/>
      <c r="CI11" s="153"/>
      <c r="CJ11" s="153"/>
      <c r="CK11" s="156"/>
      <c r="CL11" s="222"/>
      <c r="CM11" s="222"/>
      <c r="CN11" s="222"/>
      <c r="CO11" s="222"/>
      <c r="CP11" s="222"/>
      <c r="CQ11" s="14"/>
      <c r="CR11" s="14"/>
      <c r="CS11" s="261"/>
      <c r="CT11" s="262"/>
      <c r="CU11" s="13"/>
      <c r="CV11" s="13"/>
      <c r="CW11" s="261"/>
      <c r="CX11" s="262"/>
      <c r="CY11" s="13"/>
      <c r="CZ11" s="13"/>
      <c r="DA11" s="261"/>
      <c r="DB11" s="262"/>
    </row>
    <row r="12" spans="1:106" ht="14.25" hidden="1" customHeight="1">
      <c r="A12" s="334"/>
      <c r="B12" s="333" t="s">
        <v>311</v>
      </c>
      <c r="C12" s="225"/>
      <c r="D12" s="153">
        <f t="shared" si="4"/>
        <v>0</v>
      </c>
      <c r="E12" s="153">
        <f t="shared" si="5"/>
        <v>0</v>
      </c>
      <c r="F12" s="192">
        <f t="shared" si="6"/>
        <v>0</v>
      </c>
      <c r="G12" s="192" t="e">
        <f t="shared" si="8"/>
        <v>#DIV/0!</v>
      </c>
      <c r="H12" s="153"/>
      <c r="I12" s="153"/>
      <c r="J12" s="156">
        <f t="shared" ref="J12:J66" si="9">I12-H12</f>
        <v>0</v>
      </c>
      <c r="K12" s="156"/>
      <c r="L12" s="153"/>
      <c r="M12" s="153"/>
      <c r="N12" s="156">
        <f t="shared" ref="N12:N34" si="10">M12-L12</f>
        <v>0</v>
      </c>
      <c r="O12" s="156"/>
      <c r="P12" s="153"/>
      <c r="Q12" s="153"/>
      <c r="R12" s="156">
        <f t="shared" ref="R12:R34" si="11">Q12-P12</f>
        <v>0</v>
      </c>
      <c r="S12" s="156"/>
      <c r="T12" s="153"/>
      <c r="U12" s="153"/>
      <c r="V12" s="156">
        <f t="shared" ref="V12:V34" si="12">U12-T12</f>
        <v>0</v>
      </c>
      <c r="W12" s="156"/>
      <c r="X12" s="153">
        <f t="shared" si="7"/>
        <v>0</v>
      </c>
      <c r="Y12" s="153">
        <f t="shared" si="7"/>
        <v>0</v>
      </c>
      <c r="Z12" s="156">
        <f t="shared" ref="Z12:Z34" si="13">Y12-X12</f>
        <v>0</v>
      </c>
      <c r="AA12" s="156"/>
      <c r="AB12" s="153"/>
      <c r="AC12" s="153"/>
      <c r="AD12" s="156">
        <f t="shared" ref="AD12:AD20" si="14">AC12-AB12</f>
        <v>0</v>
      </c>
      <c r="AE12" s="156"/>
      <c r="AF12" s="153"/>
      <c r="AG12" s="153"/>
      <c r="AH12" s="156">
        <f t="shared" ref="AH12:AH34" si="15">AG12-AF12</f>
        <v>0</v>
      </c>
      <c r="AI12" s="153"/>
      <c r="AJ12" s="153"/>
      <c r="AK12" s="156">
        <f t="shared" ref="AK12:AK34" si="16">AJ12-AI12</f>
        <v>0</v>
      </c>
      <c r="AL12" s="156"/>
      <c r="AM12" s="153"/>
      <c r="AN12" s="153"/>
      <c r="AO12" s="156">
        <f t="shared" ref="AO12:AO34" si="17">AN12-AM12</f>
        <v>0</v>
      </c>
      <c r="AP12" s="156"/>
      <c r="AQ12" s="156"/>
      <c r="AR12" s="156"/>
      <c r="AS12" s="156">
        <f>AR12-AQ12</f>
        <v>0</v>
      </c>
      <c r="AT12" s="156"/>
      <c r="AU12" s="153"/>
      <c r="AV12" s="153"/>
      <c r="AW12" s="156">
        <f t="shared" ref="AW12:AW34" si="18">AV12-AU12</f>
        <v>0</v>
      </c>
      <c r="AX12" s="156"/>
      <c r="AY12" s="153"/>
      <c r="AZ12" s="153"/>
      <c r="BA12" s="156">
        <f t="shared" ref="BA12:BA34" si="19">AZ12-AY12</f>
        <v>0</v>
      </c>
      <c r="BB12" s="156"/>
      <c r="BC12" s="153"/>
      <c r="BD12" s="153"/>
      <c r="BE12" s="156">
        <f t="shared" ref="BE12:BE34" si="20">BD12-BC12</f>
        <v>0</v>
      </c>
      <c r="BF12" s="156"/>
      <c r="BG12" s="153"/>
      <c r="BH12" s="153"/>
      <c r="BI12" s="156">
        <f t="shared" ref="BI12:BI34" si="21">BH12-BG12</f>
        <v>0</v>
      </c>
      <c r="BJ12" s="156"/>
      <c r="BK12" s="153"/>
      <c r="BL12" s="153"/>
      <c r="BM12" s="156">
        <f t="shared" ref="BM12:BM34" si="22">BL12-BK12</f>
        <v>0</v>
      </c>
      <c r="BN12" s="156"/>
      <c r="BO12" s="153"/>
      <c r="BP12" s="153"/>
      <c r="BQ12" s="156">
        <f t="shared" ref="BQ12:BQ34" si="23">BP12-BO12</f>
        <v>0</v>
      </c>
      <c r="BR12" s="156"/>
      <c r="BS12" s="153"/>
      <c r="BT12" s="153"/>
      <c r="BU12" s="156">
        <f t="shared" ref="BU12:BU34" si="24">BT12-BS12</f>
        <v>0</v>
      </c>
      <c r="BV12" s="156"/>
      <c r="BW12" s="153"/>
      <c r="BX12" s="153"/>
      <c r="BY12" s="156">
        <f t="shared" ref="BY12:BY34" si="25">BX12-BW12</f>
        <v>0</v>
      </c>
      <c r="BZ12" s="156"/>
      <c r="CA12" s="153"/>
      <c r="CB12" s="153"/>
      <c r="CC12" s="156">
        <f t="shared" ref="CC12:CC34" si="26">CB12-CA12</f>
        <v>0</v>
      </c>
      <c r="CD12" s="156"/>
      <c r="CE12" s="153"/>
      <c r="CF12" s="153"/>
      <c r="CG12" s="156">
        <f t="shared" ref="CG12:CG34" si="27">CF12-CE12</f>
        <v>0</v>
      </c>
      <c r="CH12" s="156"/>
      <c r="CI12" s="153"/>
      <c r="CJ12" s="153"/>
      <c r="CK12" s="156">
        <f t="shared" ref="CK12:CK34" si="28">CJ12-CI12</f>
        <v>0</v>
      </c>
      <c r="CL12" s="222"/>
      <c r="CM12" s="222"/>
      <c r="CN12" s="222"/>
      <c r="CO12" s="222">
        <f>CN12-CM12</f>
        <v>0</v>
      </c>
      <c r="CP12" s="222"/>
      <c r="CQ12" s="14"/>
      <c r="CR12" s="14"/>
      <c r="CS12" s="261">
        <f>CR12-CQ12</f>
        <v>0</v>
      </c>
      <c r="CT12" s="262"/>
      <c r="CU12" s="13"/>
      <c r="CV12" s="13"/>
      <c r="CW12" s="261">
        <f t="shared" ref="CW12:CW34" si="29">CV12-CU12</f>
        <v>0</v>
      </c>
      <c r="CX12" s="262"/>
      <c r="CY12" s="13"/>
      <c r="CZ12" s="13"/>
      <c r="DA12" s="261">
        <f t="shared" ref="DA12:DA34" si="30">CZ12-CY12</f>
        <v>0</v>
      </c>
      <c r="DB12" s="262"/>
    </row>
    <row r="13" spans="1:106" ht="14.25" hidden="1" customHeight="1">
      <c r="A13" s="334"/>
      <c r="B13" s="333" t="s">
        <v>692</v>
      </c>
      <c r="C13" s="225">
        <v>0</v>
      </c>
      <c r="D13" s="153">
        <f>H13+L13+P13+T13+X13+AI13+AM13+AQ13+AU13+BC13+BG13+BW13+CE13+CI13+CM13+CQ13+CU13+CY13+AY13+BK13+BS13</f>
        <v>0</v>
      </c>
      <c r="E13" s="153">
        <f>I13+M13+Q13+U13+Y13+AJ13+AN13+AR13+AV13+BD13+BH13+BX13+CF13+CJ13+CN13+CR13+CV13+CZ13+BL13+BT13</f>
        <v>8.9999999999999993E-3</v>
      </c>
      <c r="F13" s="192">
        <f>E13-D13</f>
        <v>8.9999999999999993E-3</v>
      </c>
      <c r="G13" s="192" t="e">
        <f>E13/D13</f>
        <v>#DIV/0!</v>
      </c>
      <c r="H13" s="153"/>
      <c r="I13" s="153"/>
      <c r="J13" s="156">
        <f>I13-H13</f>
        <v>0</v>
      </c>
      <c r="K13" s="156"/>
      <c r="L13" s="153"/>
      <c r="M13" s="153">
        <v>8.9999999999999993E-3</v>
      </c>
      <c r="N13" s="156">
        <f>M13-L13</f>
        <v>8.9999999999999993E-3</v>
      </c>
      <c r="O13" s="156"/>
      <c r="P13" s="153"/>
      <c r="Q13" s="153"/>
      <c r="R13" s="156">
        <f>Q13-P13</f>
        <v>0</v>
      </c>
      <c r="S13" s="156"/>
      <c r="T13" s="153"/>
      <c r="U13" s="153"/>
      <c r="V13" s="156">
        <f>U13-T13</f>
        <v>0</v>
      </c>
      <c r="W13" s="156"/>
      <c r="X13" s="153">
        <f>AB13</f>
        <v>0</v>
      </c>
      <c r="Y13" s="153">
        <f>AC13</f>
        <v>0</v>
      </c>
      <c r="Z13" s="156">
        <f>Y13-X13</f>
        <v>0</v>
      </c>
      <c r="AA13" s="156"/>
      <c r="AB13" s="153"/>
      <c r="AC13" s="153"/>
      <c r="AD13" s="156">
        <f>AC13-AB13</f>
        <v>0</v>
      </c>
      <c r="AE13" s="156"/>
      <c r="AF13" s="153"/>
      <c r="AG13" s="153"/>
      <c r="AH13" s="156">
        <f>AG13-AF13</f>
        <v>0</v>
      </c>
      <c r="AI13" s="153"/>
      <c r="AJ13" s="153"/>
      <c r="AK13" s="156">
        <f>AJ13-AI13</f>
        <v>0</v>
      </c>
      <c r="AL13" s="156"/>
      <c r="AM13" s="153"/>
      <c r="AN13" s="153"/>
      <c r="AO13" s="156">
        <f>AN13-AM13</f>
        <v>0</v>
      </c>
      <c r="AP13" s="156"/>
      <c r="AQ13" s="156"/>
      <c r="AR13" s="156"/>
      <c r="AS13" s="156"/>
      <c r="AT13" s="156"/>
      <c r="AU13" s="153"/>
      <c r="AV13" s="153"/>
      <c r="AW13" s="156">
        <f>AV13-AU13</f>
        <v>0</v>
      </c>
      <c r="AX13" s="156"/>
      <c r="AY13" s="153"/>
      <c r="AZ13" s="153"/>
      <c r="BA13" s="156">
        <f>AZ13-AY13</f>
        <v>0</v>
      </c>
      <c r="BB13" s="156"/>
      <c r="BC13" s="153"/>
      <c r="BD13" s="153"/>
      <c r="BE13" s="156">
        <f>BD13-BC13</f>
        <v>0</v>
      </c>
      <c r="BF13" s="156"/>
      <c r="BG13" s="153"/>
      <c r="BH13" s="153"/>
      <c r="BI13" s="156">
        <f>BH13-BG13</f>
        <v>0</v>
      </c>
      <c r="BJ13" s="156"/>
      <c r="BK13" s="153"/>
      <c r="BL13" s="153"/>
      <c r="BM13" s="156">
        <f>BL13-BK13</f>
        <v>0</v>
      </c>
      <c r="BN13" s="156"/>
      <c r="BO13" s="153"/>
      <c r="BP13" s="153"/>
      <c r="BQ13" s="156">
        <f>BP13-BO13</f>
        <v>0</v>
      </c>
      <c r="BR13" s="156"/>
      <c r="BS13" s="153"/>
      <c r="BT13" s="153"/>
      <c r="BU13" s="156">
        <f>BT13-BS13</f>
        <v>0</v>
      </c>
      <c r="BV13" s="156"/>
      <c r="BW13" s="153"/>
      <c r="BX13" s="153"/>
      <c r="BY13" s="156">
        <f>BX13-BW13</f>
        <v>0</v>
      </c>
      <c r="BZ13" s="156"/>
      <c r="CA13" s="153"/>
      <c r="CB13" s="153"/>
      <c r="CC13" s="156">
        <f>CB13-CA13</f>
        <v>0</v>
      </c>
      <c r="CD13" s="156"/>
      <c r="CE13" s="153"/>
      <c r="CF13" s="153"/>
      <c r="CG13" s="156">
        <f>CF13-CE13</f>
        <v>0</v>
      </c>
      <c r="CH13" s="156"/>
      <c r="CI13" s="153"/>
      <c r="CJ13" s="153"/>
      <c r="CK13" s="156">
        <f>CJ13-CI13</f>
        <v>0</v>
      </c>
      <c r="CL13" s="222"/>
      <c r="CM13" s="222"/>
      <c r="CN13" s="222"/>
      <c r="CO13" s="222"/>
      <c r="CP13" s="222"/>
      <c r="CQ13" s="14"/>
      <c r="CR13" s="14"/>
      <c r="CS13" s="261"/>
      <c r="CT13" s="262"/>
      <c r="CU13" s="13"/>
      <c r="CV13" s="13"/>
      <c r="CW13" s="261">
        <f>CV13-CU13</f>
        <v>0</v>
      </c>
      <c r="CX13" s="262"/>
      <c r="CY13" s="13"/>
      <c r="CZ13" s="13"/>
      <c r="DA13" s="261">
        <f>CZ13-CY13</f>
        <v>0</v>
      </c>
      <c r="DB13" s="262"/>
    </row>
    <row r="14" spans="1:106" ht="14.25" hidden="1" customHeight="1">
      <c r="A14" s="334"/>
      <c r="B14" s="333" t="s">
        <v>312</v>
      </c>
      <c r="C14" s="225">
        <v>0</v>
      </c>
      <c r="D14" s="153">
        <f t="shared" si="4"/>
        <v>0</v>
      </c>
      <c r="E14" s="153">
        <f t="shared" si="5"/>
        <v>0</v>
      </c>
      <c r="F14" s="192">
        <f t="shared" si="6"/>
        <v>0</v>
      </c>
      <c r="G14" s="192" t="e">
        <f t="shared" si="8"/>
        <v>#DIV/0!</v>
      </c>
      <c r="H14" s="153"/>
      <c r="I14" s="153"/>
      <c r="J14" s="156">
        <f t="shared" si="9"/>
        <v>0</v>
      </c>
      <c r="K14" s="156"/>
      <c r="L14" s="153"/>
      <c r="M14" s="153"/>
      <c r="N14" s="156">
        <f t="shared" si="10"/>
        <v>0</v>
      </c>
      <c r="O14" s="156"/>
      <c r="P14" s="153"/>
      <c r="Q14" s="153"/>
      <c r="R14" s="156">
        <f t="shared" si="11"/>
        <v>0</v>
      </c>
      <c r="S14" s="156"/>
      <c r="T14" s="153"/>
      <c r="U14" s="153"/>
      <c r="V14" s="156">
        <f t="shared" si="12"/>
        <v>0</v>
      </c>
      <c r="W14" s="156"/>
      <c r="X14" s="153">
        <f t="shared" si="7"/>
        <v>0</v>
      </c>
      <c r="Y14" s="153">
        <f t="shared" si="7"/>
        <v>0</v>
      </c>
      <c r="Z14" s="156">
        <f t="shared" si="13"/>
        <v>0</v>
      </c>
      <c r="AA14" s="156"/>
      <c r="AB14" s="153"/>
      <c r="AC14" s="153"/>
      <c r="AD14" s="156">
        <f t="shared" si="14"/>
        <v>0</v>
      </c>
      <c r="AE14" s="156"/>
      <c r="AF14" s="153"/>
      <c r="AG14" s="153"/>
      <c r="AH14" s="156">
        <f t="shared" si="15"/>
        <v>0</v>
      </c>
      <c r="AI14" s="153"/>
      <c r="AJ14" s="153"/>
      <c r="AK14" s="156">
        <f t="shared" si="16"/>
        <v>0</v>
      </c>
      <c r="AL14" s="156"/>
      <c r="AM14" s="153"/>
      <c r="AN14" s="153"/>
      <c r="AO14" s="156">
        <f t="shared" si="17"/>
        <v>0</v>
      </c>
      <c r="AP14" s="156"/>
      <c r="AQ14" s="156"/>
      <c r="AR14" s="156"/>
      <c r="AS14" s="156"/>
      <c r="AT14" s="156"/>
      <c r="AU14" s="153"/>
      <c r="AV14" s="153"/>
      <c r="AW14" s="156">
        <f t="shared" si="18"/>
        <v>0</v>
      </c>
      <c r="AX14" s="156"/>
      <c r="AY14" s="153"/>
      <c r="AZ14" s="153"/>
      <c r="BA14" s="156">
        <f t="shared" si="19"/>
        <v>0</v>
      </c>
      <c r="BB14" s="156"/>
      <c r="BC14" s="153"/>
      <c r="BD14" s="153"/>
      <c r="BE14" s="156">
        <f t="shared" si="20"/>
        <v>0</v>
      </c>
      <c r="BF14" s="156"/>
      <c r="BG14" s="153"/>
      <c r="BH14" s="153"/>
      <c r="BI14" s="156">
        <f t="shared" si="21"/>
        <v>0</v>
      </c>
      <c r="BJ14" s="156"/>
      <c r="BK14" s="153"/>
      <c r="BL14" s="153"/>
      <c r="BM14" s="156">
        <f t="shared" si="22"/>
        <v>0</v>
      </c>
      <c r="BN14" s="156"/>
      <c r="BO14" s="153"/>
      <c r="BP14" s="153"/>
      <c r="BQ14" s="156">
        <f t="shared" si="23"/>
        <v>0</v>
      </c>
      <c r="BR14" s="156"/>
      <c r="BS14" s="153"/>
      <c r="BT14" s="153"/>
      <c r="BU14" s="156">
        <f t="shared" si="24"/>
        <v>0</v>
      </c>
      <c r="BV14" s="156"/>
      <c r="BW14" s="153"/>
      <c r="BX14" s="153"/>
      <c r="BY14" s="156">
        <f t="shared" si="25"/>
        <v>0</v>
      </c>
      <c r="BZ14" s="156"/>
      <c r="CA14" s="153"/>
      <c r="CB14" s="153"/>
      <c r="CC14" s="156">
        <f t="shared" si="26"/>
        <v>0</v>
      </c>
      <c r="CD14" s="156"/>
      <c r="CE14" s="153"/>
      <c r="CF14" s="153"/>
      <c r="CG14" s="156">
        <f t="shared" si="27"/>
        <v>0</v>
      </c>
      <c r="CH14" s="156"/>
      <c r="CI14" s="153"/>
      <c r="CJ14" s="153"/>
      <c r="CK14" s="156">
        <f t="shared" si="28"/>
        <v>0</v>
      </c>
      <c r="CL14" s="222"/>
      <c r="CM14" s="222"/>
      <c r="CN14" s="222"/>
      <c r="CO14" s="222"/>
      <c r="CP14" s="222"/>
      <c r="CQ14" s="14"/>
      <c r="CR14" s="14"/>
      <c r="CS14" s="261"/>
      <c r="CT14" s="262"/>
      <c r="CU14" s="13"/>
      <c r="CV14" s="13"/>
      <c r="CW14" s="261">
        <f t="shared" si="29"/>
        <v>0</v>
      </c>
      <c r="CX14" s="262"/>
      <c r="CY14" s="13"/>
      <c r="CZ14" s="13"/>
      <c r="DA14" s="261">
        <f t="shared" si="30"/>
        <v>0</v>
      </c>
      <c r="DB14" s="262"/>
    </row>
    <row r="15" spans="1:106" ht="14.25" customHeight="1">
      <c r="A15" s="334"/>
      <c r="B15" s="333" t="s">
        <v>693</v>
      </c>
      <c r="C15" s="225"/>
      <c r="D15" s="153">
        <f>H15+L15+P15+T15+X15+AI15+AM15+AQ15+AU15+BC15+BG15+BW15+CE15+CI15+CM15+CQ15+CU15+CY15+AY15+BK15+BS15</f>
        <v>0</v>
      </c>
      <c r="E15" s="153">
        <f>I15+M15+Q15+U15+Y15+AJ15+AN15+AR15+AV15+BD15+BH15+BX15+CF15+CJ15+CN15+CR15+CV15+CZ15+BL15+BT15</f>
        <v>301.05599999999998</v>
      </c>
      <c r="F15" s="192">
        <f>E15-D15</f>
        <v>301.05599999999998</v>
      </c>
      <c r="G15" s="192" t="e">
        <f>E15/D15</f>
        <v>#DIV/0!</v>
      </c>
      <c r="H15" s="153"/>
      <c r="I15" s="153">
        <v>301.05599999999998</v>
      </c>
      <c r="J15" s="156">
        <f>I15-H15</f>
        <v>301.05599999999998</v>
      </c>
      <c r="K15" s="156" t="e">
        <f>I15/H15</f>
        <v>#DIV/0!</v>
      </c>
      <c r="L15" s="153"/>
      <c r="M15" s="153"/>
      <c r="N15" s="156">
        <f>M15-L15</f>
        <v>0</v>
      </c>
      <c r="O15" s="156"/>
      <c r="P15" s="153"/>
      <c r="Q15" s="153"/>
      <c r="R15" s="156">
        <f>Q15-P15</f>
        <v>0</v>
      </c>
      <c r="S15" s="156"/>
      <c r="T15" s="153"/>
      <c r="U15" s="153"/>
      <c r="V15" s="156">
        <f>U15-T15</f>
        <v>0</v>
      </c>
      <c r="W15" s="156"/>
      <c r="X15" s="153">
        <f>AB15</f>
        <v>0</v>
      </c>
      <c r="Y15" s="153">
        <f>AC15</f>
        <v>0</v>
      </c>
      <c r="Z15" s="156">
        <f>Y15-X15</f>
        <v>0</v>
      </c>
      <c r="AA15" s="156"/>
      <c r="AB15" s="153"/>
      <c r="AC15" s="153"/>
      <c r="AD15" s="156">
        <f>AC15-AB15</f>
        <v>0</v>
      </c>
      <c r="AE15" s="156"/>
      <c r="AF15" s="153"/>
      <c r="AG15" s="153"/>
      <c r="AH15" s="156">
        <f>AG15-AF15</f>
        <v>0</v>
      </c>
      <c r="AI15" s="153"/>
      <c r="AJ15" s="153"/>
      <c r="AK15" s="156">
        <f>AJ15-AI15</f>
        <v>0</v>
      </c>
      <c r="AL15" s="156"/>
      <c r="AM15" s="153"/>
      <c r="AN15" s="153"/>
      <c r="AO15" s="156">
        <f>AN15-AM15</f>
        <v>0</v>
      </c>
      <c r="AP15" s="156"/>
      <c r="AQ15" s="156"/>
      <c r="AR15" s="156"/>
      <c r="AS15" s="156"/>
      <c r="AT15" s="156"/>
      <c r="AU15" s="153"/>
      <c r="AV15" s="153"/>
      <c r="AW15" s="156">
        <f>AV15-AU15</f>
        <v>0</v>
      </c>
      <c r="AX15" s="156"/>
      <c r="AY15" s="153"/>
      <c r="AZ15" s="153"/>
      <c r="BA15" s="156">
        <f>AZ15-AY15</f>
        <v>0</v>
      </c>
      <c r="BB15" s="156"/>
      <c r="BC15" s="153"/>
      <c r="BD15" s="153"/>
      <c r="BE15" s="156">
        <f>BD15-BC15</f>
        <v>0</v>
      </c>
      <c r="BF15" s="156"/>
      <c r="BG15" s="153"/>
      <c r="BH15" s="153"/>
      <c r="BI15" s="156">
        <f>BH15-BG15</f>
        <v>0</v>
      </c>
      <c r="BJ15" s="156"/>
      <c r="BK15" s="153"/>
      <c r="BL15" s="153"/>
      <c r="BM15" s="156">
        <f>BL15-BK15</f>
        <v>0</v>
      </c>
      <c r="BN15" s="156"/>
      <c r="BO15" s="153"/>
      <c r="BP15" s="153"/>
      <c r="BQ15" s="156">
        <f>BP15-BO15</f>
        <v>0</v>
      </c>
      <c r="BR15" s="156"/>
      <c r="BS15" s="153"/>
      <c r="BT15" s="153"/>
      <c r="BU15" s="156">
        <f>BT15-BS15</f>
        <v>0</v>
      </c>
      <c r="BV15" s="156"/>
      <c r="BW15" s="153"/>
      <c r="BX15" s="153"/>
      <c r="BY15" s="156">
        <f>BX15-BW15</f>
        <v>0</v>
      </c>
      <c r="BZ15" s="156"/>
      <c r="CA15" s="153"/>
      <c r="CB15" s="153"/>
      <c r="CC15" s="156">
        <f>CB15-CA15</f>
        <v>0</v>
      </c>
      <c r="CD15" s="156"/>
      <c r="CE15" s="153"/>
      <c r="CF15" s="153"/>
      <c r="CG15" s="156">
        <f>CF15-CE15</f>
        <v>0</v>
      </c>
      <c r="CH15" s="156"/>
      <c r="CI15" s="153"/>
      <c r="CJ15" s="153"/>
      <c r="CK15" s="156">
        <f>CJ15-CI15</f>
        <v>0</v>
      </c>
      <c r="CL15" s="222"/>
      <c r="CM15" s="222"/>
      <c r="CN15" s="222"/>
      <c r="CO15" s="222">
        <v>0</v>
      </c>
      <c r="CP15" s="222"/>
      <c r="CQ15" s="14"/>
      <c r="CR15" s="14"/>
      <c r="CS15" s="261"/>
      <c r="CT15" s="262"/>
      <c r="CU15" s="13"/>
      <c r="CV15" s="13"/>
      <c r="CW15" s="261">
        <f>CV15-CU15</f>
        <v>0</v>
      </c>
      <c r="CX15" s="262"/>
      <c r="CY15" s="13"/>
      <c r="CZ15" s="13"/>
      <c r="DA15" s="261">
        <f>CZ15-CY15</f>
        <v>0</v>
      </c>
      <c r="DB15" s="262"/>
    </row>
    <row r="16" spans="1:106" ht="14.25" hidden="1" customHeight="1">
      <c r="A16" s="334"/>
      <c r="B16" s="333" t="s">
        <v>313</v>
      </c>
      <c r="C16" s="225"/>
      <c r="D16" s="153">
        <f t="shared" si="4"/>
        <v>0</v>
      </c>
      <c r="E16" s="153">
        <f t="shared" si="5"/>
        <v>0</v>
      </c>
      <c r="F16" s="192">
        <f t="shared" si="6"/>
        <v>0</v>
      </c>
      <c r="G16" s="192" t="e">
        <f t="shared" si="8"/>
        <v>#DIV/0!</v>
      </c>
      <c r="H16" s="153"/>
      <c r="I16" s="153"/>
      <c r="J16" s="156">
        <f t="shared" si="9"/>
        <v>0</v>
      </c>
      <c r="K16" s="156" t="e">
        <f>I16/H16</f>
        <v>#DIV/0!</v>
      </c>
      <c r="L16" s="153"/>
      <c r="M16" s="153"/>
      <c r="N16" s="156">
        <f t="shared" si="10"/>
        <v>0</v>
      </c>
      <c r="O16" s="156"/>
      <c r="P16" s="153"/>
      <c r="Q16" s="153"/>
      <c r="R16" s="156">
        <f t="shared" si="11"/>
        <v>0</v>
      </c>
      <c r="S16" s="156"/>
      <c r="T16" s="153"/>
      <c r="U16" s="153"/>
      <c r="V16" s="156">
        <f t="shared" si="12"/>
        <v>0</v>
      </c>
      <c r="W16" s="156"/>
      <c r="X16" s="153">
        <f t="shared" si="7"/>
        <v>0</v>
      </c>
      <c r="Y16" s="153">
        <f t="shared" si="7"/>
        <v>0</v>
      </c>
      <c r="Z16" s="156">
        <f t="shared" si="13"/>
        <v>0</v>
      </c>
      <c r="AA16" s="156"/>
      <c r="AB16" s="153"/>
      <c r="AC16" s="153"/>
      <c r="AD16" s="156">
        <f t="shared" si="14"/>
        <v>0</v>
      </c>
      <c r="AE16" s="156"/>
      <c r="AF16" s="153"/>
      <c r="AG16" s="153"/>
      <c r="AH16" s="156">
        <f t="shared" si="15"/>
        <v>0</v>
      </c>
      <c r="AI16" s="153"/>
      <c r="AJ16" s="153"/>
      <c r="AK16" s="156">
        <f t="shared" si="16"/>
        <v>0</v>
      </c>
      <c r="AL16" s="156"/>
      <c r="AM16" s="153"/>
      <c r="AN16" s="153"/>
      <c r="AO16" s="156">
        <f t="shared" si="17"/>
        <v>0</v>
      </c>
      <c r="AP16" s="156"/>
      <c r="AQ16" s="156"/>
      <c r="AR16" s="156"/>
      <c r="AS16" s="156"/>
      <c r="AT16" s="156"/>
      <c r="AU16" s="153"/>
      <c r="AV16" s="153"/>
      <c r="AW16" s="156">
        <f t="shared" si="18"/>
        <v>0</v>
      </c>
      <c r="AX16" s="156"/>
      <c r="AY16" s="153"/>
      <c r="AZ16" s="153"/>
      <c r="BA16" s="156">
        <f t="shared" si="19"/>
        <v>0</v>
      </c>
      <c r="BB16" s="156"/>
      <c r="BC16" s="153"/>
      <c r="BD16" s="153"/>
      <c r="BE16" s="156">
        <f t="shared" si="20"/>
        <v>0</v>
      </c>
      <c r="BF16" s="156"/>
      <c r="BG16" s="153"/>
      <c r="BH16" s="153"/>
      <c r="BI16" s="156">
        <f t="shared" si="21"/>
        <v>0</v>
      </c>
      <c r="BJ16" s="156"/>
      <c r="BK16" s="153"/>
      <c r="BL16" s="153"/>
      <c r="BM16" s="156">
        <f t="shared" si="22"/>
        <v>0</v>
      </c>
      <c r="BN16" s="156"/>
      <c r="BO16" s="153"/>
      <c r="BP16" s="153"/>
      <c r="BQ16" s="156">
        <f t="shared" si="23"/>
        <v>0</v>
      </c>
      <c r="BR16" s="156"/>
      <c r="BS16" s="153"/>
      <c r="BT16" s="153"/>
      <c r="BU16" s="156">
        <f t="shared" si="24"/>
        <v>0</v>
      </c>
      <c r="BV16" s="156"/>
      <c r="BW16" s="153"/>
      <c r="BX16" s="153"/>
      <c r="BY16" s="156">
        <f t="shared" si="25"/>
        <v>0</v>
      </c>
      <c r="BZ16" s="156"/>
      <c r="CA16" s="153"/>
      <c r="CB16" s="153"/>
      <c r="CC16" s="156">
        <f t="shared" si="26"/>
        <v>0</v>
      </c>
      <c r="CD16" s="156"/>
      <c r="CE16" s="153"/>
      <c r="CF16" s="153"/>
      <c r="CG16" s="156">
        <f t="shared" si="27"/>
        <v>0</v>
      </c>
      <c r="CH16" s="156"/>
      <c r="CI16" s="153"/>
      <c r="CJ16" s="153"/>
      <c r="CK16" s="156">
        <f t="shared" si="28"/>
        <v>0</v>
      </c>
      <c r="CL16" s="222"/>
      <c r="CM16" s="222"/>
      <c r="CN16" s="222"/>
      <c r="CO16" s="222">
        <v>0</v>
      </c>
      <c r="CP16" s="222"/>
      <c r="CQ16" s="14"/>
      <c r="CR16" s="14"/>
      <c r="CS16" s="261"/>
      <c r="CT16" s="262"/>
      <c r="CU16" s="13"/>
      <c r="CV16" s="13"/>
      <c r="CW16" s="261">
        <f t="shared" si="29"/>
        <v>0</v>
      </c>
      <c r="CX16" s="262"/>
      <c r="CY16" s="13"/>
      <c r="CZ16" s="13"/>
      <c r="DA16" s="261">
        <f t="shared" si="30"/>
        <v>0</v>
      </c>
      <c r="DB16" s="262"/>
    </row>
    <row r="17" spans="1:106" ht="14.25" customHeight="1">
      <c r="A17" s="334"/>
      <c r="B17" s="333" t="s">
        <v>538</v>
      </c>
      <c r="C17" s="225"/>
      <c r="D17" s="153">
        <f>H17+L17+P17+T17+X17+AI17+AM17+AQ17+AU17+BC17+BG17+BW17+CE17+CI17+CM17+CQ17+CU17+CY17</f>
        <v>0</v>
      </c>
      <c r="E17" s="153">
        <f t="shared" si="5"/>
        <v>0.498</v>
      </c>
      <c r="F17" s="192">
        <f t="shared" si="6"/>
        <v>0.498</v>
      </c>
      <c r="G17" s="192" t="e">
        <f t="shared" si="8"/>
        <v>#DIV/0!</v>
      </c>
      <c r="H17" s="153"/>
      <c r="I17" s="153"/>
      <c r="J17" s="156">
        <f t="shared" si="9"/>
        <v>0</v>
      </c>
      <c r="K17" s="156"/>
      <c r="L17" s="153"/>
      <c r="M17" s="153">
        <v>0.498</v>
      </c>
      <c r="N17" s="156">
        <f t="shared" si="10"/>
        <v>0.498</v>
      </c>
      <c r="O17" s="156"/>
      <c r="P17" s="153"/>
      <c r="Q17" s="153"/>
      <c r="R17" s="156">
        <f t="shared" si="11"/>
        <v>0</v>
      </c>
      <c r="S17" s="156"/>
      <c r="T17" s="153"/>
      <c r="U17" s="153"/>
      <c r="V17" s="156">
        <f t="shared" si="12"/>
        <v>0</v>
      </c>
      <c r="W17" s="156"/>
      <c r="X17" s="153">
        <f t="shared" si="7"/>
        <v>0</v>
      </c>
      <c r="Y17" s="153">
        <f t="shared" si="7"/>
        <v>0</v>
      </c>
      <c r="Z17" s="156">
        <f t="shared" si="13"/>
        <v>0</v>
      </c>
      <c r="AA17" s="156"/>
      <c r="AB17" s="153"/>
      <c r="AC17" s="153"/>
      <c r="AD17" s="156">
        <f t="shared" si="14"/>
        <v>0</v>
      </c>
      <c r="AE17" s="156"/>
      <c r="AF17" s="153"/>
      <c r="AG17" s="153"/>
      <c r="AH17" s="156">
        <f t="shared" si="15"/>
        <v>0</v>
      </c>
      <c r="AI17" s="153"/>
      <c r="AJ17" s="153"/>
      <c r="AK17" s="156">
        <f t="shared" si="16"/>
        <v>0</v>
      </c>
      <c r="AL17" s="156"/>
      <c r="AM17" s="153"/>
      <c r="AN17" s="153"/>
      <c r="AO17" s="156">
        <f t="shared" si="17"/>
        <v>0</v>
      </c>
      <c r="AP17" s="156"/>
      <c r="AQ17" s="156"/>
      <c r="AR17" s="156"/>
      <c r="AS17" s="156">
        <f>AR17-AQ17</f>
        <v>0</v>
      </c>
      <c r="AT17" s="156"/>
      <c r="AU17" s="153"/>
      <c r="AV17" s="153"/>
      <c r="AW17" s="156">
        <f t="shared" si="18"/>
        <v>0</v>
      </c>
      <c r="AX17" s="156"/>
      <c r="AY17" s="153"/>
      <c r="AZ17" s="153"/>
      <c r="BA17" s="156">
        <f t="shared" si="19"/>
        <v>0</v>
      </c>
      <c r="BB17" s="156"/>
      <c r="BC17" s="153"/>
      <c r="BD17" s="153"/>
      <c r="BE17" s="156">
        <f t="shared" si="20"/>
        <v>0</v>
      </c>
      <c r="BF17" s="156"/>
      <c r="BG17" s="153"/>
      <c r="BH17" s="153"/>
      <c r="BI17" s="156">
        <f t="shared" si="21"/>
        <v>0</v>
      </c>
      <c r="BJ17" s="156"/>
      <c r="BK17" s="153"/>
      <c r="BL17" s="153"/>
      <c r="BM17" s="156">
        <f t="shared" si="22"/>
        <v>0</v>
      </c>
      <c r="BN17" s="156"/>
      <c r="BO17" s="153"/>
      <c r="BP17" s="153"/>
      <c r="BQ17" s="156">
        <f t="shared" si="23"/>
        <v>0</v>
      </c>
      <c r="BR17" s="156"/>
      <c r="BS17" s="153"/>
      <c r="BT17" s="153"/>
      <c r="BU17" s="156">
        <f t="shared" si="24"/>
        <v>0</v>
      </c>
      <c r="BV17" s="156"/>
      <c r="BW17" s="153"/>
      <c r="BX17" s="153"/>
      <c r="BY17" s="156">
        <f t="shared" si="25"/>
        <v>0</v>
      </c>
      <c r="BZ17" s="156"/>
      <c r="CA17" s="153"/>
      <c r="CB17" s="153"/>
      <c r="CC17" s="156">
        <f t="shared" si="26"/>
        <v>0</v>
      </c>
      <c r="CD17" s="156"/>
      <c r="CE17" s="153"/>
      <c r="CF17" s="153"/>
      <c r="CG17" s="156">
        <f t="shared" si="27"/>
        <v>0</v>
      </c>
      <c r="CH17" s="156"/>
      <c r="CI17" s="153"/>
      <c r="CJ17" s="153"/>
      <c r="CK17" s="156">
        <f t="shared" si="28"/>
        <v>0</v>
      </c>
      <c r="CL17" s="222"/>
      <c r="CM17" s="222"/>
      <c r="CN17" s="222"/>
      <c r="CO17" s="222">
        <f>CN17-CM17</f>
        <v>0</v>
      </c>
      <c r="CP17" s="222"/>
      <c r="CQ17" s="14"/>
      <c r="CR17" s="14"/>
      <c r="CS17" s="261">
        <f>CR17-CQ17</f>
        <v>0</v>
      </c>
      <c r="CT17" s="262"/>
      <c r="CU17" s="13"/>
      <c r="CV17" s="13"/>
      <c r="CW17" s="261">
        <f t="shared" si="29"/>
        <v>0</v>
      </c>
      <c r="CX17" s="262"/>
      <c r="CY17" s="13"/>
      <c r="CZ17" s="13"/>
      <c r="DA17" s="261">
        <f t="shared" si="30"/>
        <v>0</v>
      </c>
      <c r="DB17" s="262"/>
    </row>
    <row r="18" spans="1:106" s="326" customFormat="1" ht="14.25" customHeight="1">
      <c r="A18" s="369" t="s">
        <v>314</v>
      </c>
      <c r="B18" s="330" t="s">
        <v>315</v>
      </c>
      <c r="C18" s="327">
        <f>SUM(C19:C33)</f>
        <v>7.6</v>
      </c>
      <c r="D18" s="193">
        <f>SUM(D19:D33)</f>
        <v>0</v>
      </c>
      <c r="E18" s="193">
        <f>SUM(E19:E33)</f>
        <v>1.165</v>
      </c>
      <c r="F18" s="328">
        <f>E18-D18</f>
        <v>1.165</v>
      </c>
      <c r="G18" s="328" t="e">
        <f>E18/D18</f>
        <v>#DIV/0!</v>
      </c>
      <c r="H18" s="193">
        <f>SUM(H19:H33)</f>
        <v>0</v>
      </c>
      <c r="I18" s="193">
        <f>SUM(I19:I33)</f>
        <v>0</v>
      </c>
      <c r="J18" s="226">
        <f t="shared" si="9"/>
        <v>0</v>
      </c>
      <c r="K18" s="226" t="e">
        <f>I18/H18</f>
        <v>#DIV/0!</v>
      </c>
      <c r="L18" s="193">
        <f>SUM(L19:L33)</f>
        <v>0</v>
      </c>
      <c r="M18" s="193">
        <f>SUM(M19:M33)</f>
        <v>0.76100000000000001</v>
      </c>
      <c r="N18" s="226">
        <f t="shared" si="10"/>
        <v>0.76100000000000001</v>
      </c>
      <c r="O18" s="226" t="e">
        <f>M18/L18</f>
        <v>#DIV/0!</v>
      </c>
      <c r="P18" s="193">
        <f>SUM(P19:P33)</f>
        <v>0</v>
      </c>
      <c r="Q18" s="193">
        <f>SUM(Q19:Q33)</f>
        <v>0.40400000000000003</v>
      </c>
      <c r="R18" s="226">
        <f t="shared" si="11"/>
        <v>0.40400000000000003</v>
      </c>
      <c r="S18" s="226"/>
      <c r="T18" s="193">
        <f>SUM(T19:T33)</f>
        <v>0</v>
      </c>
      <c r="U18" s="193">
        <f>SUM(U19:U33)</f>
        <v>0</v>
      </c>
      <c r="V18" s="226">
        <f t="shared" si="12"/>
        <v>0</v>
      </c>
      <c r="W18" s="226" t="e">
        <f>U18/T18</f>
        <v>#DIV/0!</v>
      </c>
      <c r="X18" s="193">
        <f t="shared" si="7"/>
        <v>0</v>
      </c>
      <c r="Y18" s="193">
        <f t="shared" si="7"/>
        <v>0</v>
      </c>
      <c r="Z18" s="226">
        <f t="shared" si="13"/>
        <v>0</v>
      </c>
      <c r="AA18" s="226"/>
      <c r="AB18" s="193">
        <f>SUM(AB19:AB33)</f>
        <v>0</v>
      </c>
      <c r="AC18" s="193">
        <f>SUM(AC19:AC33)</f>
        <v>0</v>
      </c>
      <c r="AD18" s="226">
        <f t="shared" si="14"/>
        <v>0</v>
      </c>
      <c r="AE18" s="226"/>
      <c r="AF18" s="193">
        <f>SUM(AF19:AF33)</f>
        <v>0</v>
      </c>
      <c r="AG18" s="193">
        <f>SUM(AG19:AG33)</f>
        <v>0</v>
      </c>
      <c r="AH18" s="226">
        <f t="shared" si="15"/>
        <v>0</v>
      </c>
      <c r="AI18" s="193">
        <f>SUM(AI19:AI33)</f>
        <v>0</v>
      </c>
      <c r="AJ18" s="193">
        <f>SUM(AJ19:AJ33)</f>
        <v>0</v>
      </c>
      <c r="AK18" s="226">
        <f t="shared" si="16"/>
        <v>0</v>
      </c>
      <c r="AL18" s="226"/>
      <c r="AM18" s="193">
        <f>SUM(AM19:AM33)</f>
        <v>0</v>
      </c>
      <c r="AN18" s="193">
        <f>SUM(AN19:AN33)</f>
        <v>0</v>
      </c>
      <c r="AO18" s="226">
        <f t="shared" si="17"/>
        <v>0</v>
      </c>
      <c r="AP18" s="226"/>
      <c r="AQ18" s="193">
        <f>SUM(AQ19:AQ33)</f>
        <v>0</v>
      </c>
      <c r="AR18" s="193">
        <f>SUM(AR19:AR33)</f>
        <v>0</v>
      </c>
      <c r="AS18" s="226">
        <f>AR18-AQ18</f>
        <v>0</v>
      </c>
      <c r="AT18" s="226"/>
      <c r="AU18" s="193">
        <f>SUM(AU19:AU33)</f>
        <v>0</v>
      </c>
      <c r="AV18" s="193">
        <f>SUM(AV19:AV33)</f>
        <v>0</v>
      </c>
      <c r="AW18" s="226">
        <f t="shared" si="18"/>
        <v>0</v>
      </c>
      <c r="AX18" s="226" t="e">
        <f>AV18/AU18</f>
        <v>#DIV/0!</v>
      </c>
      <c r="AY18" s="193">
        <f>SUM(AY19:AY33)</f>
        <v>0</v>
      </c>
      <c r="AZ18" s="193">
        <f>SUM(AZ19:AZ33)</f>
        <v>0</v>
      </c>
      <c r="BA18" s="226">
        <f t="shared" si="19"/>
        <v>0</v>
      </c>
      <c r="BB18" s="226"/>
      <c r="BC18" s="193">
        <f>SUM(BC19:BC33)</f>
        <v>0</v>
      </c>
      <c r="BD18" s="193">
        <f>SUM(BD19:BD33)</f>
        <v>0</v>
      </c>
      <c r="BE18" s="226">
        <f t="shared" si="20"/>
        <v>0</v>
      </c>
      <c r="BF18" s="226"/>
      <c r="BG18" s="193">
        <f>SUM(BG19:BG33)</f>
        <v>0</v>
      </c>
      <c r="BH18" s="193">
        <f>SUM(BH19:BH33)</f>
        <v>0</v>
      </c>
      <c r="BI18" s="226">
        <f t="shared" si="21"/>
        <v>0</v>
      </c>
      <c r="BJ18" s="226"/>
      <c r="BK18" s="193">
        <f>SUM(BK19:BK33)</f>
        <v>0</v>
      </c>
      <c r="BL18" s="193">
        <f>SUM(BL19:BL33)</f>
        <v>0</v>
      </c>
      <c r="BM18" s="226">
        <f t="shared" si="22"/>
        <v>0</v>
      </c>
      <c r="BN18" s="226"/>
      <c r="BO18" s="193">
        <f>SUM(BO19:BO33)</f>
        <v>0</v>
      </c>
      <c r="BP18" s="193">
        <f>SUM(BP19:BP33)</f>
        <v>0</v>
      </c>
      <c r="BQ18" s="226">
        <f t="shared" si="23"/>
        <v>0</v>
      </c>
      <c r="BR18" s="226"/>
      <c r="BS18" s="193">
        <f>SUM(BS19:BS33)</f>
        <v>0</v>
      </c>
      <c r="BT18" s="193">
        <f>SUM(BT19:BT33)</f>
        <v>0</v>
      </c>
      <c r="BU18" s="226">
        <f t="shared" si="24"/>
        <v>0</v>
      </c>
      <c r="BV18" s="226"/>
      <c r="BW18" s="193">
        <f>SUM(BW19:BW33)</f>
        <v>0</v>
      </c>
      <c r="BX18" s="193">
        <f>SUM(BX19:BX33)</f>
        <v>0</v>
      </c>
      <c r="BY18" s="226">
        <f t="shared" si="25"/>
        <v>0</v>
      </c>
      <c r="BZ18" s="226"/>
      <c r="CA18" s="193">
        <f>SUM(CA19:CA33)</f>
        <v>0</v>
      </c>
      <c r="CB18" s="193">
        <f>SUM(CB19:CB33)</f>
        <v>0</v>
      </c>
      <c r="CC18" s="226">
        <f t="shared" si="26"/>
        <v>0</v>
      </c>
      <c r="CD18" s="226"/>
      <c r="CE18" s="193">
        <f>SUM(CE19:CE33)</f>
        <v>0</v>
      </c>
      <c r="CF18" s="193">
        <f>SUM(CF19:CF33)</f>
        <v>0</v>
      </c>
      <c r="CG18" s="226">
        <f t="shared" si="27"/>
        <v>0</v>
      </c>
      <c r="CH18" s="226"/>
      <c r="CI18" s="193">
        <f>SUM(CI19:CI33)</f>
        <v>0</v>
      </c>
      <c r="CJ18" s="193">
        <f>SUM(CJ19:CJ33)</f>
        <v>0</v>
      </c>
      <c r="CK18" s="226">
        <f t="shared" si="28"/>
        <v>0</v>
      </c>
      <c r="CL18" s="227"/>
      <c r="CM18" s="15">
        <f>SUM(CM19:CM33)</f>
        <v>0</v>
      </c>
      <c r="CN18" s="15">
        <f>SUM(CN19:CN33)</f>
        <v>0</v>
      </c>
      <c r="CO18" s="227">
        <f>CN18-CM18</f>
        <v>0</v>
      </c>
      <c r="CP18" s="227"/>
      <c r="CQ18" s="263">
        <f>SUM(CQ19:CQ33)</f>
        <v>0</v>
      </c>
      <c r="CR18" s="263">
        <f>SUM(CR19:CR33)</f>
        <v>0</v>
      </c>
      <c r="CS18" s="259">
        <f>CR18-CQ18</f>
        <v>0</v>
      </c>
      <c r="CT18" s="260" t="e">
        <f>CR18/CQ18</f>
        <v>#DIV/0!</v>
      </c>
      <c r="CU18" s="263">
        <f>SUM(CU19:CU33)</f>
        <v>0</v>
      </c>
      <c r="CV18" s="263">
        <f>SUM(CV19:CV33)</f>
        <v>0</v>
      </c>
      <c r="CW18" s="259">
        <f t="shared" si="29"/>
        <v>0</v>
      </c>
      <c r="CX18" s="260"/>
      <c r="CY18" s="263">
        <f>SUM(CY19:CY33)</f>
        <v>0</v>
      </c>
      <c r="CZ18" s="263">
        <f>SUM(CZ19:CZ33)</f>
        <v>0</v>
      </c>
      <c r="DA18" s="259">
        <f t="shared" si="30"/>
        <v>0</v>
      </c>
      <c r="DB18" s="260"/>
    </row>
    <row r="19" spans="1:106" ht="14.25" customHeight="1">
      <c r="A19" s="334"/>
      <c r="B19" s="334" t="s">
        <v>316</v>
      </c>
      <c r="C19" s="221"/>
      <c r="D19" s="153">
        <f>H19+L19+P19+T19+X19+AI19+AM19+AQ19+AU19+BC19+BG19+BW19+CE19+CI19+CM19+CQ19+CU19+CY19</f>
        <v>0</v>
      </c>
      <c r="E19" s="153">
        <f>I19+M19+Q19+U19+Y19+AJ19+AN19+AR19+AV19+BD19+BH19+BX19+CF19+CJ19+CN19+CR19+CV19+CZ19+BL19+BT19</f>
        <v>0.40400000000000003</v>
      </c>
      <c r="F19" s="192">
        <f t="shared" si="6"/>
        <v>0.40400000000000003</v>
      </c>
      <c r="G19" s="192" t="e">
        <f t="shared" si="8"/>
        <v>#DIV/0!</v>
      </c>
      <c r="H19" s="153"/>
      <c r="I19" s="153"/>
      <c r="J19" s="156">
        <f t="shared" si="9"/>
        <v>0</v>
      </c>
      <c r="K19" s="156"/>
      <c r="L19" s="153"/>
      <c r="M19" s="153"/>
      <c r="N19" s="156">
        <f t="shared" si="10"/>
        <v>0</v>
      </c>
      <c r="O19" s="156"/>
      <c r="P19" s="153"/>
      <c r="Q19" s="153">
        <v>0.40400000000000003</v>
      </c>
      <c r="R19" s="156">
        <f t="shared" si="11"/>
        <v>0.40400000000000003</v>
      </c>
      <c r="S19" s="156" t="e">
        <f>Q19/P19</f>
        <v>#DIV/0!</v>
      </c>
      <c r="T19" s="153"/>
      <c r="U19" s="153"/>
      <c r="V19" s="156">
        <f t="shared" si="12"/>
        <v>0</v>
      </c>
      <c r="W19" s="156"/>
      <c r="X19" s="153">
        <f t="shared" si="7"/>
        <v>0</v>
      </c>
      <c r="Y19" s="153">
        <f t="shared" si="7"/>
        <v>0</v>
      </c>
      <c r="Z19" s="156">
        <f t="shared" si="13"/>
        <v>0</v>
      </c>
      <c r="AA19" s="156"/>
      <c r="AB19" s="153"/>
      <c r="AC19" s="153"/>
      <c r="AD19" s="156">
        <f t="shared" si="14"/>
        <v>0</v>
      </c>
      <c r="AE19" s="156"/>
      <c r="AF19" s="153"/>
      <c r="AG19" s="153"/>
      <c r="AH19" s="156">
        <f t="shared" si="15"/>
        <v>0</v>
      </c>
      <c r="AI19" s="153"/>
      <c r="AJ19" s="153"/>
      <c r="AK19" s="156">
        <f t="shared" si="16"/>
        <v>0</v>
      </c>
      <c r="AL19" s="156"/>
      <c r="AM19" s="153"/>
      <c r="AN19" s="153"/>
      <c r="AO19" s="156">
        <f t="shared" si="17"/>
        <v>0</v>
      </c>
      <c r="AP19" s="156"/>
      <c r="AQ19" s="156"/>
      <c r="AR19" s="156"/>
      <c r="AS19" s="156">
        <f>AR19-AQ19</f>
        <v>0</v>
      </c>
      <c r="AT19" s="156"/>
      <c r="AU19" s="153"/>
      <c r="AV19" s="153"/>
      <c r="AW19" s="156">
        <f t="shared" si="18"/>
        <v>0</v>
      </c>
      <c r="AX19" s="156"/>
      <c r="AY19" s="153"/>
      <c r="AZ19" s="153"/>
      <c r="BA19" s="156">
        <f t="shared" si="19"/>
        <v>0</v>
      </c>
      <c r="BB19" s="156"/>
      <c r="BC19" s="153"/>
      <c r="BD19" s="153"/>
      <c r="BE19" s="156">
        <f t="shared" si="20"/>
        <v>0</v>
      </c>
      <c r="BF19" s="156"/>
      <c r="BG19" s="153"/>
      <c r="BH19" s="153"/>
      <c r="BI19" s="156">
        <f t="shared" si="21"/>
        <v>0</v>
      </c>
      <c r="BJ19" s="156"/>
      <c r="BK19" s="153"/>
      <c r="BL19" s="153"/>
      <c r="BM19" s="156">
        <f t="shared" si="22"/>
        <v>0</v>
      </c>
      <c r="BN19" s="156"/>
      <c r="BO19" s="153"/>
      <c r="BP19" s="153"/>
      <c r="BQ19" s="156">
        <f t="shared" si="23"/>
        <v>0</v>
      </c>
      <c r="BR19" s="156"/>
      <c r="BS19" s="153"/>
      <c r="BT19" s="153"/>
      <c r="BU19" s="156">
        <f t="shared" si="24"/>
        <v>0</v>
      </c>
      <c r="BV19" s="156"/>
      <c r="BW19" s="153"/>
      <c r="BX19" s="153"/>
      <c r="BY19" s="156">
        <f t="shared" si="25"/>
        <v>0</v>
      </c>
      <c r="BZ19" s="156"/>
      <c r="CA19" s="153"/>
      <c r="CB19" s="153"/>
      <c r="CC19" s="156">
        <f t="shared" si="26"/>
        <v>0</v>
      </c>
      <c r="CD19" s="156"/>
      <c r="CE19" s="153"/>
      <c r="CF19" s="153"/>
      <c r="CG19" s="156">
        <f t="shared" si="27"/>
        <v>0</v>
      </c>
      <c r="CH19" s="156"/>
      <c r="CI19" s="153"/>
      <c r="CJ19" s="153"/>
      <c r="CK19" s="156">
        <f t="shared" si="28"/>
        <v>0</v>
      </c>
      <c r="CL19" s="222"/>
      <c r="CM19" s="222"/>
      <c r="CN19" s="222"/>
      <c r="CO19" s="222">
        <f>CN19-CM19</f>
        <v>0</v>
      </c>
      <c r="CP19" s="222"/>
      <c r="CQ19" s="14"/>
      <c r="CR19" s="14"/>
      <c r="CS19" s="261">
        <f>CR19-CQ19</f>
        <v>0</v>
      </c>
      <c r="CT19" s="262"/>
      <c r="CU19" s="13"/>
      <c r="CV19" s="13"/>
      <c r="CW19" s="261">
        <f t="shared" si="29"/>
        <v>0</v>
      </c>
      <c r="CX19" s="262"/>
      <c r="CY19" s="13"/>
      <c r="CZ19" s="13"/>
      <c r="DA19" s="261">
        <f t="shared" si="30"/>
        <v>0</v>
      </c>
      <c r="DB19" s="262"/>
    </row>
    <row r="20" spans="1:106" ht="14.25" hidden="1" customHeight="1">
      <c r="A20" s="334"/>
      <c r="B20" s="333" t="s">
        <v>317</v>
      </c>
      <c r="C20" s="225"/>
      <c r="D20" s="153">
        <f>H20+L20+P20+T20+X20+AI20+AM20+AQ20+AU20+BC20+BG20+BW20+CE20+CI20+CM20+CQ20+CU20+CY20</f>
        <v>0</v>
      </c>
      <c r="E20" s="153">
        <f>I20+M20+Q20+U20+Y20+AJ20+AN20+AR20+AV20+BD20+BH20+BX20+CF20+CJ20+CN20+CR20+CV20+CZ20+BL20+BT20</f>
        <v>0</v>
      </c>
      <c r="F20" s="192">
        <f t="shared" si="6"/>
        <v>0</v>
      </c>
      <c r="G20" s="192" t="e">
        <f t="shared" si="8"/>
        <v>#DIV/0!</v>
      </c>
      <c r="H20" s="153"/>
      <c r="I20" s="153"/>
      <c r="J20" s="156">
        <f t="shared" si="9"/>
        <v>0</v>
      </c>
      <c r="K20" s="156" t="e">
        <f>I20/H20</f>
        <v>#DIV/0!</v>
      </c>
      <c r="L20" s="153"/>
      <c r="M20" s="153"/>
      <c r="N20" s="156">
        <f t="shared" si="10"/>
        <v>0</v>
      </c>
      <c r="O20" s="156" t="e">
        <f>M20/L20</f>
        <v>#DIV/0!</v>
      </c>
      <c r="P20" s="153"/>
      <c r="Q20" s="153"/>
      <c r="R20" s="156">
        <f t="shared" si="11"/>
        <v>0</v>
      </c>
      <c r="S20" s="156" t="e">
        <f>Q20/P20</f>
        <v>#DIV/0!</v>
      </c>
      <c r="T20" s="153"/>
      <c r="U20" s="153"/>
      <c r="V20" s="156">
        <f t="shared" si="12"/>
        <v>0</v>
      </c>
      <c r="W20" s="156" t="e">
        <f>U20/T20</f>
        <v>#DIV/0!</v>
      </c>
      <c r="X20" s="153">
        <f t="shared" si="7"/>
        <v>0</v>
      </c>
      <c r="Y20" s="153">
        <f t="shared" si="7"/>
        <v>0</v>
      </c>
      <c r="Z20" s="156">
        <f t="shared" si="13"/>
        <v>0</v>
      </c>
      <c r="AA20" s="156" t="e">
        <f>Y20/X20</f>
        <v>#DIV/0!</v>
      </c>
      <c r="AB20" s="153"/>
      <c r="AC20" s="153"/>
      <c r="AD20" s="156">
        <f t="shared" si="14"/>
        <v>0</v>
      </c>
      <c r="AE20" s="156" t="e">
        <f>AC20/AB20</f>
        <v>#DIV/0!</v>
      </c>
      <c r="AF20" s="153"/>
      <c r="AG20" s="153"/>
      <c r="AH20" s="156">
        <f t="shared" si="15"/>
        <v>0</v>
      </c>
      <c r="AI20" s="153"/>
      <c r="AJ20" s="153"/>
      <c r="AK20" s="156">
        <f t="shared" si="16"/>
        <v>0</v>
      </c>
      <c r="AL20" s="156"/>
      <c r="AM20" s="153"/>
      <c r="AN20" s="153"/>
      <c r="AO20" s="156">
        <f t="shared" si="17"/>
        <v>0</v>
      </c>
      <c r="AP20" s="156" t="e">
        <f>AN20/AM20</f>
        <v>#DIV/0!</v>
      </c>
      <c r="AQ20" s="156"/>
      <c r="AR20" s="156"/>
      <c r="AS20" s="156">
        <f>AR20-AQ20</f>
        <v>0</v>
      </c>
      <c r="AT20" s="156"/>
      <c r="AU20" s="153"/>
      <c r="AV20" s="153"/>
      <c r="AW20" s="156">
        <f t="shared" si="18"/>
        <v>0</v>
      </c>
      <c r="AX20" s="156"/>
      <c r="AY20" s="153"/>
      <c r="AZ20" s="153"/>
      <c r="BA20" s="156">
        <f t="shared" si="19"/>
        <v>0</v>
      </c>
      <c r="BB20" s="156"/>
      <c r="BC20" s="153"/>
      <c r="BD20" s="153"/>
      <c r="BE20" s="156">
        <f t="shared" si="20"/>
        <v>0</v>
      </c>
      <c r="BF20" s="156"/>
      <c r="BG20" s="153"/>
      <c r="BH20" s="153"/>
      <c r="BI20" s="156">
        <f t="shared" si="21"/>
        <v>0</v>
      </c>
      <c r="BJ20" s="156"/>
      <c r="BK20" s="153"/>
      <c r="BL20" s="153"/>
      <c r="BM20" s="156">
        <f t="shared" si="22"/>
        <v>0</v>
      </c>
      <c r="BN20" s="156"/>
      <c r="BO20" s="153"/>
      <c r="BP20" s="153"/>
      <c r="BQ20" s="156">
        <f t="shared" si="23"/>
        <v>0</v>
      </c>
      <c r="BR20" s="156"/>
      <c r="BS20" s="153"/>
      <c r="BT20" s="153"/>
      <c r="BU20" s="156">
        <f t="shared" si="24"/>
        <v>0</v>
      </c>
      <c r="BV20" s="156"/>
      <c r="BW20" s="153"/>
      <c r="BX20" s="153"/>
      <c r="BY20" s="156">
        <f t="shared" si="25"/>
        <v>0</v>
      </c>
      <c r="BZ20" s="156"/>
      <c r="CA20" s="153"/>
      <c r="CB20" s="153"/>
      <c r="CC20" s="156">
        <f t="shared" si="26"/>
        <v>0</v>
      </c>
      <c r="CD20" s="156"/>
      <c r="CE20" s="153"/>
      <c r="CF20" s="153"/>
      <c r="CG20" s="156">
        <f t="shared" si="27"/>
        <v>0</v>
      </c>
      <c r="CH20" s="156"/>
      <c r="CI20" s="153"/>
      <c r="CJ20" s="153"/>
      <c r="CK20" s="156">
        <f t="shared" si="28"/>
        <v>0</v>
      </c>
      <c r="CL20" s="222"/>
      <c r="CM20" s="222"/>
      <c r="CN20" s="222"/>
      <c r="CO20" s="222">
        <f>CN20-CM20</f>
        <v>0</v>
      </c>
      <c r="CP20" s="222"/>
      <c r="CQ20" s="14"/>
      <c r="CR20" s="14"/>
      <c r="CS20" s="261">
        <f>CR20-CQ20</f>
        <v>0</v>
      </c>
      <c r="CT20" s="262"/>
      <c r="CU20" s="13"/>
      <c r="CV20" s="13"/>
      <c r="CW20" s="261">
        <f t="shared" si="29"/>
        <v>0</v>
      </c>
      <c r="CX20" s="262"/>
      <c r="CY20" s="13"/>
      <c r="CZ20" s="13"/>
      <c r="DA20" s="261">
        <f t="shared" si="30"/>
        <v>0</v>
      </c>
      <c r="DB20" s="262"/>
    </row>
    <row r="21" spans="1:106" ht="14.25" hidden="1" customHeight="1">
      <c r="A21" s="334"/>
      <c r="B21" s="333" t="s">
        <v>582</v>
      </c>
      <c r="C21" s="225">
        <v>0</v>
      </c>
      <c r="D21" s="153">
        <f>H21+L21+P21+T21+X21+AI21+AM21+AQ21+AU21+BC21+BG21+BW21+CE21+CI21+CM21+CQ21+CU21+CY21</f>
        <v>0</v>
      </c>
      <c r="E21" s="153">
        <f>I21+M21+Q21+U21+Y21+AJ21+AN21+AR21+AV21+BD21+BH21+BX21+CF21+CJ21+CN21+CR21+CV21+CZ21+BL21+BT21</f>
        <v>0</v>
      </c>
      <c r="F21" s="192">
        <f t="shared" si="6"/>
        <v>0</v>
      </c>
      <c r="G21" s="192"/>
      <c r="H21" s="153"/>
      <c r="I21" s="153"/>
      <c r="J21" s="156">
        <f t="shared" si="9"/>
        <v>0</v>
      </c>
      <c r="K21" s="156"/>
      <c r="L21" s="153"/>
      <c r="M21" s="153"/>
      <c r="N21" s="156">
        <f t="shared" si="10"/>
        <v>0</v>
      </c>
      <c r="O21" s="156"/>
      <c r="P21" s="153"/>
      <c r="Q21" s="153"/>
      <c r="R21" s="156">
        <f t="shared" si="11"/>
        <v>0</v>
      </c>
      <c r="S21" s="156"/>
      <c r="T21" s="153"/>
      <c r="U21" s="153"/>
      <c r="V21" s="156">
        <f t="shared" si="12"/>
        <v>0</v>
      </c>
      <c r="W21" s="156"/>
      <c r="X21" s="153">
        <f t="shared" si="7"/>
        <v>0</v>
      </c>
      <c r="Y21" s="153">
        <f t="shared" si="7"/>
        <v>0</v>
      </c>
      <c r="Z21" s="156">
        <f t="shared" si="13"/>
        <v>0</v>
      </c>
      <c r="AA21" s="156"/>
      <c r="AB21" s="153"/>
      <c r="AC21" s="153"/>
      <c r="AD21" s="156"/>
      <c r="AE21" s="156"/>
      <c r="AF21" s="153"/>
      <c r="AG21" s="153"/>
      <c r="AH21" s="156">
        <f t="shared" si="15"/>
        <v>0</v>
      </c>
      <c r="AI21" s="153"/>
      <c r="AJ21" s="153"/>
      <c r="AK21" s="156">
        <f t="shared" si="16"/>
        <v>0</v>
      </c>
      <c r="AL21" s="156"/>
      <c r="AM21" s="153"/>
      <c r="AN21" s="153"/>
      <c r="AO21" s="156">
        <f t="shared" si="17"/>
        <v>0</v>
      </c>
      <c r="AP21" s="156" t="e">
        <f>AN21/AM21</f>
        <v>#DIV/0!</v>
      </c>
      <c r="AQ21" s="156"/>
      <c r="AR21" s="156"/>
      <c r="AS21" s="156"/>
      <c r="AT21" s="156"/>
      <c r="AU21" s="153"/>
      <c r="AV21" s="153"/>
      <c r="AW21" s="156">
        <f t="shared" si="18"/>
        <v>0</v>
      </c>
      <c r="AX21" s="156"/>
      <c r="AY21" s="153"/>
      <c r="AZ21" s="153"/>
      <c r="BA21" s="156">
        <f t="shared" si="19"/>
        <v>0</v>
      </c>
      <c r="BB21" s="156"/>
      <c r="BC21" s="153"/>
      <c r="BD21" s="153"/>
      <c r="BE21" s="156">
        <f t="shared" si="20"/>
        <v>0</v>
      </c>
      <c r="BF21" s="156"/>
      <c r="BG21" s="153"/>
      <c r="BH21" s="153"/>
      <c r="BI21" s="156">
        <f t="shared" si="21"/>
        <v>0</v>
      </c>
      <c r="BJ21" s="156"/>
      <c r="BK21" s="153"/>
      <c r="BL21" s="153"/>
      <c r="BM21" s="156">
        <f t="shared" si="22"/>
        <v>0</v>
      </c>
      <c r="BN21" s="156"/>
      <c r="BO21" s="153"/>
      <c r="BP21" s="153"/>
      <c r="BQ21" s="156">
        <f t="shared" si="23"/>
        <v>0</v>
      </c>
      <c r="BR21" s="156"/>
      <c r="BS21" s="153"/>
      <c r="BT21" s="153"/>
      <c r="BU21" s="156">
        <f t="shared" si="24"/>
        <v>0</v>
      </c>
      <c r="BV21" s="156"/>
      <c r="BW21" s="153"/>
      <c r="BX21" s="153"/>
      <c r="BY21" s="156">
        <f t="shared" si="25"/>
        <v>0</v>
      </c>
      <c r="BZ21" s="156"/>
      <c r="CA21" s="153"/>
      <c r="CB21" s="153"/>
      <c r="CC21" s="156">
        <f t="shared" si="26"/>
        <v>0</v>
      </c>
      <c r="CD21" s="156"/>
      <c r="CE21" s="153"/>
      <c r="CF21" s="153"/>
      <c r="CG21" s="156">
        <f t="shared" si="27"/>
        <v>0</v>
      </c>
      <c r="CH21" s="156"/>
      <c r="CI21" s="153"/>
      <c r="CJ21" s="153"/>
      <c r="CK21" s="156">
        <f t="shared" si="28"/>
        <v>0</v>
      </c>
      <c r="CL21" s="222"/>
      <c r="CM21" s="222"/>
      <c r="CN21" s="222"/>
      <c r="CO21" s="222"/>
      <c r="CP21" s="222"/>
      <c r="CQ21" s="14"/>
      <c r="CR21" s="14"/>
      <c r="CS21" s="261"/>
      <c r="CT21" s="262"/>
      <c r="CU21" s="13"/>
      <c r="CV21" s="13"/>
      <c r="CW21" s="261">
        <f t="shared" si="29"/>
        <v>0</v>
      </c>
      <c r="CX21" s="262"/>
      <c r="CY21" s="13"/>
      <c r="CZ21" s="13"/>
      <c r="DA21" s="261">
        <f t="shared" si="30"/>
        <v>0</v>
      </c>
      <c r="DB21" s="262"/>
    </row>
    <row r="22" spans="1:106" ht="14.25" hidden="1" customHeight="1">
      <c r="A22" s="334"/>
      <c r="B22" s="334" t="s">
        <v>318</v>
      </c>
      <c r="C22" s="221">
        <v>7.6</v>
      </c>
      <c r="D22" s="153">
        <f t="shared" ref="D22:E33" si="31">H22+L22+P22+T22+X22+AI22+AM22+AQ22+AU22+BC22+BG22+BW22+CE22+CI22+CM22+CQ22+CU22+CY22+AY22+BK22+BS22</f>
        <v>0</v>
      </c>
      <c r="E22" s="153">
        <f>I22+M22+Q22+U22+Y22+AJ22+AN22+AR22+AV22+BD22+BH22+BX22+CF22+CJ22+CN22+CR22+CV22+CZ22+BL22+BT22</f>
        <v>0</v>
      </c>
      <c r="F22" s="192">
        <f t="shared" si="6"/>
        <v>0</v>
      </c>
      <c r="G22" s="192" t="e">
        <f>E22/D22</f>
        <v>#DIV/0!</v>
      </c>
      <c r="H22" s="153"/>
      <c r="I22" s="153"/>
      <c r="J22" s="156">
        <f t="shared" si="9"/>
        <v>0</v>
      </c>
      <c r="K22" s="156"/>
      <c r="L22" s="153"/>
      <c r="M22" s="153"/>
      <c r="N22" s="156">
        <f t="shared" si="10"/>
        <v>0</v>
      </c>
      <c r="O22" s="156" t="e">
        <f>M22/L22</f>
        <v>#DIV/0!</v>
      </c>
      <c r="P22" s="153"/>
      <c r="Q22" s="153"/>
      <c r="R22" s="156">
        <f t="shared" si="11"/>
        <v>0</v>
      </c>
      <c r="S22" s="156" t="e">
        <f>Q22/P22</f>
        <v>#DIV/0!</v>
      </c>
      <c r="T22" s="153"/>
      <c r="U22" s="153"/>
      <c r="V22" s="156">
        <f t="shared" si="12"/>
        <v>0</v>
      </c>
      <c r="W22" s="156" t="e">
        <f>U22/T22</f>
        <v>#DIV/0!</v>
      </c>
      <c r="X22" s="153">
        <f t="shared" si="7"/>
        <v>0</v>
      </c>
      <c r="Y22" s="153">
        <f t="shared" si="7"/>
        <v>0</v>
      </c>
      <c r="Z22" s="156">
        <f t="shared" si="13"/>
        <v>0</v>
      </c>
      <c r="AA22" s="156" t="e">
        <f>Y22/X22</f>
        <v>#DIV/0!</v>
      </c>
      <c r="AB22" s="153"/>
      <c r="AC22" s="153"/>
      <c r="AD22" s="156">
        <f t="shared" ref="AD22:AD27" si="32">AC22-AB22</f>
        <v>0</v>
      </c>
      <c r="AE22" s="156" t="e">
        <f>AC22/AB22</f>
        <v>#DIV/0!</v>
      </c>
      <c r="AF22" s="153"/>
      <c r="AG22" s="153"/>
      <c r="AH22" s="156">
        <f t="shared" si="15"/>
        <v>0</v>
      </c>
      <c r="AI22" s="153"/>
      <c r="AJ22" s="153"/>
      <c r="AK22" s="156">
        <f t="shared" si="16"/>
        <v>0</v>
      </c>
      <c r="AL22" s="156" t="e">
        <f>AJ22/AI22</f>
        <v>#DIV/0!</v>
      </c>
      <c r="AM22" s="153"/>
      <c r="AN22" s="153"/>
      <c r="AO22" s="156">
        <f t="shared" si="17"/>
        <v>0</v>
      </c>
      <c r="AP22" s="156" t="e">
        <f>AN22/AM22</f>
        <v>#DIV/0!</v>
      </c>
      <c r="AQ22" s="156"/>
      <c r="AR22" s="156"/>
      <c r="AS22" s="156">
        <f>AR22-AQ22</f>
        <v>0</v>
      </c>
      <c r="AT22" s="156"/>
      <c r="AU22" s="153"/>
      <c r="AV22" s="153"/>
      <c r="AW22" s="156">
        <f t="shared" si="18"/>
        <v>0</v>
      </c>
      <c r="AX22" s="156"/>
      <c r="AY22" s="153"/>
      <c r="AZ22" s="153"/>
      <c r="BA22" s="156">
        <f t="shared" si="19"/>
        <v>0</v>
      </c>
      <c r="BB22" s="156" t="e">
        <f>AZ22/AY22</f>
        <v>#DIV/0!</v>
      </c>
      <c r="BC22" s="153"/>
      <c r="BD22" s="153"/>
      <c r="BE22" s="156">
        <f t="shared" si="20"/>
        <v>0</v>
      </c>
      <c r="BF22" s="156" t="e">
        <f>BD22/BC22</f>
        <v>#DIV/0!</v>
      </c>
      <c r="BG22" s="153"/>
      <c r="BH22" s="153"/>
      <c r="BI22" s="156">
        <f t="shared" si="21"/>
        <v>0</v>
      </c>
      <c r="BJ22" s="156" t="e">
        <f>BH22/BG22</f>
        <v>#DIV/0!</v>
      </c>
      <c r="BK22" s="153"/>
      <c r="BL22" s="153"/>
      <c r="BM22" s="156">
        <f t="shared" si="22"/>
        <v>0</v>
      </c>
      <c r="BN22" s="156"/>
      <c r="BO22" s="153"/>
      <c r="BP22" s="153"/>
      <c r="BQ22" s="156">
        <f t="shared" si="23"/>
        <v>0</v>
      </c>
      <c r="BR22" s="156"/>
      <c r="BS22" s="153"/>
      <c r="BT22" s="153"/>
      <c r="BU22" s="156">
        <f t="shared" si="24"/>
        <v>0</v>
      </c>
      <c r="BV22" s="156"/>
      <c r="BW22" s="153"/>
      <c r="BX22" s="153"/>
      <c r="BY22" s="156">
        <f t="shared" si="25"/>
        <v>0</v>
      </c>
      <c r="BZ22" s="156" t="e">
        <f>BX22/BW22</f>
        <v>#DIV/0!</v>
      </c>
      <c r="CA22" s="153"/>
      <c r="CB22" s="153"/>
      <c r="CC22" s="156">
        <f t="shared" si="26"/>
        <v>0</v>
      </c>
      <c r="CD22" s="156"/>
      <c r="CE22" s="153"/>
      <c r="CF22" s="153"/>
      <c r="CG22" s="156">
        <f t="shared" si="27"/>
        <v>0</v>
      </c>
      <c r="CH22" s="156"/>
      <c r="CI22" s="153"/>
      <c r="CJ22" s="153"/>
      <c r="CK22" s="156">
        <f t="shared" si="28"/>
        <v>0</v>
      </c>
      <c r="CL22" s="222"/>
      <c r="CM22" s="222"/>
      <c r="CN22" s="222"/>
      <c r="CO22" s="222">
        <f>CN22-CM22</f>
        <v>0</v>
      </c>
      <c r="CP22" s="222"/>
      <c r="CQ22" s="14"/>
      <c r="CR22" s="14"/>
      <c r="CS22" s="261">
        <f>CR22-CQ22</f>
        <v>0</v>
      </c>
      <c r="CT22" s="262"/>
      <c r="CU22" s="13"/>
      <c r="CV22" s="13"/>
      <c r="CW22" s="261">
        <f t="shared" si="29"/>
        <v>0</v>
      </c>
      <c r="CX22" s="262" t="e">
        <f>CV22/CU22</f>
        <v>#DIV/0!</v>
      </c>
      <c r="CY22" s="13"/>
      <c r="CZ22" s="13"/>
      <c r="DA22" s="261">
        <f t="shared" si="30"/>
        <v>0</v>
      </c>
      <c r="DB22" s="262" t="e">
        <f>CZ22/CY22</f>
        <v>#DIV/0!</v>
      </c>
    </row>
    <row r="23" spans="1:106" ht="14.25" hidden="1" customHeight="1">
      <c r="A23" s="334"/>
      <c r="B23" s="334" t="s">
        <v>694</v>
      </c>
      <c r="C23" s="221"/>
      <c r="D23" s="153">
        <f t="shared" si="31"/>
        <v>0</v>
      </c>
      <c r="E23" s="153">
        <f>I23+M23+Q23+U23+Y23+AJ23+AN23+AR23+AV23+BD23+BH23+BX23+CF23+CJ23+CN23+CR23+CV23+CZ23+BL23+BT23</f>
        <v>0</v>
      </c>
      <c r="F23" s="192">
        <f t="shared" si="6"/>
        <v>0</v>
      </c>
      <c r="G23" s="192" t="e">
        <f>E23/D23</f>
        <v>#DIV/0!</v>
      </c>
      <c r="H23" s="153"/>
      <c r="I23" s="153"/>
      <c r="J23" s="156">
        <f t="shared" si="9"/>
        <v>0</v>
      </c>
      <c r="K23" s="156"/>
      <c r="L23" s="153"/>
      <c r="M23" s="153"/>
      <c r="N23" s="156">
        <f t="shared" si="10"/>
        <v>0</v>
      </c>
      <c r="O23" s="156"/>
      <c r="P23" s="153"/>
      <c r="Q23" s="153"/>
      <c r="R23" s="156">
        <f t="shared" si="11"/>
        <v>0</v>
      </c>
      <c r="S23" s="156"/>
      <c r="T23" s="153"/>
      <c r="U23" s="153"/>
      <c r="V23" s="156">
        <f t="shared" si="12"/>
        <v>0</v>
      </c>
      <c r="W23" s="156"/>
      <c r="X23" s="153">
        <f t="shared" si="7"/>
        <v>0</v>
      </c>
      <c r="Y23" s="153">
        <f t="shared" si="7"/>
        <v>0</v>
      </c>
      <c r="Z23" s="156">
        <f t="shared" si="13"/>
        <v>0</v>
      </c>
      <c r="AA23" s="156"/>
      <c r="AB23" s="153"/>
      <c r="AC23" s="153"/>
      <c r="AD23" s="156">
        <f t="shared" si="32"/>
        <v>0</v>
      </c>
      <c r="AE23" s="156"/>
      <c r="AF23" s="153"/>
      <c r="AG23" s="153"/>
      <c r="AH23" s="156">
        <f t="shared" si="15"/>
        <v>0</v>
      </c>
      <c r="AI23" s="153"/>
      <c r="AJ23" s="153"/>
      <c r="AK23" s="156">
        <f t="shared" si="16"/>
        <v>0</v>
      </c>
      <c r="AL23" s="156"/>
      <c r="AM23" s="153"/>
      <c r="AN23" s="153"/>
      <c r="AO23" s="156">
        <f t="shared" si="17"/>
        <v>0</v>
      </c>
      <c r="AP23" s="156"/>
      <c r="AQ23" s="156"/>
      <c r="AR23" s="156"/>
      <c r="AS23" s="156">
        <f>AR23-AQ23</f>
        <v>0</v>
      </c>
      <c r="AT23" s="156"/>
      <c r="AU23" s="153"/>
      <c r="AV23" s="153"/>
      <c r="AW23" s="156">
        <f t="shared" si="18"/>
        <v>0</v>
      </c>
      <c r="AX23" s="156"/>
      <c r="AY23" s="153"/>
      <c r="AZ23" s="153"/>
      <c r="BA23" s="156">
        <f t="shared" si="19"/>
        <v>0</v>
      </c>
      <c r="BB23" s="156"/>
      <c r="BC23" s="153"/>
      <c r="BD23" s="153"/>
      <c r="BE23" s="156">
        <f t="shared" si="20"/>
        <v>0</v>
      </c>
      <c r="BF23" s="156"/>
      <c r="BG23" s="153"/>
      <c r="BH23" s="153"/>
      <c r="BI23" s="156">
        <f t="shared" si="21"/>
        <v>0</v>
      </c>
      <c r="BJ23" s="156"/>
      <c r="BK23" s="153"/>
      <c r="BL23" s="153"/>
      <c r="BM23" s="156">
        <f t="shared" si="22"/>
        <v>0</v>
      </c>
      <c r="BN23" s="156"/>
      <c r="BO23" s="153"/>
      <c r="BP23" s="153"/>
      <c r="BQ23" s="156">
        <f t="shared" si="23"/>
        <v>0</v>
      </c>
      <c r="BR23" s="156"/>
      <c r="BS23" s="153"/>
      <c r="BT23" s="153"/>
      <c r="BU23" s="156">
        <f t="shared" si="24"/>
        <v>0</v>
      </c>
      <c r="BV23" s="156"/>
      <c r="BW23" s="153"/>
      <c r="BX23" s="153"/>
      <c r="BY23" s="156">
        <f t="shared" si="25"/>
        <v>0</v>
      </c>
      <c r="BZ23" s="156"/>
      <c r="CA23" s="153"/>
      <c r="CB23" s="153"/>
      <c r="CC23" s="156">
        <f t="shared" si="26"/>
        <v>0</v>
      </c>
      <c r="CD23" s="156"/>
      <c r="CE23" s="153"/>
      <c r="CF23" s="153"/>
      <c r="CG23" s="156">
        <f t="shared" si="27"/>
        <v>0</v>
      </c>
      <c r="CH23" s="156"/>
      <c r="CI23" s="153"/>
      <c r="CJ23" s="153"/>
      <c r="CK23" s="156">
        <f t="shared" si="28"/>
        <v>0</v>
      </c>
      <c r="CL23" s="222"/>
      <c r="CM23" s="222"/>
      <c r="CN23" s="222"/>
      <c r="CO23" s="222">
        <f>CN23-CM23</f>
        <v>0</v>
      </c>
      <c r="CP23" s="222"/>
      <c r="CQ23" s="14"/>
      <c r="CR23" s="14"/>
      <c r="CS23" s="261">
        <f>CR23-CQ23</f>
        <v>0</v>
      </c>
      <c r="CT23" s="262"/>
      <c r="CU23" s="13"/>
      <c r="CV23" s="13"/>
      <c r="CW23" s="261">
        <f t="shared" si="29"/>
        <v>0</v>
      </c>
      <c r="CX23" s="262"/>
      <c r="CY23" s="13"/>
      <c r="CZ23" s="13"/>
      <c r="DA23" s="261">
        <f t="shared" si="30"/>
        <v>0</v>
      </c>
      <c r="DB23" s="262"/>
    </row>
    <row r="24" spans="1:106" ht="14.25" hidden="1" customHeight="1">
      <c r="A24" s="334"/>
      <c r="B24" s="333" t="s">
        <v>539</v>
      </c>
      <c r="C24" s="225"/>
      <c r="D24" s="153">
        <f t="shared" si="31"/>
        <v>0</v>
      </c>
      <c r="E24" s="153">
        <f t="shared" si="31"/>
        <v>0</v>
      </c>
      <c r="F24" s="192">
        <f t="shared" si="6"/>
        <v>0</v>
      </c>
      <c r="G24" s="192" t="e">
        <f>E24/D24</f>
        <v>#DIV/0!</v>
      </c>
      <c r="H24" s="153"/>
      <c r="I24" s="153"/>
      <c r="J24" s="156">
        <f t="shared" si="9"/>
        <v>0</v>
      </c>
      <c r="K24" s="156"/>
      <c r="L24" s="153"/>
      <c r="M24" s="153"/>
      <c r="N24" s="156">
        <f t="shared" si="10"/>
        <v>0</v>
      </c>
      <c r="O24" s="156"/>
      <c r="P24" s="153"/>
      <c r="Q24" s="153"/>
      <c r="R24" s="156">
        <f t="shared" si="11"/>
        <v>0</v>
      </c>
      <c r="S24" s="156"/>
      <c r="T24" s="153"/>
      <c r="U24" s="153"/>
      <c r="V24" s="156">
        <f t="shared" si="12"/>
        <v>0</v>
      </c>
      <c r="W24" s="156"/>
      <c r="X24" s="153">
        <f t="shared" si="7"/>
        <v>0</v>
      </c>
      <c r="Y24" s="153">
        <f t="shared" si="7"/>
        <v>0</v>
      </c>
      <c r="Z24" s="156">
        <f t="shared" si="13"/>
        <v>0</v>
      </c>
      <c r="AA24" s="156"/>
      <c r="AB24" s="153"/>
      <c r="AC24" s="153"/>
      <c r="AD24" s="156">
        <f t="shared" si="32"/>
        <v>0</v>
      </c>
      <c r="AE24" s="156"/>
      <c r="AF24" s="153"/>
      <c r="AG24" s="153"/>
      <c r="AH24" s="156">
        <f t="shared" si="15"/>
        <v>0</v>
      </c>
      <c r="AI24" s="153"/>
      <c r="AJ24" s="153"/>
      <c r="AK24" s="156">
        <f t="shared" si="16"/>
        <v>0</v>
      </c>
      <c r="AL24" s="156"/>
      <c r="AM24" s="153"/>
      <c r="AN24" s="153"/>
      <c r="AO24" s="156">
        <f t="shared" si="17"/>
        <v>0</v>
      </c>
      <c r="AP24" s="156"/>
      <c r="AQ24" s="156"/>
      <c r="AR24" s="156"/>
      <c r="AS24" s="156"/>
      <c r="AT24" s="156"/>
      <c r="AU24" s="153"/>
      <c r="AV24" s="153"/>
      <c r="AW24" s="156">
        <f t="shared" si="18"/>
        <v>0</v>
      </c>
      <c r="AX24" s="156"/>
      <c r="AY24" s="153"/>
      <c r="AZ24" s="153"/>
      <c r="BA24" s="156">
        <f t="shared" si="19"/>
        <v>0</v>
      </c>
      <c r="BB24" s="156"/>
      <c r="BC24" s="153"/>
      <c r="BD24" s="153"/>
      <c r="BE24" s="156">
        <f t="shared" si="20"/>
        <v>0</v>
      </c>
      <c r="BF24" s="156"/>
      <c r="BG24" s="153"/>
      <c r="BH24" s="153"/>
      <c r="BI24" s="156">
        <f t="shared" si="21"/>
        <v>0</v>
      </c>
      <c r="BJ24" s="156"/>
      <c r="BK24" s="153"/>
      <c r="BL24" s="153"/>
      <c r="BM24" s="156">
        <f t="shared" si="22"/>
        <v>0</v>
      </c>
      <c r="BN24" s="156"/>
      <c r="BO24" s="153"/>
      <c r="BP24" s="153"/>
      <c r="BQ24" s="156">
        <f t="shared" si="23"/>
        <v>0</v>
      </c>
      <c r="BR24" s="156"/>
      <c r="BS24" s="153"/>
      <c r="BT24" s="153"/>
      <c r="BU24" s="156">
        <f t="shared" si="24"/>
        <v>0</v>
      </c>
      <c r="BV24" s="156"/>
      <c r="BW24" s="153"/>
      <c r="BX24" s="153"/>
      <c r="BY24" s="156">
        <f t="shared" si="25"/>
        <v>0</v>
      </c>
      <c r="BZ24" s="156"/>
      <c r="CA24" s="153"/>
      <c r="CB24" s="153"/>
      <c r="CC24" s="156">
        <f t="shared" si="26"/>
        <v>0</v>
      </c>
      <c r="CD24" s="156"/>
      <c r="CE24" s="153"/>
      <c r="CF24" s="153"/>
      <c r="CG24" s="156">
        <f t="shared" si="27"/>
        <v>0</v>
      </c>
      <c r="CH24" s="156"/>
      <c r="CI24" s="153"/>
      <c r="CJ24" s="153"/>
      <c r="CK24" s="156">
        <f t="shared" si="28"/>
        <v>0</v>
      </c>
      <c r="CL24" s="222"/>
      <c r="CM24" s="222"/>
      <c r="CN24" s="222"/>
      <c r="CO24" s="222"/>
      <c r="CP24" s="222"/>
      <c r="CQ24" s="14"/>
      <c r="CR24" s="14"/>
      <c r="CS24" s="261"/>
      <c r="CT24" s="262"/>
      <c r="CU24" s="13"/>
      <c r="CV24" s="13"/>
      <c r="CW24" s="261">
        <f t="shared" si="29"/>
        <v>0</v>
      </c>
      <c r="CX24" s="262"/>
      <c r="CY24" s="13"/>
      <c r="CZ24" s="13"/>
      <c r="DA24" s="261">
        <f t="shared" si="30"/>
        <v>0</v>
      </c>
      <c r="DB24" s="262"/>
    </row>
    <row r="25" spans="1:106" ht="14.25" customHeight="1">
      <c r="A25" s="334"/>
      <c r="B25" s="333" t="s">
        <v>540</v>
      </c>
      <c r="C25" s="225">
        <v>0</v>
      </c>
      <c r="D25" s="153">
        <f t="shared" si="31"/>
        <v>0</v>
      </c>
      <c r="E25" s="153">
        <f t="shared" si="31"/>
        <v>0.76100000000000001</v>
      </c>
      <c r="F25" s="192">
        <f t="shared" si="6"/>
        <v>0.76100000000000001</v>
      </c>
      <c r="G25" s="192">
        <v>0</v>
      </c>
      <c r="H25" s="153"/>
      <c r="I25" s="153"/>
      <c r="J25" s="156">
        <f t="shared" si="9"/>
        <v>0</v>
      </c>
      <c r="K25" s="156"/>
      <c r="L25" s="153"/>
      <c r="M25" s="153">
        <v>0.76100000000000001</v>
      </c>
      <c r="N25" s="156">
        <f t="shared" si="10"/>
        <v>0.76100000000000001</v>
      </c>
      <c r="O25" s="156"/>
      <c r="P25" s="153"/>
      <c r="Q25" s="153"/>
      <c r="R25" s="156">
        <f t="shared" si="11"/>
        <v>0</v>
      </c>
      <c r="S25" s="156"/>
      <c r="T25" s="153"/>
      <c r="U25" s="153"/>
      <c r="V25" s="156">
        <f t="shared" si="12"/>
        <v>0</v>
      </c>
      <c r="W25" s="156"/>
      <c r="X25" s="153">
        <f t="shared" si="7"/>
        <v>0</v>
      </c>
      <c r="Y25" s="153">
        <f t="shared" si="7"/>
        <v>0</v>
      </c>
      <c r="Z25" s="156">
        <f t="shared" si="13"/>
        <v>0</v>
      </c>
      <c r="AA25" s="156"/>
      <c r="AB25" s="153"/>
      <c r="AC25" s="153"/>
      <c r="AD25" s="156">
        <f t="shared" si="32"/>
        <v>0</v>
      </c>
      <c r="AE25" s="156"/>
      <c r="AF25" s="153"/>
      <c r="AG25" s="153"/>
      <c r="AH25" s="156">
        <f t="shared" si="15"/>
        <v>0</v>
      </c>
      <c r="AI25" s="153"/>
      <c r="AJ25" s="153"/>
      <c r="AK25" s="156">
        <f t="shared" si="16"/>
        <v>0</v>
      </c>
      <c r="AL25" s="156"/>
      <c r="AM25" s="153"/>
      <c r="AN25" s="153"/>
      <c r="AO25" s="156">
        <f t="shared" si="17"/>
        <v>0</v>
      </c>
      <c r="AP25" s="156"/>
      <c r="AQ25" s="156"/>
      <c r="AR25" s="156"/>
      <c r="AS25" s="156">
        <f>AR25-AQ25</f>
        <v>0</v>
      </c>
      <c r="AT25" s="156"/>
      <c r="AU25" s="153"/>
      <c r="AV25" s="153"/>
      <c r="AW25" s="156">
        <f t="shared" si="18"/>
        <v>0</v>
      </c>
      <c r="AX25" s="156"/>
      <c r="AY25" s="153"/>
      <c r="AZ25" s="153"/>
      <c r="BA25" s="156">
        <f t="shared" si="19"/>
        <v>0</v>
      </c>
      <c r="BB25" s="156"/>
      <c r="BC25" s="153"/>
      <c r="BD25" s="153"/>
      <c r="BE25" s="156">
        <f t="shared" si="20"/>
        <v>0</v>
      </c>
      <c r="BF25" s="156"/>
      <c r="BG25" s="153"/>
      <c r="BH25" s="153"/>
      <c r="BI25" s="156">
        <f t="shared" si="21"/>
        <v>0</v>
      </c>
      <c r="BJ25" s="156"/>
      <c r="BK25" s="153"/>
      <c r="BL25" s="153"/>
      <c r="BM25" s="156">
        <f t="shared" si="22"/>
        <v>0</v>
      </c>
      <c r="BN25" s="156"/>
      <c r="BO25" s="153"/>
      <c r="BP25" s="153"/>
      <c r="BQ25" s="156">
        <f t="shared" si="23"/>
        <v>0</v>
      </c>
      <c r="BR25" s="156"/>
      <c r="BS25" s="153"/>
      <c r="BT25" s="153"/>
      <c r="BU25" s="156">
        <f t="shared" si="24"/>
        <v>0</v>
      </c>
      <c r="BV25" s="156"/>
      <c r="BW25" s="153"/>
      <c r="BX25" s="153"/>
      <c r="BY25" s="156">
        <f t="shared" si="25"/>
        <v>0</v>
      </c>
      <c r="BZ25" s="156"/>
      <c r="CA25" s="153"/>
      <c r="CB25" s="153"/>
      <c r="CC25" s="156">
        <f t="shared" si="26"/>
        <v>0</v>
      </c>
      <c r="CD25" s="156"/>
      <c r="CE25" s="153"/>
      <c r="CF25" s="153"/>
      <c r="CG25" s="156">
        <f t="shared" si="27"/>
        <v>0</v>
      </c>
      <c r="CH25" s="156"/>
      <c r="CI25" s="153"/>
      <c r="CJ25" s="153"/>
      <c r="CK25" s="156">
        <f t="shared" si="28"/>
        <v>0</v>
      </c>
      <c r="CL25" s="222"/>
      <c r="CM25" s="222"/>
      <c r="CN25" s="222"/>
      <c r="CO25" s="222">
        <f>CN25-CM25</f>
        <v>0</v>
      </c>
      <c r="CP25" s="222"/>
      <c r="CQ25" s="14"/>
      <c r="CR25" s="14"/>
      <c r="CS25" s="261">
        <f>CR25-CQ25</f>
        <v>0</v>
      </c>
      <c r="CT25" s="262"/>
      <c r="CU25" s="13"/>
      <c r="CV25" s="13"/>
      <c r="CW25" s="261">
        <f t="shared" si="29"/>
        <v>0</v>
      </c>
      <c r="CX25" s="262"/>
      <c r="CY25" s="13"/>
      <c r="CZ25" s="13"/>
      <c r="DA25" s="261">
        <f t="shared" si="30"/>
        <v>0</v>
      </c>
      <c r="DB25" s="262"/>
    </row>
    <row r="26" spans="1:106" ht="14.25" hidden="1" customHeight="1">
      <c r="A26" s="334"/>
      <c r="B26" s="333" t="s">
        <v>695</v>
      </c>
      <c r="C26" s="225"/>
      <c r="D26" s="153">
        <f t="shared" si="31"/>
        <v>0</v>
      </c>
      <c r="E26" s="153">
        <f t="shared" si="31"/>
        <v>0</v>
      </c>
      <c r="F26" s="192">
        <f t="shared" si="6"/>
        <v>0</v>
      </c>
      <c r="G26" s="192" t="e">
        <f t="shared" ref="G26:G33" si="33">E26/D26</f>
        <v>#DIV/0!</v>
      </c>
      <c r="H26" s="153"/>
      <c r="I26" s="153"/>
      <c r="J26" s="156">
        <f t="shared" si="9"/>
        <v>0</v>
      </c>
      <c r="K26" s="156"/>
      <c r="L26" s="153"/>
      <c r="M26" s="153"/>
      <c r="N26" s="156">
        <f t="shared" si="10"/>
        <v>0</v>
      </c>
      <c r="O26" s="156"/>
      <c r="P26" s="153"/>
      <c r="Q26" s="153"/>
      <c r="R26" s="156">
        <f t="shared" si="11"/>
        <v>0</v>
      </c>
      <c r="S26" s="156"/>
      <c r="T26" s="153"/>
      <c r="U26" s="153"/>
      <c r="V26" s="156">
        <f t="shared" si="12"/>
        <v>0</v>
      </c>
      <c r="W26" s="156"/>
      <c r="X26" s="153">
        <f t="shared" si="7"/>
        <v>0</v>
      </c>
      <c r="Y26" s="153">
        <f t="shared" si="7"/>
        <v>0</v>
      </c>
      <c r="Z26" s="156">
        <f t="shared" si="13"/>
        <v>0</v>
      </c>
      <c r="AA26" s="156"/>
      <c r="AB26" s="153"/>
      <c r="AC26" s="153"/>
      <c r="AD26" s="156">
        <f t="shared" si="32"/>
        <v>0</v>
      </c>
      <c r="AE26" s="156" t="e">
        <f>AC26/AB26</f>
        <v>#DIV/0!</v>
      </c>
      <c r="AF26" s="153"/>
      <c r="AG26" s="153"/>
      <c r="AH26" s="156">
        <f t="shared" si="15"/>
        <v>0</v>
      </c>
      <c r="AI26" s="153"/>
      <c r="AJ26" s="153"/>
      <c r="AK26" s="156">
        <f t="shared" si="16"/>
        <v>0</v>
      </c>
      <c r="AL26" s="156"/>
      <c r="AM26" s="153"/>
      <c r="AN26" s="153"/>
      <c r="AO26" s="156">
        <f t="shared" si="17"/>
        <v>0</v>
      </c>
      <c r="AP26" s="156"/>
      <c r="AQ26" s="156"/>
      <c r="AR26" s="156"/>
      <c r="AS26" s="156">
        <f>AR26-AQ26</f>
        <v>0</v>
      </c>
      <c r="AT26" s="156"/>
      <c r="AU26" s="153"/>
      <c r="AV26" s="153"/>
      <c r="AW26" s="156">
        <f t="shared" si="18"/>
        <v>0</v>
      </c>
      <c r="AX26" s="156"/>
      <c r="AY26" s="153"/>
      <c r="AZ26" s="153"/>
      <c r="BA26" s="156">
        <f t="shared" si="19"/>
        <v>0</v>
      </c>
      <c r="BB26" s="156"/>
      <c r="BC26" s="153"/>
      <c r="BD26" s="153"/>
      <c r="BE26" s="156">
        <f t="shared" si="20"/>
        <v>0</v>
      </c>
      <c r="BF26" s="156"/>
      <c r="BG26" s="153"/>
      <c r="BH26" s="153"/>
      <c r="BI26" s="156">
        <f t="shared" si="21"/>
        <v>0</v>
      </c>
      <c r="BJ26" s="156"/>
      <c r="BK26" s="153"/>
      <c r="BL26" s="153"/>
      <c r="BM26" s="156">
        <f t="shared" si="22"/>
        <v>0</v>
      </c>
      <c r="BN26" s="156"/>
      <c r="BO26" s="153"/>
      <c r="BP26" s="153"/>
      <c r="BQ26" s="156">
        <f t="shared" si="23"/>
        <v>0</v>
      </c>
      <c r="BR26" s="156"/>
      <c r="BS26" s="153"/>
      <c r="BT26" s="153"/>
      <c r="BU26" s="156">
        <f t="shared" si="24"/>
        <v>0</v>
      </c>
      <c r="BV26" s="156"/>
      <c r="BW26" s="153"/>
      <c r="BX26" s="153"/>
      <c r="BY26" s="156">
        <f t="shared" si="25"/>
        <v>0</v>
      </c>
      <c r="BZ26" s="156"/>
      <c r="CA26" s="153"/>
      <c r="CB26" s="153"/>
      <c r="CC26" s="156">
        <f t="shared" si="26"/>
        <v>0</v>
      </c>
      <c r="CD26" s="156"/>
      <c r="CE26" s="153"/>
      <c r="CF26" s="153"/>
      <c r="CG26" s="156">
        <f t="shared" si="27"/>
        <v>0</v>
      </c>
      <c r="CH26" s="156"/>
      <c r="CI26" s="153"/>
      <c r="CJ26" s="153"/>
      <c r="CK26" s="156">
        <f t="shared" si="28"/>
        <v>0</v>
      </c>
      <c r="CL26" s="222"/>
      <c r="CM26" s="222"/>
      <c r="CN26" s="222"/>
      <c r="CO26" s="222">
        <f>CN26-CM26</f>
        <v>0</v>
      </c>
      <c r="CP26" s="222"/>
      <c r="CQ26" s="14"/>
      <c r="CR26" s="14"/>
      <c r="CS26" s="261">
        <f>CR26-CQ26</f>
        <v>0</v>
      </c>
      <c r="CT26" s="262"/>
      <c r="CU26" s="13"/>
      <c r="CV26" s="13"/>
      <c r="CW26" s="261">
        <f t="shared" si="29"/>
        <v>0</v>
      </c>
      <c r="CX26" s="262"/>
      <c r="CY26" s="13"/>
      <c r="CZ26" s="13"/>
      <c r="DA26" s="261">
        <f t="shared" si="30"/>
        <v>0</v>
      </c>
      <c r="DB26" s="262"/>
    </row>
    <row r="27" spans="1:106" ht="14.25" hidden="1" customHeight="1">
      <c r="A27" s="334"/>
      <c r="B27" s="333" t="s">
        <v>319</v>
      </c>
      <c r="C27" s="225"/>
      <c r="D27" s="153">
        <f t="shared" si="31"/>
        <v>0</v>
      </c>
      <c r="E27" s="153">
        <f t="shared" si="31"/>
        <v>0</v>
      </c>
      <c r="F27" s="192">
        <f t="shared" si="6"/>
        <v>0</v>
      </c>
      <c r="G27" s="192" t="e">
        <f t="shared" si="33"/>
        <v>#DIV/0!</v>
      </c>
      <c r="H27" s="153"/>
      <c r="I27" s="153"/>
      <c r="J27" s="156">
        <f t="shared" si="9"/>
        <v>0</v>
      </c>
      <c r="K27" s="156"/>
      <c r="L27" s="153"/>
      <c r="M27" s="153"/>
      <c r="N27" s="156">
        <f t="shared" si="10"/>
        <v>0</v>
      </c>
      <c r="O27" s="156"/>
      <c r="P27" s="153"/>
      <c r="Q27" s="153"/>
      <c r="R27" s="156">
        <f t="shared" si="11"/>
        <v>0</v>
      </c>
      <c r="S27" s="156"/>
      <c r="T27" s="153"/>
      <c r="U27" s="153"/>
      <c r="V27" s="156">
        <f t="shared" si="12"/>
        <v>0</v>
      </c>
      <c r="W27" s="156"/>
      <c r="X27" s="153">
        <f t="shared" si="7"/>
        <v>0</v>
      </c>
      <c r="Y27" s="153">
        <f t="shared" si="7"/>
        <v>0</v>
      </c>
      <c r="Z27" s="156">
        <f t="shared" si="13"/>
        <v>0</v>
      </c>
      <c r="AA27" s="156"/>
      <c r="AB27" s="153"/>
      <c r="AC27" s="153"/>
      <c r="AD27" s="156">
        <f t="shared" si="32"/>
        <v>0</v>
      </c>
      <c r="AE27" s="156"/>
      <c r="AF27" s="153"/>
      <c r="AG27" s="153"/>
      <c r="AH27" s="156">
        <f t="shared" si="15"/>
        <v>0</v>
      </c>
      <c r="AI27" s="153"/>
      <c r="AJ27" s="153"/>
      <c r="AK27" s="156">
        <f t="shared" si="16"/>
        <v>0</v>
      </c>
      <c r="AL27" s="156"/>
      <c r="AM27" s="153"/>
      <c r="AN27" s="153"/>
      <c r="AO27" s="156">
        <f t="shared" si="17"/>
        <v>0</v>
      </c>
      <c r="AP27" s="156"/>
      <c r="AQ27" s="156"/>
      <c r="AR27" s="156"/>
      <c r="AS27" s="156">
        <f>AR27-AQ27</f>
        <v>0</v>
      </c>
      <c r="AT27" s="156"/>
      <c r="AU27" s="153"/>
      <c r="AV27" s="153"/>
      <c r="AW27" s="156">
        <f t="shared" si="18"/>
        <v>0</v>
      </c>
      <c r="AX27" s="156"/>
      <c r="AY27" s="153"/>
      <c r="AZ27" s="153"/>
      <c r="BA27" s="156">
        <f t="shared" si="19"/>
        <v>0</v>
      </c>
      <c r="BB27" s="156"/>
      <c r="BC27" s="153"/>
      <c r="BD27" s="153"/>
      <c r="BE27" s="156">
        <f t="shared" si="20"/>
        <v>0</v>
      </c>
      <c r="BF27" s="156"/>
      <c r="BG27" s="153"/>
      <c r="BH27" s="153"/>
      <c r="BI27" s="156">
        <f t="shared" si="21"/>
        <v>0</v>
      </c>
      <c r="BJ27" s="156"/>
      <c r="BK27" s="153"/>
      <c r="BL27" s="153"/>
      <c r="BM27" s="156">
        <f t="shared" si="22"/>
        <v>0</v>
      </c>
      <c r="BN27" s="156"/>
      <c r="BO27" s="153"/>
      <c r="BP27" s="153"/>
      <c r="BQ27" s="156">
        <f t="shared" si="23"/>
        <v>0</v>
      </c>
      <c r="BR27" s="156"/>
      <c r="BS27" s="153"/>
      <c r="BT27" s="153"/>
      <c r="BU27" s="156">
        <f t="shared" si="24"/>
        <v>0</v>
      </c>
      <c r="BV27" s="156"/>
      <c r="BW27" s="153"/>
      <c r="BX27" s="153"/>
      <c r="BY27" s="156">
        <f t="shared" si="25"/>
        <v>0</v>
      </c>
      <c r="BZ27" s="156"/>
      <c r="CA27" s="153"/>
      <c r="CB27" s="153"/>
      <c r="CC27" s="156">
        <f t="shared" si="26"/>
        <v>0</v>
      </c>
      <c r="CD27" s="156"/>
      <c r="CE27" s="153"/>
      <c r="CF27" s="153"/>
      <c r="CG27" s="156">
        <f t="shared" si="27"/>
        <v>0</v>
      </c>
      <c r="CH27" s="156"/>
      <c r="CI27" s="153"/>
      <c r="CJ27" s="153"/>
      <c r="CK27" s="156">
        <f t="shared" si="28"/>
        <v>0</v>
      </c>
      <c r="CL27" s="222"/>
      <c r="CM27" s="222"/>
      <c r="CN27" s="222"/>
      <c r="CO27" s="222">
        <f>CN27-CM27</f>
        <v>0</v>
      </c>
      <c r="CP27" s="222"/>
      <c r="CQ27" s="14"/>
      <c r="CR27" s="14"/>
      <c r="CS27" s="261">
        <f>CR27-CQ27</f>
        <v>0</v>
      </c>
      <c r="CT27" s="262"/>
      <c r="CU27" s="13"/>
      <c r="CV27" s="13"/>
      <c r="CW27" s="261">
        <f t="shared" si="29"/>
        <v>0</v>
      </c>
      <c r="CX27" s="262"/>
      <c r="CY27" s="13"/>
      <c r="CZ27" s="13"/>
      <c r="DA27" s="261">
        <f t="shared" si="30"/>
        <v>0</v>
      </c>
      <c r="DB27" s="262"/>
    </row>
    <row r="28" spans="1:106" ht="14.25" hidden="1" customHeight="1">
      <c r="A28" s="334"/>
      <c r="B28" s="333" t="s">
        <v>320</v>
      </c>
      <c r="C28" s="225"/>
      <c r="D28" s="153">
        <f t="shared" si="31"/>
        <v>0</v>
      </c>
      <c r="E28" s="153">
        <f t="shared" si="31"/>
        <v>0</v>
      </c>
      <c r="F28" s="192">
        <f t="shared" si="6"/>
        <v>0</v>
      </c>
      <c r="G28" s="192" t="e">
        <f t="shared" si="33"/>
        <v>#DIV/0!</v>
      </c>
      <c r="H28" s="153"/>
      <c r="I28" s="153"/>
      <c r="J28" s="156">
        <f t="shared" si="9"/>
        <v>0</v>
      </c>
      <c r="K28" s="156"/>
      <c r="L28" s="153"/>
      <c r="M28" s="153"/>
      <c r="N28" s="156">
        <f t="shared" si="10"/>
        <v>0</v>
      </c>
      <c r="O28" s="156"/>
      <c r="P28" s="153"/>
      <c r="Q28" s="153"/>
      <c r="R28" s="156">
        <f t="shared" si="11"/>
        <v>0</v>
      </c>
      <c r="S28" s="156"/>
      <c r="T28" s="153"/>
      <c r="U28" s="153"/>
      <c r="V28" s="156">
        <f t="shared" si="12"/>
        <v>0</v>
      </c>
      <c r="W28" s="156"/>
      <c r="X28" s="153">
        <f t="shared" si="7"/>
        <v>0</v>
      </c>
      <c r="Y28" s="153">
        <f t="shared" si="7"/>
        <v>0</v>
      </c>
      <c r="Z28" s="156">
        <f t="shared" si="13"/>
        <v>0</v>
      </c>
      <c r="AA28" s="156"/>
      <c r="AB28" s="153"/>
      <c r="AC28" s="153"/>
      <c r="AD28" s="156"/>
      <c r="AE28" s="156"/>
      <c r="AF28" s="153"/>
      <c r="AG28" s="153"/>
      <c r="AH28" s="156">
        <f t="shared" si="15"/>
        <v>0</v>
      </c>
      <c r="AI28" s="153"/>
      <c r="AJ28" s="153"/>
      <c r="AK28" s="156">
        <f t="shared" si="16"/>
        <v>0</v>
      </c>
      <c r="AL28" s="156"/>
      <c r="AM28" s="153"/>
      <c r="AN28" s="153"/>
      <c r="AO28" s="156">
        <f t="shared" si="17"/>
        <v>0</v>
      </c>
      <c r="AP28" s="156"/>
      <c r="AQ28" s="156"/>
      <c r="AR28" s="156"/>
      <c r="AS28" s="156"/>
      <c r="AT28" s="156"/>
      <c r="AU28" s="153"/>
      <c r="AV28" s="153"/>
      <c r="AW28" s="156">
        <f t="shared" si="18"/>
        <v>0</v>
      </c>
      <c r="AX28" s="156"/>
      <c r="AY28" s="153"/>
      <c r="AZ28" s="153"/>
      <c r="BA28" s="156">
        <f t="shared" si="19"/>
        <v>0</v>
      </c>
      <c r="BB28" s="156"/>
      <c r="BC28" s="153"/>
      <c r="BD28" s="153"/>
      <c r="BE28" s="156">
        <f t="shared" si="20"/>
        <v>0</v>
      </c>
      <c r="BF28" s="156"/>
      <c r="BG28" s="153"/>
      <c r="BH28" s="153"/>
      <c r="BI28" s="156">
        <f t="shared" si="21"/>
        <v>0</v>
      </c>
      <c r="BJ28" s="156"/>
      <c r="BK28" s="153"/>
      <c r="BL28" s="153"/>
      <c r="BM28" s="156">
        <f t="shared" si="22"/>
        <v>0</v>
      </c>
      <c r="BN28" s="156"/>
      <c r="BO28" s="153"/>
      <c r="BP28" s="153"/>
      <c r="BQ28" s="156">
        <f t="shared" si="23"/>
        <v>0</v>
      </c>
      <c r="BR28" s="156"/>
      <c r="BS28" s="153"/>
      <c r="BT28" s="153"/>
      <c r="BU28" s="156">
        <f t="shared" si="24"/>
        <v>0</v>
      </c>
      <c r="BV28" s="156"/>
      <c r="BW28" s="153"/>
      <c r="BX28" s="153"/>
      <c r="BY28" s="156">
        <f t="shared" si="25"/>
        <v>0</v>
      </c>
      <c r="BZ28" s="156"/>
      <c r="CA28" s="153"/>
      <c r="CB28" s="153"/>
      <c r="CC28" s="156">
        <f t="shared" si="26"/>
        <v>0</v>
      </c>
      <c r="CD28" s="156"/>
      <c r="CE28" s="153"/>
      <c r="CF28" s="153"/>
      <c r="CG28" s="156">
        <f t="shared" si="27"/>
        <v>0</v>
      </c>
      <c r="CH28" s="156"/>
      <c r="CI28" s="153"/>
      <c r="CJ28" s="153"/>
      <c r="CK28" s="156">
        <f t="shared" si="28"/>
        <v>0</v>
      </c>
      <c r="CL28" s="222"/>
      <c r="CM28" s="222"/>
      <c r="CN28" s="222"/>
      <c r="CO28" s="222"/>
      <c r="CP28" s="222"/>
      <c r="CQ28" s="14"/>
      <c r="CR28" s="14"/>
      <c r="CS28" s="261"/>
      <c r="CT28" s="262"/>
      <c r="CU28" s="13"/>
      <c r="CV28" s="13"/>
      <c r="CW28" s="261">
        <f t="shared" si="29"/>
        <v>0</v>
      </c>
      <c r="CX28" s="262"/>
      <c r="CY28" s="13"/>
      <c r="CZ28" s="13"/>
      <c r="DA28" s="261">
        <f t="shared" si="30"/>
        <v>0</v>
      </c>
      <c r="DB28" s="262"/>
    </row>
    <row r="29" spans="1:106" ht="14.25" hidden="1" customHeight="1">
      <c r="A29" s="334"/>
      <c r="B29" s="333" t="s">
        <v>321</v>
      </c>
      <c r="C29" s="225"/>
      <c r="D29" s="153">
        <f t="shared" si="31"/>
        <v>0</v>
      </c>
      <c r="E29" s="153">
        <f t="shared" si="31"/>
        <v>0</v>
      </c>
      <c r="F29" s="192">
        <f t="shared" si="6"/>
        <v>0</v>
      </c>
      <c r="G29" s="192" t="e">
        <f t="shared" si="33"/>
        <v>#DIV/0!</v>
      </c>
      <c r="H29" s="153"/>
      <c r="I29" s="153"/>
      <c r="J29" s="156">
        <f t="shared" si="9"/>
        <v>0</v>
      </c>
      <c r="K29" s="156"/>
      <c r="L29" s="153"/>
      <c r="M29" s="153"/>
      <c r="N29" s="156">
        <f t="shared" si="10"/>
        <v>0</v>
      </c>
      <c r="O29" s="156"/>
      <c r="P29" s="153"/>
      <c r="Q29" s="153"/>
      <c r="R29" s="156">
        <f t="shared" si="11"/>
        <v>0</v>
      </c>
      <c r="S29" s="156"/>
      <c r="T29" s="153"/>
      <c r="U29" s="153"/>
      <c r="V29" s="156">
        <f t="shared" si="12"/>
        <v>0</v>
      </c>
      <c r="W29" s="156"/>
      <c r="X29" s="153">
        <f t="shared" si="7"/>
        <v>0</v>
      </c>
      <c r="Y29" s="153">
        <f t="shared" si="7"/>
        <v>0</v>
      </c>
      <c r="Z29" s="156">
        <f t="shared" si="13"/>
        <v>0</v>
      </c>
      <c r="AA29" s="156"/>
      <c r="AB29" s="153"/>
      <c r="AC29" s="153"/>
      <c r="AD29" s="156">
        <f>AC29-AB29</f>
        <v>0</v>
      </c>
      <c r="AE29" s="156"/>
      <c r="AF29" s="153"/>
      <c r="AG29" s="153"/>
      <c r="AH29" s="156">
        <f t="shared" si="15"/>
        <v>0</v>
      </c>
      <c r="AI29" s="153"/>
      <c r="AJ29" s="153"/>
      <c r="AK29" s="156">
        <f t="shared" si="16"/>
        <v>0</v>
      </c>
      <c r="AL29" s="156"/>
      <c r="AM29" s="153"/>
      <c r="AN29" s="153"/>
      <c r="AO29" s="156">
        <f t="shared" si="17"/>
        <v>0</v>
      </c>
      <c r="AP29" s="156"/>
      <c r="AQ29" s="156"/>
      <c r="AR29" s="156"/>
      <c r="AS29" s="156">
        <f>AR29-AQ29</f>
        <v>0</v>
      </c>
      <c r="AT29" s="156"/>
      <c r="AU29" s="153"/>
      <c r="AV29" s="153"/>
      <c r="AW29" s="156">
        <f t="shared" si="18"/>
        <v>0</v>
      </c>
      <c r="AX29" s="156"/>
      <c r="AY29" s="153"/>
      <c r="AZ29" s="153"/>
      <c r="BA29" s="156">
        <f t="shared" si="19"/>
        <v>0</v>
      </c>
      <c r="BB29" s="156"/>
      <c r="BC29" s="153"/>
      <c r="BD29" s="153"/>
      <c r="BE29" s="156">
        <f t="shared" si="20"/>
        <v>0</v>
      </c>
      <c r="BF29" s="156"/>
      <c r="BG29" s="153"/>
      <c r="BH29" s="153"/>
      <c r="BI29" s="156">
        <f t="shared" si="21"/>
        <v>0</v>
      </c>
      <c r="BJ29" s="156"/>
      <c r="BK29" s="153"/>
      <c r="BL29" s="153"/>
      <c r="BM29" s="156">
        <f t="shared" si="22"/>
        <v>0</v>
      </c>
      <c r="BN29" s="156"/>
      <c r="BO29" s="153"/>
      <c r="BP29" s="153"/>
      <c r="BQ29" s="156">
        <f t="shared" si="23"/>
        <v>0</v>
      </c>
      <c r="BR29" s="156"/>
      <c r="BS29" s="153"/>
      <c r="BT29" s="153"/>
      <c r="BU29" s="156">
        <f t="shared" si="24"/>
        <v>0</v>
      </c>
      <c r="BV29" s="156"/>
      <c r="BW29" s="153"/>
      <c r="BX29" s="153"/>
      <c r="BY29" s="156">
        <f t="shared" si="25"/>
        <v>0</v>
      </c>
      <c r="BZ29" s="156"/>
      <c r="CA29" s="153"/>
      <c r="CB29" s="153"/>
      <c r="CC29" s="156">
        <f t="shared" si="26"/>
        <v>0</v>
      </c>
      <c r="CD29" s="156"/>
      <c r="CE29" s="153"/>
      <c r="CF29" s="153"/>
      <c r="CG29" s="156">
        <f t="shared" si="27"/>
        <v>0</v>
      </c>
      <c r="CH29" s="156"/>
      <c r="CI29" s="153"/>
      <c r="CJ29" s="153"/>
      <c r="CK29" s="156">
        <f t="shared" si="28"/>
        <v>0</v>
      </c>
      <c r="CL29" s="222"/>
      <c r="CM29" s="222"/>
      <c r="CN29" s="222"/>
      <c r="CO29" s="222">
        <f>CN29-CM29</f>
        <v>0</v>
      </c>
      <c r="CP29" s="222"/>
      <c r="CQ29" s="14"/>
      <c r="CR29" s="14"/>
      <c r="CS29" s="261">
        <f>CR29-CQ29</f>
        <v>0</v>
      </c>
      <c r="CT29" s="262"/>
      <c r="CU29" s="13"/>
      <c r="CV29" s="13"/>
      <c r="CW29" s="261">
        <f t="shared" si="29"/>
        <v>0</v>
      </c>
      <c r="CX29" s="262"/>
      <c r="CY29" s="13"/>
      <c r="CZ29" s="13"/>
      <c r="DA29" s="261">
        <f t="shared" si="30"/>
        <v>0</v>
      </c>
      <c r="DB29" s="262"/>
    </row>
    <row r="30" spans="1:106" ht="14.25" hidden="1" customHeight="1">
      <c r="A30" s="334"/>
      <c r="B30" s="333" t="s">
        <v>322</v>
      </c>
      <c r="C30" s="225"/>
      <c r="D30" s="153">
        <f t="shared" si="31"/>
        <v>0</v>
      </c>
      <c r="E30" s="153">
        <f t="shared" si="31"/>
        <v>0</v>
      </c>
      <c r="F30" s="192">
        <f t="shared" si="6"/>
        <v>0</v>
      </c>
      <c r="G30" s="192" t="e">
        <f t="shared" si="33"/>
        <v>#DIV/0!</v>
      </c>
      <c r="H30" s="153"/>
      <c r="I30" s="153"/>
      <c r="J30" s="156">
        <f t="shared" si="9"/>
        <v>0</v>
      </c>
      <c r="K30" s="156"/>
      <c r="L30" s="153"/>
      <c r="M30" s="153"/>
      <c r="N30" s="156">
        <f t="shared" si="10"/>
        <v>0</v>
      </c>
      <c r="O30" s="156"/>
      <c r="P30" s="153"/>
      <c r="Q30" s="153"/>
      <c r="R30" s="156">
        <f t="shared" si="11"/>
        <v>0</v>
      </c>
      <c r="S30" s="156"/>
      <c r="T30" s="153"/>
      <c r="U30" s="153"/>
      <c r="V30" s="156">
        <f t="shared" si="12"/>
        <v>0</v>
      </c>
      <c r="W30" s="156"/>
      <c r="X30" s="153">
        <f t="shared" si="7"/>
        <v>0</v>
      </c>
      <c r="Y30" s="153">
        <f t="shared" si="7"/>
        <v>0</v>
      </c>
      <c r="Z30" s="156">
        <f t="shared" si="13"/>
        <v>0</v>
      </c>
      <c r="AA30" s="156"/>
      <c r="AB30" s="153"/>
      <c r="AC30" s="153"/>
      <c r="AD30" s="156"/>
      <c r="AE30" s="156"/>
      <c r="AF30" s="153"/>
      <c r="AG30" s="153"/>
      <c r="AH30" s="156">
        <f t="shared" si="15"/>
        <v>0</v>
      </c>
      <c r="AI30" s="153"/>
      <c r="AJ30" s="153"/>
      <c r="AK30" s="156">
        <f t="shared" si="16"/>
        <v>0</v>
      </c>
      <c r="AL30" s="156"/>
      <c r="AM30" s="153"/>
      <c r="AN30" s="153"/>
      <c r="AO30" s="156">
        <f t="shared" si="17"/>
        <v>0</v>
      </c>
      <c r="AP30" s="156"/>
      <c r="AQ30" s="156"/>
      <c r="AR30" s="156"/>
      <c r="AS30" s="156"/>
      <c r="AT30" s="156"/>
      <c r="AU30" s="153"/>
      <c r="AV30" s="153"/>
      <c r="AW30" s="156">
        <f t="shared" si="18"/>
        <v>0</v>
      </c>
      <c r="AX30" s="156"/>
      <c r="AY30" s="153"/>
      <c r="AZ30" s="153"/>
      <c r="BA30" s="156">
        <f t="shared" si="19"/>
        <v>0</v>
      </c>
      <c r="BB30" s="156"/>
      <c r="BC30" s="153"/>
      <c r="BD30" s="153"/>
      <c r="BE30" s="156">
        <f t="shared" si="20"/>
        <v>0</v>
      </c>
      <c r="BF30" s="156"/>
      <c r="BG30" s="153"/>
      <c r="BH30" s="153"/>
      <c r="BI30" s="156">
        <f t="shared" si="21"/>
        <v>0</v>
      </c>
      <c r="BJ30" s="156"/>
      <c r="BK30" s="153"/>
      <c r="BL30" s="153"/>
      <c r="BM30" s="156">
        <f t="shared" si="22"/>
        <v>0</v>
      </c>
      <c r="BN30" s="156"/>
      <c r="BO30" s="153"/>
      <c r="BP30" s="153"/>
      <c r="BQ30" s="156">
        <f t="shared" si="23"/>
        <v>0</v>
      </c>
      <c r="BR30" s="156"/>
      <c r="BS30" s="153"/>
      <c r="BT30" s="153"/>
      <c r="BU30" s="156">
        <f t="shared" si="24"/>
        <v>0</v>
      </c>
      <c r="BV30" s="156"/>
      <c r="BW30" s="153"/>
      <c r="BX30" s="153"/>
      <c r="BY30" s="156">
        <f t="shared" si="25"/>
        <v>0</v>
      </c>
      <c r="BZ30" s="156"/>
      <c r="CA30" s="153"/>
      <c r="CB30" s="153"/>
      <c r="CC30" s="156">
        <f t="shared" si="26"/>
        <v>0</v>
      </c>
      <c r="CD30" s="156"/>
      <c r="CE30" s="153"/>
      <c r="CF30" s="153"/>
      <c r="CG30" s="156">
        <f t="shared" si="27"/>
        <v>0</v>
      </c>
      <c r="CH30" s="156"/>
      <c r="CI30" s="153"/>
      <c r="CJ30" s="153"/>
      <c r="CK30" s="156">
        <f t="shared" si="28"/>
        <v>0</v>
      </c>
      <c r="CL30" s="222"/>
      <c r="CM30" s="222"/>
      <c r="CN30" s="222"/>
      <c r="CO30" s="222"/>
      <c r="CP30" s="222"/>
      <c r="CQ30" s="14"/>
      <c r="CR30" s="14"/>
      <c r="CS30" s="261"/>
      <c r="CT30" s="262"/>
      <c r="CU30" s="13"/>
      <c r="CV30" s="13"/>
      <c r="CW30" s="261">
        <f t="shared" si="29"/>
        <v>0</v>
      </c>
      <c r="CX30" s="262"/>
      <c r="CY30" s="13"/>
      <c r="CZ30" s="13"/>
      <c r="DA30" s="261">
        <f t="shared" si="30"/>
        <v>0</v>
      </c>
      <c r="DB30" s="262"/>
    </row>
    <row r="31" spans="1:106" ht="14.25" hidden="1" customHeight="1">
      <c r="A31" s="334"/>
      <c r="B31" s="334" t="s">
        <v>541</v>
      </c>
      <c r="C31" s="221"/>
      <c r="D31" s="153">
        <f t="shared" si="31"/>
        <v>0</v>
      </c>
      <c r="E31" s="153">
        <f t="shared" si="31"/>
        <v>0</v>
      </c>
      <c r="F31" s="192">
        <f t="shared" si="6"/>
        <v>0</v>
      </c>
      <c r="G31" s="192" t="e">
        <f t="shared" si="33"/>
        <v>#DIV/0!</v>
      </c>
      <c r="H31" s="153"/>
      <c r="I31" s="153"/>
      <c r="J31" s="156">
        <f t="shared" si="9"/>
        <v>0</v>
      </c>
      <c r="K31" s="156"/>
      <c r="L31" s="153"/>
      <c r="M31" s="153"/>
      <c r="N31" s="156">
        <f t="shared" si="10"/>
        <v>0</v>
      </c>
      <c r="O31" s="156"/>
      <c r="P31" s="153"/>
      <c r="Q31" s="153"/>
      <c r="R31" s="156">
        <f t="shared" si="11"/>
        <v>0</v>
      </c>
      <c r="S31" s="156"/>
      <c r="T31" s="153"/>
      <c r="U31" s="153"/>
      <c r="V31" s="156">
        <f t="shared" si="12"/>
        <v>0</v>
      </c>
      <c r="W31" s="156"/>
      <c r="X31" s="153">
        <f t="shared" si="7"/>
        <v>0</v>
      </c>
      <c r="Y31" s="153">
        <f t="shared" si="7"/>
        <v>0</v>
      </c>
      <c r="Z31" s="156">
        <f t="shared" si="13"/>
        <v>0</v>
      </c>
      <c r="AA31" s="156"/>
      <c r="AB31" s="153"/>
      <c r="AC31" s="153"/>
      <c r="AD31" s="156">
        <f>AC31-AB31</f>
        <v>0</v>
      </c>
      <c r="AE31" s="156"/>
      <c r="AF31" s="153"/>
      <c r="AG31" s="153"/>
      <c r="AH31" s="156">
        <f t="shared" si="15"/>
        <v>0</v>
      </c>
      <c r="AI31" s="153"/>
      <c r="AJ31" s="153"/>
      <c r="AK31" s="156">
        <f t="shared" si="16"/>
        <v>0</v>
      </c>
      <c r="AL31" s="156"/>
      <c r="AM31" s="153"/>
      <c r="AN31" s="153"/>
      <c r="AO31" s="156">
        <f t="shared" si="17"/>
        <v>0</v>
      </c>
      <c r="AP31" s="156"/>
      <c r="AQ31" s="156"/>
      <c r="AR31" s="156"/>
      <c r="AS31" s="156">
        <f>AR31-AQ31</f>
        <v>0</v>
      </c>
      <c r="AT31" s="156"/>
      <c r="AU31" s="153"/>
      <c r="AV31" s="153"/>
      <c r="AW31" s="156">
        <f t="shared" si="18"/>
        <v>0</v>
      </c>
      <c r="AX31" s="156"/>
      <c r="AY31" s="153"/>
      <c r="AZ31" s="153"/>
      <c r="BA31" s="156">
        <f t="shared" si="19"/>
        <v>0</v>
      </c>
      <c r="BB31" s="156"/>
      <c r="BC31" s="153"/>
      <c r="BD31" s="153"/>
      <c r="BE31" s="156">
        <f t="shared" si="20"/>
        <v>0</v>
      </c>
      <c r="BF31" s="156"/>
      <c r="BG31" s="153"/>
      <c r="BH31" s="153"/>
      <c r="BI31" s="156">
        <f t="shared" si="21"/>
        <v>0</v>
      </c>
      <c r="BJ31" s="156"/>
      <c r="BK31" s="153"/>
      <c r="BL31" s="153"/>
      <c r="BM31" s="156">
        <f t="shared" si="22"/>
        <v>0</v>
      </c>
      <c r="BN31" s="156"/>
      <c r="BO31" s="153"/>
      <c r="BP31" s="153"/>
      <c r="BQ31" s="156">
        <f t="shared" si="23"/>
        <v>0</v>
      </c>
      <c r="BR31" s="156"/>
      <c r="BS31" s="153"/>
      <c r="BT31" s="153"/>
      <c r="BU31" s="156">
        <f t="shared" si="24"/>
        <v>0</v>
      </c>
      <c r="BV31" s="156"/>
      <c r="BW31" s="153"/>
      <c r="BX31" s="153"/>
      <c r="BY31" s="156">
        <f t="shared" si="25"/>
        <v>0</v>
      </c>
      <c r="BZ31" s="156"/>
      <c r="CA31" s="153"/>
      <c r="CB31" s="153"/>
      <c r="CC31" s="156">
        <f t="shared" si="26"/>
        <v>0</v>
      </c>
      <c r="CD31" s="156"/>
      <c r="CE31" s="153"/>
      <c r="CF31" s="153"/>
      <c r="CG31" s="156">
        <f t="shared" si="27"/>
        <v>0</v>
      </c>
      <c r="CH31" s="156"/>
      <c r="CI31" s="153"/>
      <c r="CJ31" s="153"/>
      <c r="CK31" s="156">
        <f t="shared" si="28"/>
        <v>0</v>
      </c>
      <c r="CL31" s="222"/>
      <c r="CM31" s="222"/>
      <c r="CN31" s="222"/>
      <c r="CO31" s="222">
        <f>CN31-CM31</f>
        <v>0</v>
      </c>
      <c r="CP31" s="222"/>
      <c r="CQ31" s="14"/>
      <c r="CR31" s="14"/>
      <c r="CS31" s="261">
        <f>CR31-CQ31</f>
        <v>0</v>
      </c>
      <c r="CT31" s="262"/>
      <c r="CU31" s="13"/>
      <c r="CV31" s="13"/>
      <c r="CW31" s="261">
        <f t="shared" si="29"/>
        <v>0</v>
      </c>
      <c r="CX31" s="262"/>
      <c r="CY31" s="13"/>
      <c r="CZ31" s="13"/>
      <c r="DA31" s="261">
        <f t="shared" si="30"/>
        <v>0</v>
      </c>
      <c r="DB31" s="262"/>
    </row>
    <row r="32" spans="1:106" ht="14.25" hidden="1" customHeight="1">
      <c r="A32" s="334"/>
      <c r="B32" s="334" t="s">
        <v>323</v>
      </c>
      <c r="C32" s="153"/>
      <c r="D32" s="153">
        <f t="shared" si="31"/>
        <v>0</v>
      </c>
      <c r="E32" s="153">
        <f t="shared" si="31"/>
        <v>0</v>
      </c>
      <c r="F32" s="192">
        <f t="shared" si="6"/>
        <v>0</v>
      </c>
      <c r="G32" s="192" t="e">
        <f t="shared" si="33"/>
        <v>#DIV/0!</v>
      </c>
      <c r="H32" s="153"/>
      <c r="I32" s="153"/>
      <c r="J32" s="156">
        <f t="shared" si="9"/>
        <v>0</v>
      </c>
      <c r="K32" s="156"/>
      <c r="L32" s="153"/>
      <c r="M32" s="153"/>
      <c r="N32" s="156">
        <f t="shared" si="10"/>
        <v>0</v>
      </c>
      <c r="O32" s="156"/>
      <c r="P32" s="153"/>
      <c r="Q32" s="153"/>
      <c r="R32" s="156">
        <f t="shared" si="11"/>
        <v>0</v>
      </c>
      <c r="S32" s="156"/>
      <c r="T32" s="153"/>
      <c r="U32" s="153"/>
      <c r="V32" s="156">
        <f t="shared" si="12"/>
        <v>0</v>
      </c>
      <c r="W32" s="156"/>
      <c r="X32" s="153">
        <f t="shared" si="7"/>
        <v>0</v>
      </c>
      <c r="Y32" s="153">
        <f t="shared" si="7"/>
        <v>0</v>
      </c>
      <c r="Z32" s="156">
        <f t="shared" si="13"/>
        <v>0</v>
      </c>
      <c r="AA32" s="156"/>
      <c r="AB32" s="153"/>
      <c r="AC32" s="153"/>
      <c r="AD32" s="156">
        <f>AC32-AB32</f>
        <v>0</v>
      </c>
      <c r="AE32" s="156"/>
      <c r="AF32" s="153"/>
      <c r="AG32" s="153"/>
      <c r="AH32" s="156">
        <f t="shared" si="15"/>
        <v>0</v>
      </c>
      <c r="AI32" s="153"/>
      <c r="AJ32" s="153"/>
      <c r="AK32" s="156">
        <f t="shared" si="16"/>
        <v>0</v>
      </c>
      <c r="AL32" s="156"/>
      <c r="AM32" s="153"/>
      <c r="AN32" s="153"/>
      <c r="AO32" s="156">
        <f t="shared" si="17"/>
        <v>0</v>
      </c>
      <c r="AP32" s="156"/>
      <c r="AQ32" s="156"/>
      <c r="AR32" s="156"/>
      <c r="AS32" s="156">
        <f>AR32-AQ32</f>
        <v>0</v>
      </c>
      <c r="AT32" s="156"/>
      <c r="AU32" s="153"/>
      <c r="AV32" s="153"/>
      <c r="AW32" s="156">
        <f t="shared" si="18"/>
        <v>0</v>
      </c>
      <c r="AX32" s="156"/>
      <c r="AY32" s="153"/>
      <c r="AZ32" s="153"/>
      <c r="BA32" s="156">
        <f t="shared" si="19"/>
        <v>0</v>
      </c>
      <c r="BB32" s="156"/>
      <c r="BC32" s="153"/>
      <c r="BD32" s="153"/>
      <c r="BE32" s="156">
        <f t="shared" si="20"/>
        <v>0</v>
      </c>
      <c r="BF32" s="156"/>
      <c r="BG32" s="153"/>
      <c r="BH32" s="153"/>
      <c r="BI32" s="156">
        <f t="shared" si="21"/>
        <v>0</v>
      </c>
      <c r="BJ32" s="156"/>
      <c r="BK32" s="153"/>
      <c r="BL32" s="153"/>
      <c r="BM32" s="156">
        <f t="shared" si="22"/>
        <v>0</v>
      </c>
      <c r="BN32" s="156"/>
      <c r="BO32" s="153"/>
      <c r="BP32" s="153"/>
      <c r="BQ32" s="156">
        <f t="shared" si="23"/>
        <v>0</v>
      </c>
      <c r="BR32" s="156"/>
      <c r="BS32" s="153"/>
      <c r="BT32" s="153"/>
      <c r="BU32" s="156">
        <f t="shared" si="24"/>
        <v>0</v>
      </c>
      <c r="BV32" s="156"/>
      <c r="BW32" s="153"/>
      <c r="BX32" s="153"/>
      <c r="BY32" s="156">
        <f t="shared" si="25"/>
        <v>0</v>
      </c>
      <c r="BZ32" s="156"/>
      <c r="CA32" s="153"/>
      <c r="CB32" s="153"/>
      <c r="CC32" s="156">
        <f t="shared" si="26"/>
        <v>0</v>
      </c>
      <c r="CD32" s="156"/>
      <c r="CE32" s="153"/>
      <c r="CF32" s="153"/>
      <c r="CG32" s="156">
        <f t="shared" si="27"/>
        <v>0</v>
      </c>
      <c r="CH32" s="156"/>
      <c r="CI32" s="153"/>
      <c r="CJ32" s="153"/>
      <c r="CK32" s="156">
        <f t="shared" si="28"/>
        <v>0</v>
      </c>
      <c r="CL32" s="222"/>
      <c r="CM32" s="222"/>
      <c r="CN32" s="222"/>
      <c r="CO32" s="222">
        <f>CN32-CM32</f>
        <v>0</v>
      </c>
      <c r="CP32" s="222"/>
      <c r="CQ32" s="14"/>
      <c r="CR32" s="14"/>
      <c r="CS32" s="261">
        <f>CR32-CQ32</f>
        <v>0</v>
      </c>
      <c r="CT32" s="262" t="e">
        <f>CR32/CQ32</f>
        <v>#DIV/0!</v>
      </c>
      <c r="CU32" s="13"/>
      <c r="CV32" s="13"/>
      <c r="CW32" s="261">
        <f t="shared" si="29"/>
        <v>0</v>
      </c>
      <c r="CX32" s="262"/>
      <c r="CY32" s="13"/>
      <c r="CZ32" s="13"/>
      <c r="DA32" s="261">
        <f t="shared" si="30"/>
        <v>0</v>
      </c>
      <c r="DB32" s="262"/>
    </row>
    <row r="33" spans="1:106" ht="14.25" hidden="1" customHeight="1">
      <c r="A33" s="334"/>
      <c r="B33" s="334" t="s">
        <v>542</v>
      </c>
      <c r="C33" s="221"/>
      <c r="D33" s="153">
        <f t="shared" si="31"/>
        <v>0</v>
      </c>
      <c r="E33" s="153">
        <f>I33+M33+Q33+U33+Y33+AJ33+AN33+AR33+AV33+BD33+BH33+BX33+CF33+CJ33+CN33+CR33+CV33+CZ33+BL33+BT33</f>
        <v>0</v>
      </c>
      <c r="F33" s="156">
        <f t="shared" si="6"/>
        <v>0</v>
      </c>
      <c r="G33" s="192" t="e">
        <f t="shared" si="33"/>
        <v>#DIV/0!</v>
      </c>
      <c r="H33" s="153"/>
      <c r="I33" s="153"/>
      <c r="J33" s="156">
        <f t="shared" si="9"/>
        <v>0</v>
      </c>
      <c r="K33" s="156"/>
      <c r="L33" s="153"/>
      <c r="M33" s="153"/>
      <c r="N33" s="156">
        <f t="shared" si="10"/>
        <v>0</v>
      </c>
      <c r="O33" s="156"/>
      <c r="P33" s="153"/>
      <c r="Q33" s="153"/>
      <c r="R33" s="156">
        <f t="shared" si="11"/>
        <v>0</v>
      </c>
      <c r="S33" s="156"/>
      <c r="T33" s="153"/>
      <c r="U33" s="153"/>
      <c r="V33" s="156">
        <f t="shared" si="12"/>
        <v>0</v>
      </c>
      <c r="W33" s="156"/>
      <c r="X33" s="153">
        <f t="shared" si="7"/>
        <v>0</v>
      </c>
      <c r="Y33" s="153">
        <f t="shared" si="7"/>
        <v>0</v>
      </c>
      <c r="Z33" s="156">
        <f t="shared" si="13"/>
        <v>0</v>
      </c>
      <c r="AA33" s="156"/>
      <c r="AB33" s="153"/>
      <c r="AC33" s="153"/>
      <c r="AD33" s="156">
        <f>AC33-AB33</f>
        <v>0</v>
      </c>
      <c r="AE33" s="156"/>
      <c r="AF33" s="153"/>
      <c r="AG33" s="153"/>
      <c r="AH33" s="156">
        <f t="shared" si="15"/>
        <v>0</v>
      </c>
      <c r="AI33" s="153"/>
      <c r="AJ33" s="153"/>
      <c r="AK33" s="156">
        <f t="shared" si="16"/>
        <v>0</v>
      </c>
      <c r="AL33" s="156"/>
      <c r="AM33" s="153"/>
      <c r="AN33" s="153"/>
      <c r="AO33" s="156">
        <f t="shared" si="17"/>
        <v>0</v>
      </c>
      <c r="AP33" s="156"/>
      <c r="AQ33" s="156"/>
      <c r="AR33" s="156"/>
      <c r="AS33" s="156">
        <f>AR33-AQ33</f>
        <v>0</v>
      </c>
      <c r="AT33" s="156"/>
      <c r="AU33" s="153"/>
      <c r="AV33" s="153"/>
      <c r="AW33" s="156">
        <f t="shared" si="18"/>
        <v>0</v>
      </c>
      <c r="AX33" s="156"/>
      <c r="AY33" s="153"/>
      <c r="AZ33" s="153"/>
      <c r="BA33" s="156">
        <f t="shared" si="19"/>
        <v>0</v>
      </c>
      <c r="BB33" s="156"/>
      <c r="BC33" s="153"/>
      <c r="BD33" s="153"/>
      <c r="BE33" s="156">
        <f t="shared" si="20"/>
        <v>0</v>
      </c>
      <c r="BF33" s="156"/>
      <c r="BG33" s="153"/>
      <c r="BH33" s="153"/>
      <c r="BI33" s="156">
        <f t="shared" si="21"/>
        <v>0</v>
      </c>
      <c r="BJ33" s="156"/>
      <c r="BK33" s="153"/>
      <c r="BL33" s="153"/>
      <c r="BM33" s="156">
        <f t="shared" si="22"/>
        <v>0</v>
      </c>
      <c r="BN33" s="156"/>
      <c r="BO33" s="153"/>
      <c r="BP33" s="153"/>
      <c r="BQ33" s="156">
        <f t="shared" si="23"/>
        <v>0</v>
      </c>
      <c r="BR33" s="156"/>
      <c r="BS33" s="153"/>
      <c r="BT33" s="153"/>
      <c r="BU33" s="156">
        <f t="shared" si="24"/>
        <v>0</v>
      </c>
      <c r="BV33" s="156"/>
      <c r="BW33" s="153"/>
      <c r="BX33" s="153"/>
      <c r="BY33" s="156">
        <f t="shared" si="25"/>
        <v>0</v>
      </c>
      <c r="BZ33" s="156"/>
      <c r="CA33" s="153"/>
      <c r="CB33" s="153"/>
      <c r="CC33" s="156">
        <f t="shared" si="26"/>
        <v>0</v>
      </c>
      <c r="CD33" s="156"/>
      <c r="CE33" s="153"/>
      <c r="CF33" s="153"/>
      <c r="CG33" s="156">
        <f t="shared" si="27"/>
        <v>0</v>
      </c>
      <c r="CH33" s="156"/>
      <c r="CI33" s="153"/>
      <c r="CJ33" s="153"/>
      <c r="CK33" s="156">
        <f t="shared" si="28"/>
        <v>0</v>
      </c>
      <c r="CL33" s="222"/>
      <c r="CM33" s="222"/>
      <c r="CN33" s="222"/>
      <c r="CO33" s="222">
        <f>CN33-CM33</f>
        <v>0</v>
      </c>
      <c r="CP33" s="222"/>
      <c r="CQ33" s="14"/>
      <c r="CR33" s="14"/>
      <c r="CS33" s="261">
        <f>CR33-CQ33</f>
        <v>0</v>
      </c>
      <c r="CT33" s="262" t="e">
        <f>CR33/CQ33</f>
        <v>#DIV/0!</v>
      </c>
      <c r="CU33" s="13"/>
      <c r="CV33" s="13"/>
      <c r="CW33" s="261">
        <f t="shared" si="29"/>
        <v>0</v>
      </c>
      <c r="CX33" s="262"/>
      <c r="CY33" s="13"/>
      <c r="CZ33" s="13"/>
      <c r="DA33" s="261">
        <f t="shared" si="30"/>
        <v>0</v>
      </c>
      <c r="DB33" s="262"/>
    </row>
    <row r="34" spans="1:106" s="326" customFormat="1" ht="14.25" customHeight="1">
      <c r="A34" s="369" t="s">
        <v>324</v>
      </c>
      <c r="B34" s="330" t="s">
        <v>325</v>
      </c>
      <c r="C34" s="329">
        <f>SUM(C36:C70)</f>
        <v>99.899999999999991</v>
      </c>
      <c r="D34" s="193">
        <f>SUM(D36:D70)</f>
        <v>147.92899999999997</v>
      </c>
      <c r="E34" s="193">
        <f>SUM(E36:E70)</f>
        <v>205.39869999999996</v>
      </c>
      <c r="F34" s="328">
        <f>E34-D34</f>
        <v>57.469699999999989</v>
      </c>
      <c r="G34" s="328">
        <f>E34/D34</f>
        <v>1.3884951564601937</v>
      </c>
      <c r="H34" s="193">
        <f>SUM(H36:H70)</f>
        <v>55.734999999999999</v>
      </c>
      <c r="I34" s="193">
        <f>SUM(I36:I70)</f>
        <v>97.855000000000004</v>
      </c>
      <c r="J34" s="156">
        <f t="shared" si="9"/>
        <v>42.120000000000005</v>
      </c>
      <c r="K34" s="156"/>
      <c r="L34" s="193">
        <f>SUM(L36:L70)</f>
        <v>7.9660000000000011</v>
      </c>
      <c r="M34" s="193">
        <f>SUM(M36:M70)</f>
        <v>0.28299999999999997</v>
      </c>
      <c r="N34" s="226">
        <f t="shared" si="10"/>
        <v>-7.6830000000000007</v>
      </c>
      <c r="O34" s="226"/>
      <c r="P34" s="193">
        <f>SUM(P36:P70)</f>
        <v>0</v>
      </c>
      <c r="Q34" s="193">
        <f>SUM(Q36:Q70)</f>
        <v>0</v>
      </c>
      <c r="R34" s="226">
        <f t="shared" si="11"/>
        <v>0</v>
      </c>
      <c r="S34" s="226"/>
      <c r="T34" s="193">
        <f>SUM(T36:T70)</f>
        <v>0</v>
      </c>
      <c r="U34" s="193">
        <f>SUM(U36:U70)</f>
        <v>0</v>
      </c>
      <c r="V34" s="226">
        <f t="shared" si="12"/>
        <v>0</v>
      </c>
      <c r="W34" s="226"/>
      <c r="X34" s="193">
        <f t="shared" si="7"/>
        <v>0</v>
      </c>
      <c r="Y34" s="193">
        <f t="shared" si="7"/>
        <v>0</v>
      </c>
      <c r="Z34" s="226">
        <f t="shared" si="13"/>
        <v>0</v>
      </c>
      <c r="AA34" s="226"/>
      <c r="AB34" s="193">
        <f>SUM(AB36:AB70)</f>
        <v>0</v>
      </c>
      <c r="AC34" s="193">
        <f>SUM(AC36:AC70)</f>
        <v>0</v>
      </c>
      <c r="AD34" s="226">
        <f>AC34-AB34</f>
        <v>0</v>
      </c>
      <c r="AE34" s="226" t="e">
        <f>AC34/AB34</f>
        <v>#DIV/0!</v>
      </c>
      <c r="AF34" s="193">
        <f>SUM(AF36:AF70)</f>
        <v>0</v>
      </c>
      <c r="AG34" s="193">
        <f>SUM(AG36:AG70)</f>
        <v>0</v>
      </c>
      <c r="AH34" s="226">
        <f t="shared" si="15"/>
        <v>0</v>
      </c>
      <c r="AI34" s="193">
        <f>SUM(AI36:AI70)</f>
        <v>0</v>
      </c>
      <c r="AJ34" s="193">
        <f>SUM(AJ36:AJ70)</f>
        <v>0</v>
      </c>
      <c r="AK34" s="226">
        <f t="shared" si="16"/>
        <v>0</v>
      </c>
      <c r="AL34" s="226"/>
      <c r="AM34" s="193">
        <f>SUM(AM36:AM70)</f>
        <v>0</v>
      </c>
      <c r="AN34" s="193">
        <f>SUM(AN36:AN70)</f>
        <v>0</v>
      </c>
      <c r="AO34" s="226">
        <f t="shared" si="17"/>
        <v>0</v>
      </c>
      <c r="AP34" s="226"/>
      <c r="AQ34" s="193">
        <f>SUM(AQ36:AQ70)</f>
        <v>0</v>
      </c>
      <c r="AR34" s="193">
        <f>SUM(AR36:AR70)</f>
        <v>0</v>
      </c>
      <c r="AS34" s="226">
        <f>AR34-AQ34</f>
        <v>0</v>
      </c>
      <c r="AT34" s="226"/>
      <c r="AU34" s="193">
        <f>SUM(AU36:AU70)</f>
        <v>0</v>
      </c>
      <c r="AV34" s="193">
        <f>SUM(AV36:AV70)</f>
        <v>0</v>
      </c>
      <c r="AW34" s="226">
        <f t="shared" si="18"/>
        <v>0</v>
      </c>
      <c r="AX34" s="226"/>
      <c r="AY34" s="193">
        <f>SUM(AY36:AY70)</f>
        <v>0</v>
      </c>
      <c r="AZ34" s="193">
        <f>SUM(AZ36:AZ70)</f>
        <v>0</v>
      </c>
      <c r="BA34" s="226">
        <f t="shared" si="19"/>
        <v>0</v>
      </c>
      <c r="BB34" s="226"/>
      <c r="BC34" s="193">
        <f>SUM(BC36:BC70)</f>
        <v>0</v>
      </c>
      <c r="BD34" s="193">
        <f>SUM(BD36:BD70)</f>
        <v>0</v>
      </c>
      <c r="BE34" s="226">
        <f t="shared" si="20"/>
        <v>0</v>
      </c>
      <c r="BF34" s="226"/>
      <c r="BG34" s="193">
        <f>SUM(BG36:BG70)</f>
        <v>0</v>
      </c>
      <c r="BH34" s="193">
        <f>SUM(BH36:BH70)</f>
        <v>0</v>
      </c>
      <c r="BI34" s="226">
        <f t="shared" si="21"/>
        <v>0</v>
      </c>
      <c r="BJ34" s="226"/>
      <c r="BK34" s="193">
        <f>SUM(BK36:BK70)</f>
        <v>84.228000000000009</v>
      </c>
      <c r="BL34" s="193">
        <f>SUM(BL36:BL70)</f>
        <v>107.26069999999999</v>
      </c>
      <c r="BM34" s="226">
        <f t="shared" si="22"/>
        <v>23.032699999999977</v>
      </c>
      <c r="BN34" s="226"/>
      <c r="BO34" s="193">
        <f>SUM(BO36:BO70)</f>
        <v>0</v>
      </c>
      <c r="BP34" s="193">
        <f>SUM(BP36:BP70)</f>
        <v>0</v>
      </c>
      <c r="BQ34" s="226">
        <f t="shared" si="23"/>
        <v>0</v>
      </c>
      <c r="BR34" s="226"/>
      <c r="BS34" s="193">
        <f>SUM(BS36:BS70)</f>
        <v>0</v>
      </c>
      <c r="BT34" s="193">
        <f>SUM(BT36:BT70)</f>
        <v>0</v>
      </c>
      <c r="BU34" s="226">
        <f t="shared" si="24"/>
        <v>0</v>
      </c>
      <c r="BV34" s="226"/>
      <c r="BW34" s="193">
        <f>SUM(BW36:BW70)</f>
        <v>0</v>
      </c>
      <c r="BX34" s="193">
        <f>SUM(BX36:BX70)</f>
        <v>0</v>
      </c>
      <c r="BY34" s="226">
        <f t="shared" si="25"/>
        <v>0</v>
      </c>
      <c r="BZ34" s="226"/>
      <c r="CA34" s="193">
        <f>SUM(CA36:CA70)</f>
        <v>0</v>
      </c>
      <c r="CB34" s="193">
        <f>SUM(CB36:CB70)</f>
        <v>0</v>
      </c>
      <c r="CC34" s="226">
        <f t="shared" si="26"/>
        <v>0</v>
      </c>
      <c r="CD34" s="226"/>
      <c r="CE34" s="193">
        <f>SUM(CE36:CE70)</f>
        <v>0</v>
      </c>
      <c r="CF34" s="193">
        <f>SUM(CF36:CF70)</f>
        <v>0</v>
      </c>
      <c r="CG34" s="226">
        <f t="shared" si="27"/>
        <v>0</v>
      </c>
      <c r="CH34" s="226"/>
      <c r="CI34" s="193">
        <f>SUM(CI36:CI70)</f>
        <v>0</v>
      </c>
      <c r="CJ34" s="193">
        <f>SUM(CJ36:CJ70)</f>
        <v>0</v>
      </c>
      <c r="CK34" s="226">
        <f t="shared" si="28"/>
        <v>0</v>
      </c>
      <c r="CL34" s="227"/>
      <c r="CM34" s="15">
        <f>SUM(CM36:CM70)</f>
        <v>0</v>
      </c>
      <c r="CN34" s="15">
        <f>SUM(CN36:CN70)</f>
        <v>0</v>
      </c>
      <c r="CO34" s="227">
        <f>CN34-CM34</f>
        <v>0</v>
      </c>
      <c r="CP34" s="227"/>
      <c r="CQ34" s="263">
        <f>SUM(CQ36:CQ70)</f>
        <v>0</v>
      </c>
      <c r="CR34" s="263">
        <f>SUM(CR36:CR70)</f>
        <v>0</v>
      </c>
      <c r="CS34" s="259">
        <f>CR34-CQ34</f>
        <v>0</v>
      </c>
      <c r="CT34" s="260"/>
      <c r="CU34" s="263">
        <f>SUM(CU36:CU70)</f>
        <v>0</v>
      </c>
      <c r="CV34" s="263">
        <f>SUM(CV36:CV70)</f>
        <v>0</v>
      </c>
      <c r="CW34" s="259">
        <f t="shared" si="29"/>
        <v>0</v>
      </c>
      <c r="CX34" s="260"/>
      <c r="CY34" s="263">
        <f>SUM(CY36:CY70)</f>
        <v>0</v>
      </c>
      <c r="CZ34" s="263">
        <f>SUM(CZ36:CZ70)</f>
        <v>0</v>
      </c>
      <c r="DA34" s="259">
        <f t="shared" si="30"/>
        <v>0</v>
      </c>
      <c r="DB34" s="260"/>
    </row>
    <row r="35" spans="1:106" s="332" customFormat="1" ht="13.5" customHeight="1">
      <c r="A35" s="369"/>
      <c r="B35" s="330" t="s">
        <v>326</v>
      </c>
      <c r="C35" s="327">
        <f>SUM(C36:C57)</f>
        <v>0</v>
      </c>
      <c r="D35" s="193">
        <f>SUM(D36:D57)</f>
        <v>7.9660000000000011</v>
      </c>
      <c r="E35" s="193">
        <f>SUM(E36:E57)</f>
        <v>0.28299999999999997</v>
      </c>
      <c r="F35" s="331">
        <f>SUM(F36:F57)</f>
        <v>-7.6829999999999998</v>
      </c>
      <c r="G35" s="331">
        <v>0</v>
      </c>
      <c r="H35" s="193">
        <f>SUM(H36:H57)</f>
        <v>0</v>
      </c>
      <c r="I35" s="193">
        <f>SUM(I36:I57)</f>
        <v>0</v>
      </c>
      <c r="J35" s="156">
        <f t="shared" si="9"/>
        <v>0</v>
      </c>
      <c r="K35" s="156"/>
      <c r="L35" s="193">
        <f>SUM(L36:L57)</f>
        <v>7.9660000000000011</v>
      </c>
      <c r="M35" s="193">
        <f>SUM(M36:M57)</f>
        <v>0.28299999999999997</v>
      </c>
      <c r="N35" s="193"/>
      <c r="O35" s="193"/>
      <c r="P35" s="193">
        <f>SUM(P36:P57)</f>
        <v>0</v>
      </c>
      <c r="Q35" s="193">
        <f>SUM(Q36:Q57)</f>
        <v>0</v>
      </c>
      <c r="R35" s="193"/>
      <c r="S35" s="193"/>
      <c r="T35" s="193">
        <f>SUM(T36:T57)</f>
        <v>0</v>
      </c>
      <c r="U35" s="193">
        <f>SUM(U36:U57)</f>
        <v>0</v>
      </c>
      <c r="V35" s="193"/>
      <c r="W35" s="193"/>
      <c r="X35" s="193">
        <f t="shared" si="7"/>
        <v>0</v>
      </c>
      <c r="Y35" s="193">
        <f t="shared" si="7"/>
        <v>0</v>
      </c>
      <c r="Z35" s="193"/>
      <c r="AA35" s="193"/>
      <c r="AB35" s="193">
        <f>SUM(AB36:AB57)</f>
        <v>0</v>
      </c>
      <c r="AC35" s="193">
        <f>SUM(AC36:AC57)</f>
        <v>0</v>
      </c>
      <c r="AD35" s="193"/>
      <c r="AE35" s="193"/>
      <c r="AF35" s="193">
        <f>SUM(AF36:AF57)</f>
        <v>0</v>
      </c>
      <c r="AG35" s="193">
        <f>SUM(AG36:AG57)</f>
        <v>0</v>
      </c>
      <c r="AH35" s="193"/>
      <c r="AI35" s="193">
        <f>SUM(AI36:AI57)</f>
        <v>0</v>
      </c>
      <c r="AJ35" s="193">
        <f>SUM(AJ36:AJ57)</f>
        <v>0</v>
      </c>
      <c r="AK35" s="193"/>
      <c r="AL35" s="193"/>
      <c r="AM35" s="193">
        <f>SUM(AM36:AM57)</f>
        <v>0</v>
      </c>
      <c r="AN35" s="193">
        <f>SUM(AN36:AN57)</f>
        <v>0</v>
      </c>
      <c r="AO35" s="193"/>
      <c r="AP35" s="193"/>
      <c r="AQ35" s="193"/>
      <c r="AR35" s="193"/>
      <c r="AS35" s="193"/>
      <c r="AT35" s="193"/>
      <c r="AU35" s="193">
        <f>SUM(AU36:AU57)</f>
        <v>0</v>
      </c>
      <c r="AV35" s="193">
        <f>SUM(AV36:AV57)</f>
        <v>0</v>
      </c>
      <c r="AW35" s="193"/>
      <c r="AX35" s="193"/>
      <c r="AY35" s="193">
        <f>SUM(AY36:AY57)</f>
        <v>0</v>
      </c>
      <c r="AZ35" s="193">
        <f>SUM(AZ36:AZ57)</f>
        <v>0</v>
      </c>
      <c r="BA35" s="193"/>
      <c r="BB35" s="193"/>
      <c r="BC35" s="193">
        <f>SUM(BC36:BC57)</f>
        <v>0</v>
      </c>
      <c r="BD35" s="193">
        <f>SUM(BD36:BD57)</f>
        <v>0</v>
      </c>
      <c r="BE35" s="193"/>
      <c r="BF35" s="193"/>
      <c r="BG35" s="193">
        <f>SUM(BG36:BG57)</f>
        <v>0</v>
      </c>
      <c r="BH35" s="193">
        <f>SUM(BH36:BH57)</f>
        <v>0</v>
      </c>
      <c r="BI35" s="193"/>
      <c r="BJ35" s="193"/>
      <c r="BK35" s="193">
        <f>SUM(BK36:BK57)</f>
        <v>0</v>
      </c>
      <c r="BL35" s="193">
        <f>SUM(BL36:BL57)</f>
        <v>0</v>
      </c>
      <c r="BM35" s="193"/>
      <c r="BN35" s="193"/>
      <c r="BO35" s="193">
        <f>SUM(BO36:BO57)</f>
        <v>0</v>
      </c>
      <c r="BP35" s="193">
        <f>SUM(BP36:BP57)</f>
        <v>0</v>
      </c>
      <c r="BQ35" s="193"/>
      <c r="BR35" s="193"/>
      <c r="BS35" s="193">
        <f>SUM(BS36:BS57)</f>
        <v>0</v>
      </c>
      <c r="BT35" s="193">
        <f>SUM(BT36:BT57)</f>
        <v>0</v>
      </c>
      <c r="BU35" s="193"/>
      <c r="BV35" s="193"/>
      <c r="BW35" s="193">
        <f>SUM(BW36:BW57)</f>
        <v>0</v>
      </c>
      <c r="BX35" s="193">
        <f>SUM(BX36:BX57)</f>
        <v>0</v>
      </c>
      <c r="BY35" s="193"/>
      <c r="BZ35" s="193"/>
      <c r="CA35" s="193">
        <f>SUM(CA36:CA57)</f>
        <v>0</v>
      </c>
      <c r="CB35" s="193">
        <f>SUM(CB36:CB57)</f>
        <v>0</v>
      </c>
      <c r="CC35" s="193"/>
      <c r="CD35" s="193"/>
      <c r="CE35" s="193">
        <f>SUM(CE36:CE57)</f>
        <v>0</v>
      </c>
      <c r="CF35" s="193">
        <f>SUM(CF36:CF57)</f>
        <v>0</v>
      </c>
      <c r="CG35" s="193"/>
      <c r="CH35" s="193"/>
      <c r="CI35" s="193">
        <f>SUM(CI36:CI57)</f>
        <v>0</v>
      </c>
      <c r="CJ35" s="193">
        <f>SUM(CJ36:CJ57)</f>
        <v>0</v>
      </c>
      <c r="CK35" s="193"/>
      <c r="CL35" s="15"/>
      <c r="CM35" s="15"/>
      <c r="CN35" s="15"/>
      <c r="CO35" s="15"/>
      <c r="CP35" s="15"/>
      <c r="CQ35" s="263"/>
      <c r="CR35" s="263"/>
      <c r="CS35" s="264"/>
      <c r="CT35" s="265"/>
      <c r="CU35" s="263">
        <f>SUM(CU36:CU57)</f>
        <v>0</v>
      </c>
      <c r="CV35" s="263">
        <f>SUM(CV36:CV57)</f>
        <v>0</v>
      </c>
      <c r="CW35" s="264"/>
      <c r="CX35" s="265"/>
      <c r="CY35" s="263">
        <f>SUM(CY36:CY57)</f>
        <v>0</v>
      </c>
      <c r="CZ35" s="263">
        <f>SUM(CZ36:CZ57)</f>
        <v>0</v>
      </c>
      <c r="DA35" s="264"/>
      <c r="DB35" s="265"/>
    </row>
    <row r="36" spans="1:106" ht="14.25" hidden="1" customHeight="1">
      <c r="A36" s="334"/>
      <c r="B36" s="333" t="s">
        <v>327</v>
      </c>
      <c r="C36" s="225"/>
      <c r="D36" s="153">
        <f>H36+L36+P36+T36+X36+AI36+AM36+AQ36+AU36+BC36+BG36+BW36+CE36+CI36+CM36+CQ36+CU36+CY36</f>
        <v>0</v>
      </c>
      <c r="E36" s="153">
        <f t="shared" ref="E36:E53" si="34">I36+M36+Q36+U36+Y36+AJ36+AN36+AR36+AV36+BD36+BH36+BX36+CF36+CJ36+CN36+CR36+CV36+CZ36+BL36+BT36</f>
        <v>0</v>
      </c>
      <c r="F36" s="192">
        <f t="shared" ref="F36:F68" si="35">E36-D36</f>
        <v>0</v>
      </c>
      <c r="G36" s="192" t="e">
        <f t="shared" ref="G36:G53" si="36">E36/D36</f>
        <v>#DIV/0!</v>
      </c>
      <c r="H36" s="153"/>
      <c r="I36" s="153"/>
      <c r="J36" s="156">
        <f t="shared" si="9"/>
        <v>0</v>
      </c>
      <c r="K36" s="156"/>
      <c r="L36" s="153"/>
      <c r="M36" s="153"/>
      <c r="N36" s="156">
        <f t="shared" ref="N36:N63" si="37">M36-L36</f>
        <v>0</v>
      </c>
      <c r="O36" s="156"/>
      <c r="P36" s="153"/>
      <c r="Q36" s="153"/>
      <c r="R36" s="156">
        <f t="shared" ref="R36:R63" si="38">Q36-P36</f>
        <v>0</v>
      </c>
      <c r="S36" s="156"/>
      <c r="T36" s="153"/>
      <c r="U36" s="153"/>
      <c r="V36" s="156">
        <f t="shared" ref="V36:V63" si="39">U36-T36</f>
        <v>0</v>
      </c>
      <c r="W36" s="156"/>
      <c r="X36" s="153">
        <f t="shared" si="7"/>
        <v>0</v>
      </c>
      <c r="Y36" s="153">
        <f t="shared" si="7"/>
        <v>0</v>
      </c>
      <c r="Z36" s="156">
        <f t="shared" ref="Z36:Z66" si="40">Y36-X36</f>
        <v>0</v>
      </c>
      <c r="AA36" s="156"/>
      <c r="AB36" s="153"/>
      <c r="AC36" s="153"/>
      <c r="AD36" s="156">
        <f t="shared" ref="AD36:AD66" si="41">AC36-AB36</f>
        <v>0</v>
      </c>
      <c r="AE36" s="156" t="e">
        <f>AC36/AB36</f>
        <v>#DIV/0!</v>
      </c>
      <c r="AF36" s="153"/>
      <c r="AG36" s="153"/>
      <c r="AH36" s="156">
        <f t="shared" ref="AH36:AH63" si="42">AG36-AF36</f>
        <v>0</v>
      </c>
      <c r="AI36" s="153"/>
      <c r="AJ36" s="153"/>
      <c r="AK36" s="156">
        <f t="shared" ref="AK36:AK61" si="43">AJ36-AI36</f>
        <v>0</v>
      </c>
      <c r="AL36" s="156"/>
      <c r="AM36" s="153"/>
      <c r="AN36" s="153"/>
      <c r="AO36" s="156">
        <f t="shared" ref="AO36:AO61" si="44">AN36-AM36</f>
        <v>0</v>
      </c>
      <c r="AP36" s="156"/>
      <c r="AQ36" s="156"/>
      <c r="AR36" s="156"/>
      <c r="AS36" s="156">
        <f t="shared" ref="AS36:AS63" si="45">AR36-AQ36</f>
        <v>0</v>
      </c>
      <c r="AT36" s="156"/>
      <c r="AU36" s="153"/>
      <c r="AV36" s="153"/>
      <c r="AW36" s="156">
        <f t="shared" ref="AW36:AW61" si="46">AV36-AU36</f>
        <v>0</v>
      </c>
      <c r="AX36" s="156"/>
      <c r="AY36" s="153"/>
      <c r="AZ36" s="153"/>
      <c r="BA36" s="156">
        <f t="shared" ref="BA36:BA63" si="47">AZ36-AY36</f>
        <v>0</v>
      </c>
      <c r="BB36" s="156"/>
      <c r="BC36" s="153"/>
      <c r="BD36" s="153"/>
      <c r="BE36" s="156">
        <f t="shared" ref="BE36:BE63" si="48">BD36-BC36</f>
        <v>0</v>
      </c>
      <c r="BF36" s="156"/>
      <c r="BG36" s="153"/>
      <c r="BH36" s="153"/>
      <c r="BI36" s="156">
        <f t="shared" ref="BI36:BI63" si="49">BH36-BG36</f>
        <v>0</v>
      </c>
      <c r="BJ36" s="156"/>
      <c r="BK36" s="153"/>
      <c r="BL36" s="153"/>
      <c r="BM36" s="156">
        <f t="shared" ref="BM36:BM66" si="50">BL36-BK36</f>
        <v>0</v>
      </c>
      <c r="BN36" s="156"/>
      <c r="BO36" s="153"/>
      <c r="BP36" s="153"/>
      <c r="BQ36" s="156">
        <f t="shared" ref="BQ36:BQ66" si="51">BP36-BO36</f>
        <v>0</v>
      </c>
      <c r="BR36" s="156"/>
      <c r="BS36" s="153"/>
      <c r="BT36" s="153"/>
      <c r="BU36" s="156">
        <f t="shared" ref="BU36:BU63" si="52">BT36-BS36</f>
        <v>0</v>
      </c>
      <c r="BV36" s="156"/>
      <c r="BW36" s="153"/>
      <c r="BX36" s="153"/>
      <c r="BY36" s="156">
        <f t="shared" ref="BY36:BY63" si="53">BX36-BW36</f>
        <v>0</v>
      </c>
      <c r="BZ36" s="156"/>
      <c r="CA36" s="153"/>
      <c r="CB36" s="153"/>
      <c r="CC36" s="156">
        <f t="shared" ref="CC36:CC63" si="54">CB36-CA36</f>
        <v>0</v>
      </c>
      <c r="CD36" s="156"/>
      <c r="CE36" s="153"/>
      <c r="CF36" s="153"/>
      <c r="CG36" s="156">
        <f t="shared" ref="CG36:CG63" si="55">CF36-CE36</f>
        <v>0</v>
      </c>
      <c r="CH36" s="156"/>
      <c r="CI36" s="153"/>
      <c r="CJ36" s="153"/>
      <c r="CK36" s="156">
        <f t="shared" ref="CK36:CK63" si="56">CJ36-CI36</f>
        <v>0</v>
      </c>
      <c r="CL36" s="222"/>
      <c r="CM36" s="222"/>
      <c r="CN36" s="222"/>
      <c r="CO36" s="222">
        <f t="shared" ref="CO36:CO63" si="57">CN36-CM36</f>
        <v>0</v>
      </c>
      <c r="CP36" s="222"/>
      <c r="CQ36" s="14"/>
      <c r="CR36" s="14"/>
      <c r="CS36" s="261">
        <f t="shared" ref="CS36:CS63" si="58">CR36-CQ36</f>
        <v>0</v>
      </c>
      <c r="CT36" s="262"/>
      <c r="CU36" s="13"/>
      <c r="CV36" s="13"/>
      <c r="CW36" s="261">
        <f t="shared" ref="CW36:CW63" si="59">CV36-CU36</f>
        <v>0</v>
      </c>
      <c r="CX36" s="262"/>
      <c r="CY36" s="13"/>
      <c r="CZ36" s="13"/>
      <c r="DA36" s="261">
        <f t="shared" ref="DA36:DA63" si="60">CZ36-CY36</f>
        <v>0</v>
      </c>
      <c r="DB36" s="262"/>
    </row>
    <row r="37" spans="1:106" ht="14.25" hidden="1" customHeight="1">
      <c r="A37" s="334"/>
      <c r="B37" s="333" t="s">
        <v>328</v>
      </c>
      <c r="C37" s="225"/>
      <c r="D37" s="153">
        <f>H37+L37+P37+T37+X37+AI37+AM37+AQ37+AU37+BC37+BG37+BW37+CE37+CI37+CM37+CQ37+CU37+CY37</f>
        <v>0</v>
      </c>
      <c r="E37" s="153">
        <f t="shared" si="34"/>
        <v>0</v>
      </c>
      <c r="F37" s="192">
        <f t="shared" si="35"/>
        <v>0</v>
      </c>
      <c r="G37" s="192" t="e">
        <f t="shared" si="36"/>
        <v>#DIV/0!</v>
      </c>
      <c r="H37" s="153"/>
      <c r="I37" s="153"/>
      <c r="J37" s="156">
        <f t="shared" si="9"/>
        <v>0</v>
      </c>
      <c r="K37" s="156"/>
      <c r="L37" s="153"/>
      <c r="M37" s="153"/>
      <c r="N37" s="156">
        <f t="shared" si="37"/>
        <v>0</v>
      </c>
      <c r="O37" s="156"/>
      <c r="P37" s="153"/>
      <c r="Q37" s="153"/>
      <c r="R37" s="156">
        <f t="shared" si="38"/>
        <v>0</v>
      </c>
      <c r="S37" s="156"/>
      <c r="T37" s="153"/>
      <c r="U37" s="153"/>
      <c r="V37" s="156">
        <f t="shared" si="39"/>
        <v>0</v>
      </c>
      <c r="W37" s="156"/>
      <c r="X37" s="153">
        <f t="shared" si="7"/>
        <v>0</v>
      </c>
      <c r="Y37" s="153">
        <f t="shared" si="7"/>
        <v>0</v>
      </c>
      <c r="Z37" s="156">
        <f t="shared" si="40"/>
        <v>0</v>
      </c>
      <c r="AA37" s="156"/>
      <c r="AB37" s="153"/>
      <c r="AC37" s="153"/>
      <c r="AD37" s="156">
        <f t="shared" si="41"/>
        <v>0</v>
      </c>
      <c r="AE37" s="156"/>
      <c r="AF37" s="153"/>
      <c r="AG37" s="153"/>
      <c r="AH37" s="156">
        <f t="shared" si="42"/>
        <v>0</v>
      </c>
      <c r="AI37" s="153"/>
      <c r="AJ37" s="153"/>
      <c r="AK37" s="156">
        <f t="shared" si="43"/>
        <v>0</v>
      </c>
      <c r="AL37" s="156"/>
      <c r="AM37" s="153"/>
      <c r="AN37" s="153"/>
      <c r="AO37" s="156">
        <f t="shared" si="44"/>
        <v>0</v>
      </c>
      <c r="AP37" s="156"/>
      <c r="AQ37" s="156"/>
      <c r="AR37" s="156"/>
      <c r="AS37" s="156">
        <f t="shared" si="45"/>
        <v>0</v>
      </c>
      <c r="AT37" s="156"/>
      <c r="AU37" s="153"/>
      <c r="AV37" s="153"/>
      <c r="AW37" s="156">
        <f t="shared" si="46"/>
        <v>0</v>
      </c>
      <c r="AX37" s="156"/>
      <c r="AY37" s="153"/>
      <c r="AZ37" s="153"/>
      <c r="BA37" s="156">
        <f t="shared" si="47"/>
        <v>0</v>
      </c>
      <c r="BB37" s="156"/>
      <c r="BC37" s="153"/>
      <c r="BD37" s="153"/>
      <c r="BE37" s="156">
        <f t="shared" si="48"/>
        <v>0</v>
      </c>
      <c r="BF37" s="156"/>
      <c r="BG37" s="153"/>
      <c r="BH37" s="153"/>
      <c r="BI37" s="156">
        <f t="shared" si="49"/>
        <v>0</v>
      </c>
      <c r="BJ37" s="156"/>
      <c r="BK37" s="153"/>
      <c r="BL37" s="153"/>
      <c r="BM37" s="156">
        <f t="shared" si="50"/>
        <v>0</v>
      </c>
      <c r="BN37" s="156"/>
      <c r="BO37" s="153"/>
      <c r="BP37" s="153"/>
      <c r="BQ37" s="156">
        <f t="shared" si="51"/>
        <v>0</v>
      </c>
      <c r="BR37" s="156"/>
      <c r="BS37" s="153"/>
      <c r="BT37" s="153"/>
      <c r="BU37" s="156">
        <f t="shared" si="52"/>
        <v>0</v>
      </c>
      <c r="BV37" s="156"/>
      <c r="BW37" s="153"/>
      <c r="BX37" s="153"/>
      <c r="BY37" s="156">
        <f t="shared" si="53"/>
        <v>0</v>
      </c>
      <c r="BZ37" s="156"/>
      <c r="CA37" s="153"/>
      <c r="CB37" s="153"/>
      <c r="CC37" s="156">
        <f t="shared" si="54"/>
        <v>0</v>
      </c>
      <c r="CD37" s="156"/>
      <c r="CE37" s="153"/>
      <c r="CF37" s="153"/>
      <c r="CG37" s="156">
        <f t="shared" si="55"/>
        <v>0</v>
      </c>
      <c r="CH37" s="156"/>
      <c r="CI37" s="153"/>
      <c r="CJ37" s="153"/>
      <c r="CK37" s="156">
        <f t="shared" si="56"/>
        <v>0</v>
      </c>
      <c r="CL37" s="222"/>
      <c r="CM37" s="222"/>
      <c r="CN37" s="222"/>
      <c r="CO37" s="222">
        <f t="shared" si="57"/>
        <v>0</v>
      </c>
      <c r="CP37" s="222"/>
      <c r="CQ37" s="14"/>
      <c r="CR37" s="14"/>
      <c r="CS37" s="261">
        <f t="shared" si="58"/>
        <v>0</v>
      </c>
      <c r="CT37" s="262"/>
      <c r="CU37" s="13"/>
      <c r="CV37" s="13"/>
      <c r="CW37" s="261">
        <f t="shared" si="59"/>
        <v>0</v>
      </c>
      <c r="CX37" s="262"/>
      <c r="CY37" s="13"/>
      <c r="CZ37" s="13"/>
      <c r="DA37" s="261">
        <f t="shared" si="60"/>
        <v>0</v>
      </c>
      <c r="DB37" s="262"/>
    </row>
    <row r="38" spans="1:106" ht="14.25" hidden="1" customHeight="1">
      <c r="A38" s="334"/>
      <c r="B38" s="333" t="s">
        <v>329</v>
      </c>
      <c r="C38" s="225"/>
      <c r="D38" s="153">
        <f>H38+L38+P38+T38+X38+AI38+AM38+AQ38+AU38+BC38+BG38+BW38+CE38+CI38+CM38+CQ38+CU38+CY38</f>
        <v>0</v>
      </c>
      <c r="E38" s="153">
        <f t="shared" si="34"/>
        <v>0</v>
      </c>
      <c r="F38" s="192">
        <f t="shared" si="35"/>
        <v>0</v>
      </c>
      <c r="G38" s="192" t="e">
        <f t="shared" si="36"/>
        <v>#DIV/0!</v>
      </c>
      <c r="H38" s="153"/>
      <c r="I38" s="153"/>
      <c r="J38" s="156">
        <f t="shared" si="9"/>
        <v>0</v>
      </c>
      <c r="K38" s="156"/>
      <c r="L38" s="153"/>
      <c r="M38" s="153"/>
      <c r="N38" s="156">
        <f t="shared" si="37"/>
        <v>0</v>
      </c>
      <c r="O38" s="156"/>
      <c r="P38" s="153"/>
      <c r="Q38" s="153"/>
      <c r="R38" s="156">
        <f t="shared" si="38"/>
        <v>0</v>
      </c>
      <c r="S38" s="156"/>
      <c r="T38" s="153"/>
      <c r="U38" s="153"/>
      <c r="V38" s="156">
        <f t="shared" si="39"/>
        <v>0</v>
      </c>
      <c r="W38" s="156"/>
      <c r="X38" s="153">
        <f t="shared" si="7"/>
        <v>0</v>
      </c>
      <c r="Y38" s="153">
        <f t="shared" si="7"/>
        <v>0</v>
      </c>
      <c r="Z38" s="156">
        <f t="shared" si="40"/>
        <v>0</v>
      </c>
      <c r="AA38" s="156"/>
      <c r="AB38" s="153"/>
      <c r="AC38" s="153"/>
      <c r="AD38" s="156">
        <f t="shared" si="41"/>
        <v>0</v>
      </c>
      <c r="AE38" s="156"/>
      <c r="AF38" s="153"/>
      <c r="AG38" s="153"/>
      <c r="AH38" s="156">
        <f t="shared" si="42"/>
        <v>0</v>
      </c>
      <c r="AI38" s="153"/>
      <c r="AJ38" s="153"/>
      <c r="AK38" s="156">
        <f t="shared" si="43"/>
        <v>0</v>
      </c>
      <c r="AL38" s="156"/>
      <c r="AM38" s="153"/>
      <c r="AN38" s="153"/>
      <c r="AO38" s="156">
        <f t="shared" si="44"/>
        <v>0</v>
      </c>
      <c r="AP38" s="156"/>
      <c r="AQ38" s="156"/>
      <c r="AR38" s="156"/>
      <c r="AS38" s="156">
        <f t="shared" si="45"/>
        <v>0</v>
      </c>
      <c r="AT38" s="156"/>
      <c r="AU38" s="153"/>
      <c r="AV38" s="153"/>
      <c r="AW38" s="156">
        <f t="shared" si="46"/>
        <v>0</v>
      </c>
      <c r="AX38" s="156"/>
      <c r="AY38" s="153"/>
      <c r="AZ38" s="153"/>
      <c r="BA38" s="156">
        <f t="shared" si="47"/>
        <v>0</v>
      </c>
      <c r="BB38" s="156"/>
      <c r="BC38" s="153"/>
      <c r="BD38" s="153"/>
      <c r="BE38" s="156">
        <f t="shared" si="48"/>
        <v>0</v>
      </c>
      <c r="BF38" s="156"/>
      <c r="BG38" s="153"/>
      <c r="BH38" s="153"/>
      <c r="BI38" s="156">
        <f t="shared" si="49"/>
        <v>0</v>
      </c>
      <c r="BJ38" s="156"/>
      <c r="BK38" s="153"/>
      <c r="BL38" s="153"/>
      <c r="BM38" s="156">
        <f t="shared" si="50"/>
        <v>0</v>
      </c>
      <c r="BN38" s="156"/>
      <c r="BO38" s="153"/>
      <c r="BP38" s="153"/>
      <c r="BQ38" s="156">
        <f t="shared" si="51"/>
        <v>0</v>
      </c>
      <c r="BR38" s="156"/>
      <c r="BS38" s="153"/>
      <c r="BT38" s="153"/>
      <c r="BU38" s="156">
        <f t="shared" si="52"/>
        <v>0</v>
      </c>
      <c r="BV38" s="156"/>
      <c r="BW38" s="153"/>
      <c r="BX38" s="153"/>
      <c r="BY38" s="156">
        <f t="shared" si="53"/>
        <v>0</v>
      </c>
      <c r="BZ38" s="156"/>
      <c r="CA38" s="153"/>
      <c r="CB38" s="153"/>
      <c r="CC38" s="156">
        <f t="shared" si="54"/>
        <v>0</v>
      </c>
      <c r="CD38" s="156"/>
      <c r="CE38" s="153"/>
      <c r="CF38" s="153"/>
      <c r="CG38" s="156">
        <f t="shared" si="55"/>
        <v>0</v>
      </c>
      <c r="CH38" s="156"/>
      <c r="CI38" s="153"/>
      <c r="CJ38" s="153"/>
      <c r="CK38" s="156">
        <f t="shared" si="56"/>
        <v>0</v>
      </c>
      <c r="CL38" s="222"/>
      <c r="CM38" s="222"/>
      <c r="CN38" s="222"/>
      <c r="CO38" s="222">
        <f t="shared" si="57"/>
        <v>0</v>
      </c>
      <c r="CP38" s="222"/>
      <c r="CQ38" s="14"/>
      <c r="CR38" s="14"/>
      <c r="CS38" s="261">
        <f t="shared" si="58"/>
        <v>0</v>
      </c>
      <c r="CT38" s="262"/>
      <c r="CU38" s="13"/>
      <c r="CV38" s="13"/>
      <c r="CW38" s="261">
        <f t="shared" si="59"/>
        <v>0</v>
      </c>
      <c r="CX38" s="262"/>
      <c r="CY38" s="13"/>
      <c r="CZ38" s="13"/>
      <c r="DA38" s="261">
        <f t="shared" si="60"/>
        <v>0</v>
      </c>
      <c r="DB38" s="262"/>
    </row>
    <row r="39" spans="1:106" ht="14.25" hidden="1" customHeight="1">
      <c r="A39" s="334"/>
      <c r="B39" s="334" t="s">
        <v>330</v>
      </c>
      <c r="C39" s="221">
        <v>0</v>
      </c>
      <c r="D39" s="153">
        <f t="shared" ref="D39:D70" si="61">H39+L39+P39+T39+X39+AI39+AM39+AQ39+AU39+BC39+BG39+BW39+CE39+CI39+CM39+CQ39+CU39+CY39+AY39+BK39+BS39</f>
        <v>0</v>
      </c>
      <c r="E39" s="153">
        <f t="shared" si="34"/>
        <v>0</v>
      </c>
      <c r="F39" s="192">
        <f t="shared" si="35"/>
        <v>0</v>
      </c>
      <c r="G39" s="192" t="e">
        <f t="shared" si="36"/>
        <v>#DIV/0!</v>
      </c>
      <c r="H39" s="153"/>
      <c r="I39" s="153"/>
      <c r="J39" s="156">
        <f t="shared" si="9"/>
        <v>0</v>
      </c>
      <c r="K39" s="156"/>
      <c r="L39" s="153"/>
      <c r="M39" s="153"/>
      <c r="N39" s="156">
        <f t="shared" si="37"/>
        <v>0</v>
      </c>
      <c r="O39" s="156"/>
      <c r="P39" s="153"/>
      <c r="Q39" s="153"/>
      <c r="R39" s="156">
        <f t="shared" si="38"/>
        <v>0</v>
      </c>
      <c r="S39" s="156"/>
      <c r="T39" s="153"/>
      <c r="U39" s="153"/>
      <c r="V39" s="156">
        <f t="shared" si="39"/>
        <v>0</v>
      </c>
      <c r="W39" s="156"/>
      <c r="X39" s="153">
        <f t="shared" si="7"/>
        <v>0</v>
      </c>
      <c r="Y39" s="153">
        <f t="shared" si="7"/>
        <v>0</v>
      </c>
      <c r="Z39" s="156">
        <f t="shared" si="40"/>
        <v>0</v>
      </c>
      <c r="AA39" s="156"/>
      <c r="AB39" s="153"/>
      <c r="AC39" s="153"/>
      <c r="AD39" s="156">
        <f t="shared" si="41"/>
        <v>0</v>
      </c>
      <c r="AE39" s="156" t="e">
        <f>AC39/AB39</f>
        <v>#DIV/0!</v>
      </c>
      <c r="AF39" s="153"/>
      <c r="AG39" s="153"/>
      <c r="AH39" s="156">
        <f t="shared" si="42"/>
        <v>0</v>
      </c>
      <c r="AI39" s="153"/>
      <c r="AJ39" s="153"/>
      <c r="AK39" s="156">
        <f t="shared" si="43"/>
        <v>0</v>
      </c>
      <c r="AL39" s="156"/>
      <c r="AM39" s="153"/>
      <c r="AN39" s="153"/>
      <c r="AO39" s="156">
        <f t="shared" si="44"/>
        <v>0</v>
      </c>
      <c r="AP39" s="156"/>
      <c r="AQ39" s="156"/>
      <c r="AR39" s="156"/>
      <c r="AS39" s="156">
        <f t="shared" si="45"/>
        <v>0</v>
      </c>
      <c r="AT39" s="156"/>
      <c r="AU39" s="153"/>
      <c r="AV39" s="153"/>
      <c r="AW39" s="156">
        <f t="shared" si="46"/>
        <v>0</v>
      </c>
      <c r="AX39" s="156"/>
      <c r="AY39" s="153"/>
      <c r="AZ39" s="153"/>
      <c r="BA39" s="156">
        <f t="shared" si="47"/>
        <v>0</v>
      </c>
      <c r="BB39" s="156"/>
      <c r="BC39" s="153"/>
      <c r="BD39" s="153"/>
      <c r="BE39" s="156">
        <f t="shared" si="48"/>
        <v>0</v>
      </c>
      <c r="BF39" s="156"/>
      <c r="BG39" s="153"/>
      <c r="BH39" s="153"/>
      <c r="BI39" s="156">
        <f t="shared" si="49"/>
        <v>0</v>
      </c>
      <c r="BJ39" s="156"/>
      <c r="BK39" s="153"/>
      <c r="BL39" s="153"/>
      <c r="BM39" s="156">
        <f t="shared" si="50"/>
        <v>0</v>
      </c>
      <c r="BN39" s="156"/>
      <c r="BO39" s="153"/>
      <c r="BP39" s="153"/>
      <c r="BQ39" s="156">
        <f t="shared" si="51"/>
        <v>0</v>
      </c>
      <c r="BR39" s="156"/>
      <c r="BS39" s="153"/>
      <c r="BT39" s="153"/>
      <c r="BU39" s="156">
        <f t="shared" si="52"/>
        <v>0</v>
      </c>
      <c r="BV39" s="156"/>
      <c r="BW39" s="153"/>
      <c r="BX39" s="153"/>
      <c r="BY39" s="156">
        <f t="shared" si="53"/>
        <v>0</v>
      </c>
      <c r="BZ39" s="156"/>
      <c r="CA39" s="153"/>
      <c r="CB39" s="153"/>
      <c r="CC39" s="156">
        <f t="shared" si="54"/>
        <v>0</v>
      </c>
      <c r="CD39" s="156"/>
      <c r="CE39" s="153"/>
      <c r="CF39" s="153"/>
      <c r="CG39" s="156">
        <f t="shared" si="55"/>
        <v>0</v>
      </c>
      <c r="CH39" s="156"/>
      <c r="CI39" s="153"/>
      <c r="CJ39" s="153"/>
      <c r="CK39" s="156">
        <f t="shared" si="56"/>
        <v>0</v>
      </c>
      <c r="CL39" s="222"/>
      <c r="CM39" s="222"/>
      <c r="CN39" s="222"/>
      <c r="CO39" s="222">
        <f t="shared" si="57"/>
        <v>0</v>
      </c>
      <c r="CP39" s="222"/>
      <c r="CQ39" s="14"/>
      <c r="CR39" s="14"/>
      <c r="CS39" s="261">
        <f t="shared" si="58"/>
        <v>0</v>
      </c>
      <c r="CT39" s="262"/>
      <c r="CU39" s="13"/>
      <c r="CV39" s="13"/>
      <c r="CW39" s="261">
        <f t="shared" si="59"/>
        <v>0</v>
      </c>
      <c r="CX39" s="262"/>
      <c r="CY39" s="13"/>
      <c r="CZ39" s="13"/>
      <c r="DA39" s="261">
        <f t="shared" si="60"/>
        <v>0</v>
      </c>
      <c r="DB39" s="262"/>
    </row>
    <row r="40" spans="1:106" ht="14.25" hidden="1" customHeight="1">
      <c r="A40" s="334"/>
      <c r="B40" s="334" t="s">
        <v>331</v>
      </c>
      <c r="C40" s="221"/>
      <c r="D40" s="153">
        <f t="shared" si="61"/>
        <v>0</v>
      </c>
      <c r="E40" s="153">
        <f t="shared" si="34"/>
        <v>0</v>
      </c>
      <c r="F40" s="192">
        <f t="shared" si="35"/>
        <v>0</v>
      </c>
      <c r="G40" s="192" t="e">
        <f t="shared" si="36"/>
        <v>#DIV/0!</v>
      </c>
      <c r="H40" s="153"/>
      <c r="I40" s="153"/>
      <c r="J40" s="156">
        <f t="shared" si="9"/>
        <v>0</v>
      </c>
      <c r="K40" s="156"/>
      <c r="L40" s="153"/>
      <c r="M40" s="153"/>
      <c r="N40" s="156">
        <f t="shared" si="37"/>
        <v>0</v>
      </c>
      <c r="O40" s="156"/>
      <c r="P40" s="153"/>
      <c r="Q40" s="153"/>
      <c r="R40" s="156">
        <f t="shared" si="38"/>
        <v>0</v>
      </c>
      <c r="S40" s="156"/>
      <c r="T40" s="153"/>
      <c r="U40" s="153"/>
      <c r="V40" s="156">
        <f t="shared" si="39"/>
        <v>0</v>
      </c>
      <c r="W40" s="156"/>
      <c r="X40" s="153">
        <f t="shared" si="7"/>
        <v>0</v>
      </c>
      <c r="Y40" s="153">
        <f t="shared" si="7"/>
        <v>0</v>
      </c>
      <c r="Z40" s="156">
        <f t="shared" si="40"/>
        <v>0</v>
      </c>
      <c r="AA40" s="156"/>
      <c r="AB40" s="153"/>
      <c r="AC40" s="153"/>
      <c r="AD40" s="156">
        <f t="shared" si="41"/>
        <v>0</v>
      </c>
      <c r="AE40" s="156"/>
      <c r="AF40" s="153"/>
      <c r="AG40" s="153"/>
      <c r="AH40" s="156">
        <f t="shared" si="42"/>
        <v>0</v>
      </c>
      <c r="AI40" s="153"/>
      <c r="AJ40" s="153"/>
      <c r="AK40" s="156">
        <f t="shared" si="43"/>
        <v>0</v>
      </c>
      <c r="AL40" s="156"/>
      <c r="AM40" s="153"/>
      <c r="AN40" s="153"/>
      <c r="AO40" s="156">
        <f t="shared" si="44"/>
        <v>0</v>
      </c>
      <c r="AP40" s="156"/>
      <c r="AQ40" s="156"/>
      <c r="AR40" s="156"/>
      <c r="AS40" s="156">
        <f t="shared" si="45"/>
        <v>0</v>
      </c>
      <c r="AT40" s="156"/>
      <c r="AU40" s="153"/>
      <c r="AV40" s="153"/>
      <c r="AW40" s="156">
        <f t="shared" si="46"/>
        <v>0</v>
      </c>
      <c r="AX40" s="156"/>
      <c r="AY40" s="153"/>
      <c r="AZ40" s="153"/>
      <c r="BA40" s="156">
        <f t="shared" si="47"/>
        <v>0</v>
      </c>
      <c r="BB40" s="156"/>
      <c r="BC40" s="153"/>
      <c r="BD40" s="153"/>
      <c r="BE40" s="156">
        <f t="shared" si="48"/>
        <v>0</v>
      </c>
      <c r="BF40" s="156"/>
      <c r="BG40" s="153"/>
      <c r="BH40" s="153"/>
      <c r="BI40" s="156">
        <f t="shared" si="49"/>
        <v>0</v>
      </c>
      <c r="BJ40" s="156"/>
      <c r="BK40" s="153"/>
      <c r="BL40" s="153"/>
      <c r="BM40" s="156">
        <f t="shared" si="50"/>
        <v>0</v>
      </c>
      <c r="BN40" s="156"/>
      <c r="BO40" s="153"/>
      <c r="BP40" s="153"/>
      <c r="BQ40" s="156">
        <f t="shared" si="51"/>
        <v>0</v>
      </c>
      <c r="BR40" s="156"/>
      <c r="BS40" s="153"/>
      <c r="BT40" s="153"/>
      <c r="BU40" s="156">
        <f t="shared" si="52"/>
        <v>0</v>
      </c>
      <c r="BV40" s="156"/>
      <c r="BW40" s="153"/>
      <c r="BX40" s="153"/>
      <c r="BY40" s="156">
        <f t="shared" si="53"/>
        <v>0</v>
      </c>
      <c r="BZ40" s="156"/>
      <c r="CA40" s="153"/>
      <c r="CB40" s="153"/>
      <c r="CC40" s="156">
        <f t="shared" si="54"/>
        <v>0</v>
      </c>
      <c r="CD40" s="156"/>
      <c r="CE40" s="153"/>
      <c r="CF40" s="153"/>
      <c r="CG40" s="156">
        <f t="shared" si="55"/>
        <v>0</v>
      </c>
      <c r="CH40" s="156"/>
      <c r="CI40" s="153"/>
      <c r="CJ40" s="153"/>
      <c r="CK40" s="156">
        <f t="shared" si="56"/>
        <v>0</v>
      </c>
      <c r="CL40" s="222"/>
      <c r="CM40" s="222"/>
      <c r="CN40" s="222"/>
      <c r="CO40" s="222">
        <f t="shared" si="57"/>
        <v>0</v>
      </c>
      <c r="CP40" s="222"/>
      <c r="CQ40" s="14"/>
      <c r="CR40" s="14"/>
      <c r="CS40" s="261">
        <f t="shared" si="58"/>
        <v>0</v>
      </c>
      <c r="CT40" s="262"/>
      <c r="CU40" s="13"/>
      <c r="CV40" s="13"/>
      <c r="CW40" s="261">
        <f t="shared" si="59"/>
        <v>0</v>
      </c>
      <c r="CX40" s="262"/>
      <c r="CY40" s="13"/>
      <c r="CZ40" s="13"/>
      <c r="DA40" s="261">
        <f t="shared" si="60"/>
        <v>0</v>
      </c>
      <c r="DB40" s="262"/>
    </row>
    <row r="41" spans="1:106" ht="14.25" hidden="1" customHeight="1">
      <c r="A41" s="334"/>
      <c r="B41" s="334" t="s">
        <v>332</v>
      </c>
      <c r="C41" s="221"/>
      <c r="D41" s="153">
        <f t="shared" si="61"/>
        <v>0</v>
      </c>
      <c r="E41" s="153">
        <f t="shared" si="34"/>
        <v>0</v>
      </c>
      <c r="F41" s="192">
        <f t="shared" si="35"/>
        <v>0</v>
      </c>
      <c r="G41" s="192" t="e">
        <f t="shared" si="36"/>
        <v>#DIV/0!</v>
      </c>
      <c r="H41" s="153"/>
      <c r="I41" s="153"/>
      <c r="J41" s="156">
        <f t="shared" si="9"/>
        <v>0</v>
      </c>
      <c r="K41" s="156"/>
      <c r="L41" s="153"/>
      <c r="M41" s="153"/>
      <c r="N41" s="156">
        <f t="shared" si="37"/>
        <v>0</v>
      </c>
      <c r="O41" s="156"/>
      <c r="P41" s="153"/>
      <c r="Q41" s="153"/>
      <c r="R41" s="156">
        <f t="shared" si="38"/>
        <v>0</v>
      </c>
      <c r="S41" s="156"/>
      <c r="T41" s="153"/>
      <c r="U41" s="153"/>
      <c r="V41" s="156">
        <f t="shared" si="39"/>
        <v>0</v>
      </c>
      <c r="W41" s="156"/>
      <c r="X41" s="153">
        <f t="shared" ref="X41:Y66" si="62">AB41</f>
        <v>0</v>
      </c>
      <c r="Y41" s="153">
        <f t="shared" si="62"/>
        <v>0</v>
      </c>
      <c r="Z41" s="156">
        <f t="shared" si="40"/>
        <v>0</v>
      </c>
      <c r="AA41" s="156"/>
      <c r="AB41" s="153"/>
      <c r="AC41" s="153"/>
      <c r="AD41" s="156">
        <f t="shared" si="41"/>
        <v>0</v>
      </c>
      <c r="AE41" s="156" t="e">
        <f>AC41/AB41</f>
        <v>#DIV/0!</v>
      </c>
      <c r="AF41" s="153"/>
      <c r="AG41" s="153"/>
      <c r="AH41" s="156">
        <f t="shared" si="42"/>
        <v>0</v>
      </c>
      <c r="AI41" s="153"/>
      <c r="AJ41" s="153"/>
      <c r="AK41" s="156">
        <f t="shared" si="43"/>
        <v>0</v>
      </c>
      <c r="AL41" s="156"/>
      <c r="AM41" s="153"/>
      <c r="AN41" s="153"/>
      <c r="AO41" s="156">
        <f t="shared" si="44"/>
        <v>0</v>
      </c>
      <c r="AP41" s="156"/>
      <c r="AQ41" s="156"/>
      <c r="AR41" s="156"/>
      <c r="AS41" s="156">
        <f t="shared" si="45"/>
        <v>0</v>
      </c>
      <c r="AT41" s="156"/>
      <c r="AU41" s="153"/>
      <c r="AV41" s="153"/>
      <c r="AW41" s="156">
        <f t="shared" si="46"/>
        <v>0</v>
      </c>
      <c r="AX41" s="156"/>
      <c r="AY41" s="153"/>
      <c r="AZ41" s="153"/>
      <c r="BA41" s="156">
        <f t="shared" si="47"/>
        <v>0</v>
      </c>
      <c r="BB41" s="156"/>
      <c r="BC41" s="153"/>
      <c r="BD41" s="153"/>
      <c r="BE41" s="156">
        <f t="shared" si="48"/>
        <v>0</v>
      </c>
      <c r="BF41" s="156"/>
      <c r="BG41" s="153"/>
      <c r="BH41" s="153"/>
      <c r="BI41" s="156">
        <f t="shared" si="49"/>
        <v>0</v>
      </c>
      <c r="BJ41" s="156"/>
      <c r="BK41" s="153"/>
      <c r="BL41" s="153"/>
      <c r="BM41" s="156">
        <f t="shared" si="50"/>
        <v>0</v>
      </c>
      <c r="BN41" s="156"/>
      <c r="BO41" s="153"/>
      <c r="BP41" s="153"/>
      <c r="BQ41" s="156">
        <f t="shared" si="51"/>
        <v>0</v>
      </c>
      <c r="BR41" s="156"/>
      <c r="BS41" s="153"/>
      <c r="BT41" s="153"/>
      <c r="BU41" s="156">
        <f t="shared" si="52"/>
        <v>0</v>
      </c>
      <c r="BV41" s="156"/>
      <c r="BW41" s="153"/>
      <c r="BX41" s="153"/>
      <c r="BY41" s="156">
        <f t="shared" si="53"/>
        <v>0</v>
      </c>
      <c r="BZ41" s="156"/>
      <c r="CA41" s="153"/>
      <c r="CB41" s="153"/>
      <c r="CC41" s="156">
        <f t="shared" si="54"/>
        <v>0</v>
      </c>
      <c r="CD41" s="156"/>
      <c r="CE41" s="153"/>
      <c r="CF41" s="153"/>
      <c r="CG41" s="156">
        <f t="shared" si="55"/>
        <v>0</v>
      </c>
      <c r="CH41" s="156"/>
      <c r="CI41" s="153"/>
      <c r="CJ41" s="153"/>
      <c r="CK41" s="156">
        <f t="shared" si="56"/>
        <v>0</v>
      </c>
      <c r="CL41" s="222"/>
      <c r="CM41" s="222"/>
      <c r="CN41" s="222"/>
      <c r="CO41" s="222">
        <f t="shared" si="57"/>
        <v>0</v>
      </c>
      <c r="CP41" s="222"/>
      <c r="CQ41" s="14"/>
      <c r="CR41" s="14"/>
      <c r="CS41" s="261">
        <f t="shared" si="58"/>
        <v>0</v>
      </c>
      <c r="CT41" s="262"/>
      <c r="CU41" s="13"/>
      <c r="CV41" s="13"/>
      <c r="CW41" s="261">
        <f t="shared" si="59"/>
        <v>0</v>
      </c>
      <c r="CX41" s="262"/>
      <c r="CY41" s="13"/>
      <c r="CZ41" s="13"/>
      <c r="DA41" s="261">
        <f t="shared" si="60"/>
        <v>0</v>
      </c>
      <c r="DB41" s="262"/>
    </row>
    <row r="42" spans="1:106" ht="14.25" hidden="1" customHeight="1">
      <c r="A42" s="334"/>
      <c r="B42" s="334" t="s">
        <v>333</v>
      </c>
      <c r="C42" s="221"/>
      <c r="D42" s="153">
        <f t="shared" si="61"/>
        <v>5.7</v>
      </c>
      <c r="E42" s="153">
        <f t="shared" si="34"/>
        <v>0</v>
      </c>
      <c r="F42" s="192">
        <f t="shared" si="35"/>
        <v>-5.7</v>
      </c>
      <c r="G42" s="192">
        <f t="shared" si="36"/>
        <v>0</v>
      </c>
      <c r="H42" s="153"/>
      <c r="I42" s="153"/>
      <c r="J42" s="156">
        <f t="shared" si="9"/>
        <v>0</v>
      </c>
      <c r="K42" s="156"/>
      <c r="L42" s="153">
        <v>5.7</v>
      </c>
      <c r="M42" s="153"/>
      <c r="N42" s="156">
        <f t="shared" si="37"/>
        <v>-5.7</v>
      </c>
      <c r="O42" s="156"/>
      <c r="P42" s="153"/>
      <c r="Q42" s="153"/>
      <c r="R42" s="156">
        <f t="shared" si="38"/>
        <v>0</v>
      </c>
      <c r="S42" s="156"/>
      <c r="T42" s="153"/>
      <c r="U42" s="153"/>
      <c r="V42" s="156">
        <f t="shared" si="39"/>
        <v>0</v>
      </c>
      <c r="W42" s="156"/>
      <c r="X42" s="153">
        <f t="shared" si="62"/>
        <v>0</v>
      </c>
      <c r="Y42" s="153">
        <f t="shared" si="62"/>
        <v>0</v>
      </c>
      <c r="Z42" s="156">
        <f t="shared" si="40"/>
        <v>0</v>
      </c>
      <c r="AA42" s="156"/>
      <c r="AB42" s="153"/>
      <c r="AC42" s="153"/>
      <c r="AD42" s="156">
        <f t="shared" si="41"/>
        <v>0</v>
      </c>
      <c r="AE42" s="156" t="e">
        <f>AC42/AB42</f>
        <v>#DIV/0!</v>
      </c>
      <c r="AF42" s="153"/>
      <c r="AG42" s="153"/>
      <c r="AH42" s="156">
        <f t="shared" si="42"/>
        <v>0</v>
      </c>
      <c r="AI42" s="153"/>
      <c r="AJ42" s="153"/>
      <c r="AK42" s="156">
        <f t="shared" si="43"/>
        <v>0</v>
      </c>
      <c r="AL42" s="156"/>
      <c r="AM42" s="153"/>
      <c r="AN42" s="153"/>
      <c r="AO42" s="156">
        <f t="shared" si="44"/>
        <v>0</v>
      </c>
      <c r="AP42" s="156"/>
      <c r="AQ42" s="156"/>
      <c r="AR42" s="156"/>
      <c r="AS42" s="156">
        <f t="shared" si="45"/>
        <v>0</v>
      </c>
      <c r="AT42" s="156"/>
      <c r="AU42" s="153"/>
      <c r="AV42" s="153"/>
      <c r="AW42" s="156">
        <f t="shared" si="46"/>
        <v>0</v>
      </c>
      <c r="AX42" s="156"/>
      <c r="AY42" s="153"/>
      <c r="AZ42" s="153"/>
      <c r="BA42" s="156">
        <f t="shared" si="47"/>
        <v>0</v>
      </c>
      <c r="BB42" s="156"/>
      <c r="BC42" s="153"/>
      <c r="BD42" s="153"/>
      <c r="BE42" s="156">
        <f t="shared" si="48"/>
        <v>0</v>
      </c>
      <c r="BF42" s="156"/>
      <c r="BG42" s="153"/>
      <c r="BH42" s="153"/>
      <c r="BI42" s="156">
        <f t="shared" si="49"/>
        <v>0</v>
      </c>
      <c r="BJ42" s="156"/>
      <c r="BK42" s="153"/>
      <c r="BL42" s="153"/>
      <c r="BM42" s="156">
        <f t="shared" si="50"/>
        <v>0</v>
      </c>
      <c r="BN42" s="156"/>
      <c r="BO42" s="153"/>
      <c r="BP42" s="153"/>
      <c r="BQ42" s="156">
        <f t="shared" si="51"/>
        <v>0</v>
      </c>
      <c r="BR42" s="156"/>
      <c r="BS42" s="153"/>
      <c r="BT42" s="153"/>
      <c r="BU42" s="156">
        <f t="shared" si="52"/>
        <v>0</v>
      </c>
      <c r="BV42" s="156"/>
      <c r="BW42" s="153"/>
      <c r="BX42" s="153"/>
      <c r="BY42" s="156">
        <f t="shared" si="53"/>
        <v>0</v>
      </c>
      <c r="BZ42" s="156"/>
      <c r="CA42" s="153"/>
      <c r="CB42" s="153"/>
      <c r="CC42" s="156">
        <f t="shared" si="54"/>
        <v>0</v>
      </c>
      <c r="CD42" s="156"/>
      <c r="CE42" s="153"/>
      <c r="CF42" s="153"/>
      <c r="CG42" s="156">
        <f t="shared" si="55"/>
        <v>0</v>
      </c>
      <c r="CH42" s="156"/>
      <c r="CI42" s="153"/>
      <c r="CJ42" s="153"/>
      <c r="CK42" s="156">
        <f t="shared" si="56"/>
        <v>0</v>
      </c>
      <c r="CL42" s="222"/>
      <c r="CM42" s="222"/>
      <c r="CN42" s="222"/>
      <c r="CO42" s="222">
        <f t="shared" si="57"/>
        <v>0</v>
      </c>
      <c r="CP42" s="222"/>
      <c r="CQ42" s="14"/>
      <c r="CR42" s="14"/>
      <c r="CS42" s="261">
        <f t="shared" si="58"/>
        <v>0</v>
      </c>
      <c r="CT42" s="262"/>
      <c r="CU42" s="13"/>
      <c r="CV42" s="13"/>
      <c r="CW42" s="261">
        <f t="shared" si="59"/>
        <v>0</v>
      </c>
      <c r="CX42" s="262"/>
      <c r="CY42" s="13"/>
      <c r="CZ42" s="13"/>
      <c r="DA42" s="261">
        <f t="shared" si="60"/>
        <v>0</v>
      </c>
      <c r="DB42" s="262"/>
    </row>
    <row r="43" spans="1:106" ht="14.25" hidden="1" customHeight="1">
      <c r="A43" s="334"/>
      <c r="B43" s="334" t="s">
        <v>334</v>
      </c>
      <c r="C43" s="221"/>
      <c r="D43" s="153">
        <f t="shared" si="61"/>
        <v>0</v>
      </c>
      <c r="E43" s="153">
        <f t="shared" si="34"/>
        <v>0</v>
      </c>
      <c r="F43" s="192">
        <f t="shared" si="35"/>
        <v>0</v>
      </c>
      <c r="G43" s="192" t="e">
        <f t="shared" si="36"/>
        <v>#DIV/0!</v>
      </c>
      <c r="H43" s="153"/>
      <c r="I43" s="153"/>
      <c r="J43" s="156">
        <f t="shared" si="9"/>
        <v>0</v>
      </c>
      <c r="K43" s="156"/>
      <c r="L43" s="153"/>
      <c r="M43" s="153"/>
      <c r="N43" s="156">
        <f t="shared" si="37"/>
        <v>0</v>
      </c>
      <c r="O43" s="156"/>
      <c r="P43" s="153"/>
      <c r="Q43" s="153"/>
      <c r="R43" s="156">
        <f t="shared" si="38"/>
        <v>0</v>
      </c>
      <c r="S43" s="156"/>
      <c r="T43" s="153"/>
      <c r="U43" s="153"/>
      <c r="V43" s="156">
        <f t="shared" si="39"/>
        <v>0</v>
      </c>
      <c r="W43" s="156"/>
      <c r="X43" s="153">
        <f t="shared" si="62"/>
        <v>0</v>
      </c>
      <c r="Y43" s="153">
        <f t="shared" si="62"/>
        <v>0</v>
      </c>
      <c r="Z43" s="156">
        <f t="shared" si="40"/>
        <v>0</v>
      </c>
      <c r="AA43" s="156"/>
      <c r="AB43" s="153"/>
      <c r="AC43" s="153"/>
      <c r="AD43" s="156">
        <f t="shared" si="41"/>
        <v>0</v>
      </c>
      <c r="AE43" s="156"/>
      <c r="AF43" s="153"/>
      <c r="AG43" s="153"/>
      <c r="AH43" s="156">
        <f t="shared" si="42"/>
        <v>0</v>
      </c>
      <c r="AI43" s="153"/>
      <c r="AJ43" s="153"/>
      <c r="AK43" s="156">
        <f t="shared" si="43"/>
        <v>0</v>
      </c>
      <c r="AL43" s="156"/>
      <c r="AM43" s="153"/>
      <c r="AN43" s="153"/>
      <c r="AO43" s="156">
        <f t="shared" si="44"/>
        <v>0</v>
      </c>
      <c r="AP43" s="156"/>
      <c r="AQ43" s="156"/>
      <c r="AR43" s="156"/>
      <c r="AS43" s="156">
        <f t="shared" si="45"/>
        <v>0</v>
      </c>
      <c r="AT43" s="156"/>
      <c r="AU43" s="153"/>
      <c r="AV43" s="153"/>
      <c r="AW43" s="156">
        <f t="shared" si="46"/>
        <v>0</v>
      </c>
      <c r="AX43" s="156"/>
      <c r="AY43" s="153"/>
      <c r="AZ43" s="153"/>
      <c r="BA43" s="156">
        <f t="shared" si="47"/>
        <v>0</v>
      </c>
      <c r="BB43" s="156"/>
      <c r="BC43" s="153"/>
      <c r="BD43" s="153"/>
      <c r="BE43" s="156">
        <f t="shared" si="48"/>
        <v>0</v>
      </c>
      <c r="BF43" s="156"/>
      <c r="BG43" s="153"/>
      <c r="BH43" s="153"/>
      <c r="BI43" s="156">
        <f t="shared" si="49"/>
        <v>0</v>
      </c>
      <c r="BJ43" s="156"/>
      <c r="BK43" s="153"/>
      <c r="BL43" s="153"/>
      <c r="BM43" s="156">
        <f t="shared" si="50"/>
        <v>0</v>
      </c>
      <c r="BN43" s="156"/>
      <c r="BO43" s="153"/>
      <c r="BP43" s="153"/>
      <c r="BQ43" s="156">
        <f t="shared" si="51"/>
        <v>0</v>
      </c>
      <c r="BR43" s="156"/>
      <c r="BS43" s="153"/>
      <c r="BT43" s="153"/>
      <c r="BU43" s="156">
        <f t="shared" si="52"/>
        <v>0</v>
      </c>
      <c r="BV43" s="156"/>
      <c r="BW43" s="153"/>
      <c r="BX43" s="153"/>
      <c r="BY43" s="156">
        <f t="shared" si="53"/>
        <v>0</v>
      </c>
      <c r="BZ43" s="156"/>
      <c r="CA43" s="153"/>
      <c r="CB43" s="153"/>
      <c r="CC43" s="156">
        <f t="shared" si="54"/>
        <v>0</v>
      </c>
      <c r="CD43" s="156"/>
      <c r="CE43" s="153"/>
      <c r="CF43" s="153"/>
      <c r="CG43" s="156">
        <f t="shared" si="55"/>
        <v>0</v>
      </c>
      <c r="CH43" s="156"/>
      <c r="CI43" s="153"/>
      <c r="CJ43" s="153"/>
      <c r="CK43" s="156">
        <f t="shared" si="56"/>
        <v>0</v>
      </c>
      <c r="CL43" s="222"/>
      <c r="CM43" s="222"/>
      <c r="CN43" s="222"/>
      <c r="CO43" s="222">
        <f t="shared" si="57"/>
        <v>0</v>
      </c>
      <c r="CP43" s="222"/>
      <c r="CQ43" s="14"/>
      <c r="CR43" s="14"/>
      <c r="CS43" s="261">
        <f t="shared" si="58"/>
        <v>0</v>
      </c>
      <c r="CT43" s="262"/>
      <c r="CU43" s="13"/>
      <c r="CV43" s="13"/>
      <c r="CW43" s="261">
        <f t="shared" si="59"/>
        <v>0</v>
      </c>
      <c r="CX43" s="262"/>
      <c r="CY43" s="13"/>
      <c r="CZ43" s="13"/>
      <c r="DA43" s="261">
        <f t="shared" si="60"/>
        <v>0</v>
      </c>
      <c r="DB43" s="262"/>
    </row>
    <row r="44" spans="1:106" ht="14.25" hidden="1" customHeight="1">
      <c r="A44" s="334"/>
      <c r="B44" s="334" t="s">
        <v>335</v>
      </c>
      <c r="C44" s="221"/>
      <c r="D44" s="153">
        <f t="shared" si="61"/>
        <v>0</v>
      </c>
      <c r="E44" s="153">
        <f t="shared" si="34"/>
        <v>0</v>
      </c>
      <c r="F44" s="192">
        <f t="shared" si="35"/>
        <v>0</v>
      </c>
      <c r="G44" s="192" t="e">
        <f t="shared" si="36"/>
        <v>#DIV/0!</v>
      </c>
      <c r="H44" s="153"/>
      <c r="I44" s="153"/>
      <c r="J44" s="156">
        <f t="shared" si="9"/>
        <v>0</v>
      </c>
      <c r="K44" s="156"/>
      <c r="L44" s="153"/>
      <c r="M44" s="153"/>
      <c r="N44" s="156">
        <f t="shared" si="37"/>
        <v>0</v>
      </c>
      <c r="O44" s="156"/>
      <c r="P44" s="153"/>
      <c r="Q44" s="153"/>
      <c r="R44" s="156">
        <f t="shared" si="38"/>
        <v>0</v>
      </c>
      <c r="S44" s="156"/>
      <c r="T44" s="153"/>
      <c r="U44" s="153"/>
      <c r="V44" s="156">
        <f t="shared" si="39"/>
        <v>0</v>
      </c>
      <c r="W44" s="156"/>
      <c r="X44" s="153">
        <f t="shared" si="62"/>
        <v>0</v>
      </c>
      <c r="Y44" s="153">
        <f t="shared" si="62"/>
        <v>0</v>
      </c>
      <c r="Z44" s="156">
        <f t="shared" si="40"/>
        <v>0</v>
      </c>
      <c r="AA44" s="156"/>
      <c r="AB44" s="153"/>
      <c r="AC44" s="153"/>
      <c r="AD44" s="156">
        <f t="shared" si="41"/>
        <v>0</v>
      </c>
      <c r="AE44" s="156"/>
      <c r="AF44" s="153"/>
      <c r="AG44" s="153"/>
      <c r="AH44" s="156">
        <f t="shared" si="42"/>
        <v>0</v>
      </c>
      <c r="AI44" s="153"/>
      <c r="AJ44" s="153"/>
      <c r="AK44" s="156">
        <f t="shared" si="43"/>
        <v>0</v>
      </c>
      <c r="AL44" s="156"/>
      <c r="AM44" s="153"/>
      <c r="AN44" s="153"/>
      <c r="AO44" s="156">
        <f t="shared" si="44"/>
        <v>0</v>
      </c>
      <c r="AP44" s="156"/>
      <c r="AQ44" s="156"/>
      <c r="AR44" s="156"/>
      <c r="AS44" s="156">
        <f t="shared" si="45"/>
        <v>0</v>
      </c>
      <c r="AT44" s="156"/>
      <c r="AU44" s="153"/>
      <c r="AV44" s="153"/>
      <c r="AW44" s="156">
        <f t="shared" si="46"/>
        <v>0</v>
      </c>
      <c r="AX44" s="156"/>
      <c r="AY44" s="153"/>
      <c r="AZ44" s="153"/>
      <c r="BA44" s="156">
        <f t="shared" si="47"/>
        <v>0</v>
      </c>
      <c r="BB44" s="156"/>
      <c r="BC44" s="153"/>
      <c r="BD44" s="153"/>
      <c r="BE44" s="156">
        <f t="shared" si="48"/>
        <v>0</v>
      </c>
      <c r="BF44" s="156"/>
      <c r="BG44" s="153"/>
      <c r="BH44" s="153"/>
      <c r="BI44" s="156">
        <f t="shared" si="49"/>
        <v>0</v>
      </c>
      <c r="BJ44" s="156"/>
      <c r="BK44" s="153"/>
      <c r="BL44" s="153"/>
      <c r="BM44" s="156">
        <f t="shared" si="50"/>
        <v>0</v>
      </c>
      <c r="BN44" s="156"/>
      <c r="BO44" s="153"/>
      <c r="BP44" s="153"/>
      <c r="BQ44" s="156">
        <f t="shared" si="51"/>
        <v>0</v>
      </c>
      <c r="BR44" s="156"/>
      <c r="BS44" s="153"/>
      <c r="BT44" s="153"/>
      <c r="BU44" s="156">
        <f t="shared" si="52"/>
        <v>0</v>
      </c>
      <c r="BV44" s="156"/>
      <c r="BW44" s="153"/>
      <c r="BX44" s="153"/>
      <c r="BY44" s="156">
        <f t="shared" si="53"/>
        <v>0</v>
      </c>
      <c r="BZ44" s="156"/>
      <c r="CA44" s="153"/>
      <c r="CB44" s="153"/>
      <c r="CC44" s="156">
        <f t="shared" si="54"/>
        <v>0</v>
      </c>
      <c r="CD44" s="156"/>
      <c r="CE44" s="153"/>
      <c r="CF44" s="153"/>
      <c r="CG44" s="156">
        <f t="shared" si="55"/>
        <v>0</v>
      </c>
      <c r="CH44" s="156"/>
      <c r="CI44" s="153"/>
      <c r="CJ44" s="153"/>
      <c r="CK44" s="156">
        <f t="shared" si="56"/>
        <v>0</v>
      </c>
      <c r="CL44" s="222"/>
      <c r="CM44" s="222"/>
      <c r="CN44" s="222"/>
      <c r="CO44" s="222">
        <f t="shared" si="57"/>
        <v>0</v>
      </c>
      <c r="CP44" s="222"/>
      <c r="CQ44" s="14"/>
      <c r="CR44" s="14"/>
      <c r="CS44" s="261">
        <f t="shared" si="58"/>
        <v>0</v>
      </c>
      <c r="CT44" s="262"/>
      <c r="CU44" s="13"/>
      <c r="CV44" s="13"/>
      <c r="CW44" s="261">
        <f t="shared" si="59"/>
        <v>0</v>
      </c>
      <c r="CX44" s="262"/>
      <c r="CY44" s="13"/>
      <c r="CZ44" s="13"/>
      <c r="DA44" s="261">
        <f t="shared" si="60"/>
        <v>0</v>
      </c>
      <c r="DB44" s="262"/>
    </row>
    <row r="45" spans="1:106" ht="14.25" customHeight="1">
      <c r="A45" s="334"/>
      <c r="B45" s="334" t="s">
        <v>336</v>
      </c>
      <c r="C45" s="221"/>
      <c r="D45" s="153">
        <f t="shared" si="61"/>
        <v>0.28299999999999997</v>
      </c>
      <c r="E45" s="153">
        <f t="shared" si="34"/>
        <v>0.28299999999999997</v>
      </c>
      <c r="F45" s="192">
        <f t="shared" si="35"/>
        <v>0</v>
      </c>
      <c r="G45" s="192">
        <f t="shared" si="36"/>
        <v>1</v>
      </c>
      <c r="H45" s="153"/>
      <c r="I45" s="153"/>
      <c r="J45" s="156">
        <f t="shared" si="9"/>
        <v>0</v>
      </c>
      <c r="K45" s="153"/>
      <c r="L45" s="153">
        <v>0.28299999999999997</v>
      </c>
      <c r="M45" s="153">
        <v>0.28299999999999997</v>
      </c>
      <c r="N45" s="156">
        <f t="shared" si="37"/>
        <v>0</v>
      </c>
      <c r="O45" s="156"/>
      <c r="P45" s="153"/>
      <c r="Q45" s="153"/>
      <c r="R45" s="156">
        <f t="shared" si="38"/>
        <v>0</v>
      </c>
      <c r="S45" s="156"/>
      <c r="T45" s="153"/>
      <c r="U45" s="153"/>
      <c r="V45" s="156">
        <f t="shared" si="39"/>
        <v>0</v>
      </c>
      <c r="W45" s="156"/>
      <c r="X45" s="153">
        <f t="shared" si="62"/>
        <v>0</v>
      </c>
      <c r="Y45" s="153">
        <f t="shared" si="62"/>
        <v>0</v>
      </c>
      <c r="Z45" s="156">
        <f t="shared" si="40"/>
        <v>0</v>
      </c>
      <c r="AA45" s="156"/>
      <c r="AB45" s="153"/>
      <c r="AC45" s="153"/>
      <c r="AD45" s="156">
        <f t="shared" si="41"/>
        <v>0</v>
      </c>
      <c r="AE45" s="156"/>
      <c r="AF45" s="153"/>
      <c r="AG45" s="153"/>
      <c r="AH45" s="156">
        <f t="shared" si="42"/>
        <v>0</v>
      </c>
      <c r="AI45" s="153"/>
      <c r="AJ45" s="153"/>
      <c r="AK45" s="156">
        <f t="shared" si="43"/>
        <v>0</v>
      </c>
      <c r="AL45" s="156"/>
      <c r="AM45" s="153"/>
      <c r="AN45" s="153"/>
      <c r="AO45" s="156">
        <f t="shared" si="44"/>
        <v>0</v>
      </c>
      <c r="AP45" s="156"/>
      <c r="AQ45" s="156"/>
      <c r="AR45" s="156"/>
      <c r="AS45" s="156">
        <f t="shared" si="45"/>
        <v>0</v>
      </c>
      <c r="AT45" s="156"/>
      <c r="AU45" s="153"/>
      <c r="AV45" s="153"/>
      <c r="AW45" s="156">
        <f t="shared" si="46"/>
        <v>0</v>
      </c>
      <c r="AX45" s="156"/>
      <c r="AY45" s="153"/>
      <c r="AZ45" s="153"/>
      <c r="BA45" s="156">
        <f t="shared" si="47"/>
        <v>0</v>
      </c>
      <c r="BB45" s="156"/>
      <c r="BC45" s="153"/>
      <c r="BD45" s="153"/>
      <c r="BE45" s="156">
        <f t="shared" si="48"/>
        <v>0</v>
      </c>
      <c r="BF45" s="156"/>
      <c r="BG45" s="153"/>
      <c r="BH45" s="153"/>
      <c r="BI45" s="156">
        <f t="shared" si="49"/>
        <v>0</v>
      </c>
      <c r="BJ45" s="156"/>
      <c r="BK45" s="153"/>
      <c r="BL45" s="153"/>
      <c r="BM45" s="156">
        <f t="shared" si="50"/>
        <v>0</v>
      </c>
      <c r="BN45" s="156"/>
      <c r="BO45" s="153"/>
      <c r="BP45" s="153"/>
      <c r="BQ45" s="156">
        <f t="shared" si="51"/>
        <v>0</v>
      </c>
      <c r="BR45" s="156"/>
      <c r="BS45" s="153"/>
      <c r="BT45" s="153"/>
      <c r="BU45" s="156">
        <f t="shared" si="52"/>
        <v>0</v>
      </c>
      <c r="BV45" s="156"/>
      <c r="BW45" s="153"/>
      <c r="BX45" s="153"/>
      <c r="BY45" s="156">
        <f t="shared" si="53"/>
        <v>0</v>
      </c>
      <c r="BZ45" s="156"/>
      <c r="CA45" s="153"/>
      <c r="CB45" s="153"/>
      <c r="CC45" s="156">
        <f t="shared" si="54"/>
        <v>0</v>
      </c>
      <c r="CD45" s="156"/>
      <c r="CE45" s="153"/>
      <c r="CF45" s="153"/>
      <c r="CG45" s="156">
        <f t="shared" si="55"/>
        <v>0</v>
      </c>
      <c r="CH45" s="156"/>
      <c r="CI45" s="153"/>
      <c r="CJ45" s="153"/>
      <c r="CK45" s="156">
        <f t="shared" si="56"/>
        <v>0</v>
      </c>
      <c r="CL45" s="222"/>
      <c r="CM45" s="222"/>
      <c r="CN45" s="222"/>
      <c r="CO45" s="222">
        <f t="shared" si="57"/>
        <v>0</v>
      </c>
      <c r="CP45" s="222"/>
      <c r="CQ45" s="14"/>
      <c r="CR45" s="14"/>
      <c r="CS45" s="261">
        <f t="shared" si="58"/>
        <v>0</v>
      </c>
      <c r="CT45" s="262"/>
      <c r="CU45" s="13"/>
      <c r="CV45" s="13"/>
      <c r="CW45" s="261">
        <f t="shared" si="59"/>
        <v>0</v>
      </c>
      <c r="CX45" s="262"/>
      <c r="CY45" s="13"/>
      <c r="CZ45" s="13"/>
      <c r="DA45" s="261">
        <f t="shared" si="60"/>
        <v>0</v>
      </c>
      <c r="DB45" s="262"/>
    </row>
    <row r="46" spans="1:106" ht="14.25" hidden="1" customHeight="1">
      <c r="A46" s="334"/>
      <c r="B46" s="334" t="s">
        <v>337</v>
      </c>
      <c r="C46" s="221"/>
      <c r="D46" s="153">
        <f t="shared" si="61"/>
        <v>0</v>
      </c>
      <c r="E46" s="153">
        <f t="shared" si="34"/>
        <v>0</v>
      </c>
      <c r="F46" s="192">
        <f t="shared" si="35"/>
        <v>0</v>
      </c>
      <c r="G46" s="192" t="e">
        <f t="shared" si="36"/>
        <v>#DIV/0!</v>
      </c>
      <c r="H46" s="153"/>
      <c r="I46" s="153"/>
      <c r="J46" s="156">
        <f t="shared" si="9"/>
        <v>0</v>
      </c>
      <c r="K46" s="156"/>
      <c r="L46" s="153"/>
      <c r="M46" s="153"/>
      <c r="N46" s="156">
        <f t="shared" si="37"/>
        <v>0</v>
      </c>
      <c r="O46" s="156"/>
      <c r="P46" s="153"/>
      <c r="Q46" s="153"/>
      <c r="R46" s="156">
        <f t="shared" si="38"/>
        <v>0</v>
      </c>
      <c r="S46" s="156"/>
      <c r="T46" s="153"/>
      <c r="U46" s="153"/>
      <c r="V46" s="156">
        <f t="shared" si="39"/>
        <v>0</v>
      </c>
      <c r="W46" s="156"/>
      <c r="X46" s="153">
        <f t="shared" si="62"/>
        <v>0</v>
      </c>
      <c r="Y46" s="153">
        <f t="shared" si="62"/>
        <v>0</v>
      </c>
      <c r="Z46" s="156">
        <f t="shared" si="40"/>
        <v>0</v>
      </c>
      <c r="AA46" s="156"/>
      <c r="AB46" s="153"/>
      <c r="AC46" s="153"/>
      <c r="AD46" s="156">
        <f t="shared" si="41"/>
        <v>0</v>
      </c>
      <c r="AE46" s="156" t="e">
        <f>AC46/AB46</f>
        <v>#DIV/0!</v>
      </c>
      <c r="AF46" s="153"/>
      <c r="AG46" s="153"/>
      <c r="AH46" s="156">
        <f t="shared" si="42"/>
        <v>0</v>
      </c>
      <c r="AI46" s="153"/>
      <c r="AJ46" s="153"/>
      <c r="AK46" s="156">
        <f t="shared" si="43"/>
        <v>0</v>
      </c>
      <c r="AL46" s="156"/>
      <c r="AM46" s="153"/>
      <c r="AN46" s="153"/>
      <c r="AO46" s="156">
        <f t="shared" si="44"/>
        <v>0</v>
      </c>
      <c r="AP46" s="156"/>
      <c r="AQ46" s="156"/>
      <c r="AR46" s="156"/>
      <c r="AS46" s="156">
        <f t="shared" si="45"/>
        <v>0</v>
      </c>
      <c r="AT46" s="156"/>
      <c r="AU46" s="153"/>
      <c r="AV46" s="153"/>
      <c r="AW46" s="156">
        <f t="shared" si="46"/>
        <v>0</v>
      </c>
      <c r="AX46" s="156"/>
      <c r="AY46" s="153"/>
      <c r="AZ46" s="153"/>
      <c r="BA46" s="156">
        <f t="shared" si="47"/>
        <v>0</v>
      </c>
      <c r="BB46" s="156"/>
      <c r="BC46" s="153"/>
      <c r="BD46" s="153"/>
      <c r="BE46" s="156">
        <f t="shared" si="48"/>
        <v>0</v>
      </c>
      <c r="BF46" s="156"/>
      <c r="BG46" s="153"/>
      <c r="BH46" s="153"/>
      <c r="BI46" s="156">
        <f t="shared" si="49"/>
        <v>0</v>
      </c>
      <c r="BJ46" s="156"/>
      <c r="BK46" s="153"/>
      <c r="BL46" s="153"/>
      <c r="BM46" s="156">
        <f t="shared" si="50"/>
        <v>0</v>
      </c>
      <c r="BN46" s="156"/>
      <c r="BO46" s="153"/>
      <c r="BP46" s="153"/>
      <c r="BQ46" s="156">
        <f t="shared" si="51"/>
        <v>0</v>
      </c>
      <c r="BR46" s="156"/>
      <c r="BS46" s="153"/>
      <c r="BT46" s="153"/>
      <c r="BU46" s="156">
        <f t="shared" si="52"/>
        <v>0</v>
      </c>
      <c r="BV46" s="156"/>
      <c r="BW46" s="153"/>
      <c r="BX46" s="153"/>
      <c r="BY46" s="156">
        <f t="shared" si="53"/>
        <v>0</v>
      </c>
      <c r="BZ46" s="156"/>
      <c r="CA46" s="153"/>
      <c r="CB46" s="153"/>
      <c r="CC46" s="156">
        <f t="shared" si="54"/>
        <v>0</v>
      </c>
      <c r="CD46" s="156"/>
      <c r="CE46" s="153"/>
      <c r="CF46" s="153"/>
      <c r="CG46" s="156">
        <f t="shared" si="55"/>
        <v>0</v>
      </c>
      <c r="CH46" s="156"/>
      <c r="CI46" s="153"/>
      <c r="CJ46" s="153"/>
      <c r="CK46" s="156">
        <f t="shared" si="56"/>
        <v>0</v>
      </c>
      <c r="CL46" s="222"/>
      <c r="CM46" s="222"/>
      <c r="CN46" s="222"/>
      <c r="CO46" s="222">
        <f t="shared" si="57"/>
        <v>0</v>
      </c>
      <c r="CP46" s="222"/>
      <c r="CQ46" s="14"/>
      <c r="CR46" s="14"/>
      <c r="CS46" s="261">
        <f t="shared" si="58"/>
        <v>0</v>
      </c>
      <c r="CT46" s="262"/>
      <c r="CU46" s="13"/>
      <c r="CV46" s="13"/>
      <c r="CW46" s="261">
        <f t="shared" si="59"/>
        <v>0</v>
      </c>
      <c r="CX46" s="262"/>
      <c r="CY46" s="13"/>
      <c r="CZ46" s="13"/>
      <c r="DA46" s="261">
        <f t="shared" si="60"/>
        <v>0</v>
      </c>
      <c r="DB46" s="262"/>
    </row>
    <row r="47" spans="1:106" ht="14.25" hidden="1" customHeight="1">
      <c r="A47" s="334"/>
      <c r="B47" s="335" t="s">
        <v>338</v>
      </c>
      <c r="C47" s="221"/>
      <c r="D47" s="153">
        <f t="shared" si="61"/>
        <v>0</v>
      </c>
      <c r="E47" s="153">
        <f t="shared" si="34"/>
        <v>0</v>
      </c>
      <c r="F47" s="192">
        <f t="shared" si="35"/>
        <v>0</v>
      </c>
      <c r="G47" s="192" t="e">
        <f t="shared" si="36"/>
        <v>#DIV/0!</v>
      </c>
      <c r="H47" s="153"/>
      <c r="I47" s="153"/>
      <c r="J47" s="156">
        <f t="shared" si="9"/>
        <v>0</v>
      </c>
      <c r="K47" s="156"/>
      <c r="L47" s="153"/>
      <c r="M47" s="153"/>
      <c r="N47" s="156">
        <f t="shared" si="37"/>
        <v>0</v>
      </c>
      <c r="O47" s="156"/>
      <c r="P47" s="153"/>
      <c r="Q47" s="153"/>
      <c r="R47" s="156">
        <f t="shared" si="38"/>
        <v>0</v>
      </c>
      <c r="S47" s="156"/>
      <c r="T47" s="153"/>
      <c r="U47" s="153"/>
      <c r="V47" s="156">
        <f t="shared" si="39"/>
        <v>0</v>
      </c>
      <c r="W47" s="156"/>
      <c r="X47" s="153">
        <f t="shared" si="62"/>
        <v>0</v>
      </c>
      <c r="Y47" s="153">
        <f t="shared" si="62"/>
        <v>0</v>
      </c>
      <c r="Z47" s="156">
        <f t="shared" si="40"/>
        <v>0</v>
      </c>
      <c r="AA47" s="156"/>
      <c r="AB47" s="153"/>
      <c r="AC47" s="153"/>
      <c r="AD47" s="156">
        <f t="shared" si="41"/>
        <v>0</v>
      </c>
      <c r="AE47" s="156" t="e">
        <f>AC47/AB47</f>
        <v>#DIV/0!</v>
      </c>
      <c r="AF47" s="153"/>
      <c r="AG47" s="153"/>
      <c r="AH47" s="156">
        <f t="shared" si="42"/>
        <v>0</v>
      </c>
      <c r="AI47" s="153"/>
      <c r="AJ47" s="153"/>
      <c r="AK47" s="156">
        <f t="shared" si="43"/>
        <v>0</v>
      </c>
      <c r="AL47" s="156"/>
      <c r="AM47" s="153"/>
      <c r="AN47" s="153"/>
      <c r="AO47" s="156">
        <f t="shared" si="44"/>
        <v>0</v>
      </c>
      <c r="AP47" s="156"/>
      <c r="AQ47" s="156"/>
      <c r="AR47" s="156"/>
      <c r="AS47" s="156">
        <f t="shared" si="45"/>
        <v>0</v>
      </c>
      <c r="AT47" s="156"/>
      <c r="AU47" s="153"/>
      <c r="AV47" s="153"/>
      <c r="AW47" s="156">
        <f t="shared" si="46"/>
        <v>0</v>
      </c>
      <c r="AX47" s="156"/>
      <c r="AY47" s="153"/>
      <c r="AZ47" s="153"/>
      <c r="BA47" s="156">
        <f t="shared" si="47"/>
        <v>0</v>
      </c>
      <c r="BB47" s="156"/>
      <c r="BC47" s="153"/>
      <c r="BD47" s="153"/>
      <c r="BE47" s="156">
        <f t="shared" si="48"/>
        <v>0</v>
      </c>
      <c r="BF47" s="156"/>
      <c r="BG47" s="153"/>
      <c r="BH47" s="153"/>
      <c r="BI47" s="156">
        <f t="shared" si="49"/>
        <v>0</v>
      </c>
      <c r="BJ47" s="156"/>
      <c r="BK47" s="153"/>
      <c r="BL47" s="153"/>
      <c r="BM47" s="156">
        <f t="shared" si="50"/>
        <v>0</v>
      </c>
      <c r="BN47" s="156"/>
      <c r="BO47" s="153"/>
      <c r="BP47" s="153"/>
      <c r="BQ47" s="156">
        <f t="shared" si="51"/>
        <v>0</v>
      </c>
      <c r="BR47" s="156"/>
      <c r="BS47" s="153"/>
      <c r="BT47" s="153"/>
      <c r="BU47" s="156">
        <f t="shared" si="52"/>
        <v>0</v>
      </c>
      <c r="BV47" s="156"/>
      <c r="BW47" s="153"/>
      <c r="BX47" s="153"/>
      <c r="BY47" s="156">
        <f t="shared" si="53"/>
        <v>0</v>
      </c>
      <c r="BZ47" s="156"/>
      <c r="CA47" s="153"/>
      <c r="CB47" s="153"/>
      <c r="CC47" s="156">
        <f t="shared" si="54"/>
        <v>0</v>
      </c>
      <c r="CD47" s="156"/>
      <c r="CE47" s="153"/>
      <c r="CF47" s="153"/>
      <c r="CG47" s="156">
        <f t="shared" si="55"/>
        <v>0</v>
      </c>
      <c r="CH47" s="156"/>
      <c r="CI47" s="153"/>
      <c r="CJ47" s="153"/>
      <c r="CK47" s="156">
        <f t="shared" si="56"/>
        <v>0</v>
      </c>
      <c r="CL47" s="222"/>
      <c r="CM47" s="222"/>
      <c r="CN47" s="222"/>
      <c r="CO47" s="222">
        <f t="shared" si="57"/>
        <v>0</v>
      </c>
      <c r="CP47" s="222"/>
      <c r="CQ47" s="14"/>
      <c r="CR47" s="14"/>
      <c r="CS47" s="261">
        <f t="shared" si="58"/>
        <v>0</v>
      </c>
      <c r="CT47" s="262"/>
      <c r="CU47" s="13"/>
      <c r="CV47" s="13"/>
      <c r="CW47" s="261">
        <f t="shared" si="59"/>
        <v>0</v>
      </c>
      <c r="CX47" s="262"/>
      <c r="CY47" s="13"/>
      <c r="CZ47" s="13"/>
      <c r="DA47" s="261">
        <f t="shared" si="60"/>
        <v>0</v>
      </c>
      <c r="DB47" s="262"/>
    </row>
    <row r="48" spans="1:106" ht="14.25" hidden="1" customHeight="1">
      <c r="A48" s="334"/>
      <c r="B48" s="334" t="s">
        <v>543</v>
      </c>
      <c r="C48" s="221"/>
      <c r="D48" s="153">
        <f t="shared" si="61"/>
        <v>0</v>
      </c>
      <c r="E48" s="153">
        <f t="shared" si="34"/>
        <v>0</v>
      </c>
      <c r="F48" s="192">
        <f t="shared" si="35"/>
        <v>0</v>
      </c>
      <c r="G48" s="192" t="e">
        <f t="shared" si="36"/>
        <v>#DIV/0!</v>
      </c>
      <c r="H48" s="153"/>
      <c r="I48" s="153"/>
      <c r="J48" s="156">
        <f t="shared" si="9"/>
        <v>0</v>
      </c>
      <c r="K48" s="156"/>
      <c r="L48" s="153"/>
      <c r="M48" s="153"/>
      <c r="N48" s="156">
        <f t="shared" si="37"/>
        <v>0</v>
      </c>
      <c r="O48" s="156"/>
      <c r="P48" s="153"/>
      <c r="Q48" s="153"/>
      <c r="R48" s="156">
        <f t="shared" si="38"/>
        <v>0</v>
      </c>
      <c r="S48" s="156"/>
      <c r="T48" s="153"/>
      <c r="U48" s="153"/>
      <c r="V48" s="156">
        <f t="shared" si="39"/>
        <v>0</v>
      </c>
      <c r="W48" s="156"/>
      <c r="X48" s="153">
        <f t="shared" si="62"/>
        <v>0</v>
      </c>
      <c r="Y48" s="153">
        <f t="shared" si="62"/>
        <v>0</v>
      </c>
      <c r="Z48" s="156">
        <f t="shared" si="40"/>
        <v>0</v>
      </c>
      <c r="AA48" s="156"/>
      <c r="AB48" s="153"/>
      <c r="AC48" s="153"/>
      <c r="AD48" s="156">
        <f t="shared" si="41"/>
        <v>0</v>
      </c>
      <c r="AE48" s="156" t="e">
        <f>AC48/AB48</f>
        <v>#DIV/0!</v>
      </c>
      <c r="AF48" s="153"/>
      <c r="AG48" s="153"/>
      <c r="AH48" s="156">
        <f t="shared" si="42"/>
        <v>0</v>
      </c>
      <c r="AI48" s="153"/>
      <c r="AJ48" s="153"/>
      <c r="AK48" s="156">
        <f t="shared" si="43"/>
        <v>0</v>
      </c>
      <c r="AL48" s="156"/>
      <c r="AM48" s="153"/>
      <c r="AN48" s="153"/>
      <c r="AO48" s="156">
        <f t="shared" si="44"/>
        <v>0</v>
      </c>
      <c r="AP48" s="156"/>
      <c r="AQ48" s="156"/>
      <c r="AR48" s="156"/>
      <c r="AS48" s="156">
        <f t="shared" si="45"/>
        <v>0</v>
      </c>
      <c r="AT48" s="156"/>
      <c r="AU48" s="153"/>
      <c r="AV48" s="153"/>
      <c r="AW48" s="156">
        <f t="shared" si="46"/>
        <v>0</v>
      </c>
      <c r="AX48" s="156"/>
      <c r="AY48" s="153"/>
      <c r="AZ48" s="153"/>
      <c r="BA48" s="156">
        <f t="shared" si="47"/>
        <v>0</v>
      </c>
      <c r="BB48" s="156"/>
      <c r="BC48" s="153"/>
      <c r="BD48" s="153"/>
      <c r="BE48" s="156">
        <f t="shared" si="48"/>
        <v>0</v>
      </c>
      <c r="BF48" s="156"/>
      <c r="BG48" s="153"/>
      <c r="BH48" s="153"/>
      <c r="BI48" s="156">
        <f t="shared" si="49"/>
        <v>0</v>
      </c>
      <c r="BJ48" s="156"/>
      <c r="BK48" s="153"/>
      <c r="BL48" s="153"/>
      <c r="BM48" s="156">
        <f t="shared" si="50"/>
        <v>0</v>
      </c>
      <c r="BN48" s="156"/>
      <c r="BO48" s="153"/>
      <c r="BP48" s="153"/>
      <c r="BQ48" s="156">
        <f t="shared" si="51"/>
        <v>0</v>
      </c>
      <c r="BR48" s="156"/>
      <c r="BS48" s="153"/>
      <c r="BT48" s="153"/>
      <c r="BU48" s="156">
        <f t="shared" si="52"/>
        <v>0</v>
      </c>
      <c r="BV48" s="156"/>
      <c r="BW48" s="153"/>
      <c r="BX48" s="153"/>
      <c r="BY48" s="156">
        <f t="shared" si="53"/>
        <v>0</v>
      </c>
      <c r="BZ48" s="156"/>
      <c r="CA48" s="153"/>
      <c r="CB48" s="153"/>
      <c r="CC48" s="156">
        <f t="shared" si="54"/>
        <v>0</v>
      </c>
      <c r="CD48" s="156"/>
      <c r="CE48" s="153"/>
      <c r="CF48" s="153"/>
      <c r="CG48" s="156">
        <f t="shared" si="55"/>
        <v>0</v>
      </c>
      <c r="CH48" s="156"/>
      <c r="CI48" s="153"/>
      <c r="CJ48" s="153"/>
      <c r="CK48" s="156">
        <f t="shared" si="56"/>
        <v>0</v>
      </c>
      <c r="CL48" s="222"/>
      <c r="CM48" s="222"/>
      <c r="CN48" s="222"/>
      <c r="CO48" s="222">
        <f t="shared" si="57"/>
        <v>0</v>
      </c>
      <c r="CP48" s="222"/>
      <c r="CQ48" s="14"/>
      <c r="CR48" s="14"/>
      <c r="CS48" s="261">
        <f t="shared" si="58"/>
        <v>0</v>
      </c>
      <c r="CT48" s="262"/>
      <c r="CU48" s="13"/>
      <c r="CV48" s="13"/>
      <c r="CW48" s="261">
        <f t="shared" si="59"/>
        <v>0</v>
      </c>
      <c r="CX48" s="262"/>
      <c r="CY48" s="13"/>
      <c r="CZ48" s="13"/>
      <c r="DA48" s="261">
        <f t="shared" si="60"/>
        <v>0</v>
      </c>
      <c r="DB48" s="262"/>
    </row>
    <row r="49" spans="1:106" ht="14.25" hidden="1" customHeight="1">
      <c r="A49" s="334"/>
      <c r="B49" s="334" t="s">
        <v>339</v>
      </c>
      <c r="C49" s="221"/>
      <c r="D49" s="153">
        <f t="shared" si="61"/>
        <v>1.9830000000000001</v>
      </c>
      <c r="E49" s="153">
        <f t="shared" si="34"/>
        <v>0</v>
      </c>
      <c r="F49" s="192">
        <f t="shared" si="35"/>
        <v>-1.9830000000000001</v>
      </c>
      <c r="G49" s="192">
        <f t="shared" si="36"/>
        <v>0</v>
      </c>
      <c r="H49" s="153"/>
      <c r="I49" s="153"/>
      <c r="J49" s="156">
        <f t="shared" si="9"/>
        <v>0</v>
      </c>
      <c r="K49" s="156"/>
      <c r="L49" s="153">
        <v>1.9830000000000001</v>
      </c>
      <c r="M49" s="153"/>
      <c r="N49" s="156">
        <f t="shared" si="37"/>
        <v>-1.9830000000000001</v>
      </c>
      <c r="O49" s="156"/>
      <c r="P49" s="153"/>
      <c r="Q49" s="153"/>
      <c r="R49" s="156">
        <f t="shared" si="38"/>
        <v>0</v>
      </c>
      <c r="S49" s="156"/>
      <c r="T49" s="153"/>
      <c r="U49" s="153"/>
      <c r="V49" s="156">
        <f t="shared" si="39"/>
        <v>0</v>
      </c>
      <c r="W49" s="156"/>
      <c r="X49" s="153">
        <f t="shared" si="62"/>
        <v>0</v>
      </c>
      <c r="Y49" s="153">
        <f t="shared" si="62"/>
        <v>0</v>
      </c>
      <c r="Z49" s="156">
        <f t="shared" si="40"/>
        <v>0</v>
      </c>
      <c r="AA49" s="156"/>
      <c r="AB49" s="153"/>
      <c r="AC49" s="153"/>
      <c r="AD49" s="156">
        <f t="shared" si="41"/>
        <v>0</v>
      </c>
      <c r="AE49" s="156"/>
      <c r="AF49" s="153"/>
      <c r="AG49" s="153"/>
      <c r="AH49" s="156">
        <f t="shared" si="42"/>
        <v>0</v>
      </c>
      <c r="AI49" s="153"/>
      <c r="AJ49" s="153"/>
      <c r="AK49" s="156">
        <f t="shared" si="43"/>
        <v>0</v>
      </c>
      <c r="AL49" s="156"/>
      <c r="AM49" s="153"/>
      <c r="AN49" s="153"/>
      <c r="AO49" s="156">
        <f t="shared" si="44"/>
        <v>0</v>
      </c>
      <c r="AP49" s="156"/>
      <c r="AQ49" s="156"/>
      <c r="AR49" s="156"/>
      <c r="AS49" s="156">
        <f t="shared" si="45"/>
        <v>0</v>
      </c>
      <c r="AT49" s="156"/>
      <c r="AU49" s="153"/>
      <c r="AV49" s="153"/>
      <c r="AW49" s="156">
        <f t="shared" si="46"/>
        <v>0</v>
      </c>
      <c r="AX49" s="156"/>
      <c r="AY49" s="153"/>
      <c r="AZ49" s="153"/>
      <c r="BA49" s="156">
        <f t="shared" si="47"/>
        <v>0</v>
      </c>
      <c r="BB49" s="156"/>
      <c r="BC49" s="153"/>
      <c r="BD49" s="153"/>
      <c r="BE49" s="156">
        <f t="shared" si="48"/>
        <v>0</v>
      </c>
      <c r="BF49" s="156"/>
      <c r="BG49" s="153"/>
      <c r="BH49" s="153"/>
      <c r="BI49" s="156">
        <f t="shared" si="49"/>
        <v>0</v>
      </c>
      <c r="BJ49" s="156"/>
      <c r="BK49" s="153"/>
      <c r="BL49" s="153"/>
      <c r="BM49" s="156">
        <f t="shared" si="50"/>
        <v>0</v>
      </c>
      <c r="BN49" s="156"/>
      <c r="BO49" s="153"/>
      <c r="BP49" s="153"/>
      <c r="BQ49" s="156">
        <f t="shared" si="51"/>
        <v>0</v>
      </c>
      <c r="BR49" s="156"/>
      <c r="BS49" s="153"/>
      <c r="BT49" s="153"/>
      <c r="BU49" s="156">
        <f t="shared" si="52"/>
        <v>0</v>
      </c>
      <c r="BV49" s="156"/>
      <c r="BW49" s="153"/>
      <c r="BX49" s="153"/>
      <c r="BY49" s="156">
        <f t="shared" si="53"/>
        <v>0</v>
      </c>
      <c r="BZ49" s="156"/>
      <c r="CA49" s="153"/>
      <c r="CB49" s="153"/>
      <c r="CC49" s="156">
        <f t="shared" si="54"/>
        <v>0</v>
      </c>
      <c r="CD49" s="156"/>
      <c r="CE49" s="153"/>
      <c r="CF49" s="153"/>
      <c r="CG49" s="156">
        <f t="shared" si="55"/>
        <v>0</v>
      </c>
      <c r="CH49" s="156"/>
      <c r="CI49" s="153"/>
      <c r="CJ49" s="153"/>
      <c r="CK49" s="156">
        <f t="shared" si="56"/>
        <v>0</v>
      </c>
      <c r="CL49" s="222"/>
      <c r="CM49" s="222"/>
      <c r="CN49" s="222"/>
      <c r="CO49" s="222">
        <f t="shared" si="57"/>
        <v>0</v>
      </c>
      <c r="CP49" s="222"/>
      <c r="CQ49" s="14"/>
      <c r="CR49" s="14"/>
      <c r="CS49" s="261">
        <f t="shared" si="58"/>
        <v>0</v>
      </c>
      <c r="CT49" s="262"/>
      <c r="CU49" s="13"/>
      <c r="CV49" s="13"/>
      <c r="CW49" s="261">
        <f t="shared" si="59"/>
        <v>0</v>
      </c>
      <c r="CX49" s="262"/>
      <c r="CY49" s="13"/>
      <c r="CZ49" s="13"/>
      <c r="DA49" s="261">
        <f t="shared" si="60"/>
        <v>0</v>
      </c>
      <c r="DB49" s="262"/>
    </row>
    <row r="50" spans="1:106" ht="14.25" hidden="1" customHeight="1">
      <c r="A50" s="334"/>
      <c r="B50" s="334" t="s">
        <v>340</v>
      </c>
      <c r="C50" s="221"/>
      <c r="D50" s="153">
        <f t="shared" si="61"/>
        <v>0</v>
      </c>
      <c r="E50" s="153">
        <f t="shared" si="34"/>
        <v>0</v>
      </c>
      <c r="F50" s="192">
        <f t="shared" si="35"/>
        <v>0</v>
      </c>
      <c r="G50" s="192" t="e">
        <f t="shared" si="36"/>
        <v>#DIV/0!</v>
      </c>
      <c r="H50" s="153"/>
      <c r="I50" s="153"/>
      <c r="J50" s="156">
        <f t="shared" si="9"/>
        <v>0</v>
      </c>
      <c r="K50" s="156"/>
      <c r="L50" s="153"/>
      <c r="M50" s="153"/>
      <c r="N50" s="156">
        <f t="shared" si="37"/>
        <v>0</v>
      </c>
      <c r="O50" s="156"/>
      <c r="P50" s="153"/>
      <c r="Q50" s="153"/>
      <c r="R50" s="156">
        <f t="shared" si="38"/>
        <v>0</v>
      </c>
      <c r="S50" s="156"/>
      <c r="T50" s="153"/>
      <c r="U50" s="153"/>
      <c r="V50" s="156">
        <f t="shared" si="39"/>
        <v>0</v>
      </c>
      <c r="W50" s="156"/>
      <c r="X50" s="153">
        <f t="shared" si="62"/>
        <v>0</v>
      </c>
      <c r="Y50" s="153">
        <f t="shared" si="62"/>
        <v>0</v>
      </c>
      <c r="Z50" s="156">
        <f t="shared" si="40"/>
        <v>0</v>
      </c>
      <c r="AA50" s="156"/>
      <c r="AB50" s="153"/>
      <c r="AC50" s="153"/>
      <c r="AD50" s="156">
        <f t="shared" si="41"/>
        <v>0</v>
      </c>
      <c r="AE50" s="156" t="e">
        <f>AC50/AB50</f>
        <v>#DIV/0!</v>
      </c>
      <c r="AF50" s="153"/>
      <c r="AG50" s="153"/>
      <c r="AH50" s="156">
        <f t="shared" si="42"/>
        <v>0</v>
      </c>
      <c r="AI50" s="153"/>
      <c r="AJ50" s="153"/>
      <c r="AK50" s="156">
        <f t="shared" si="43"/>
        <v>0</v>
      </c>
      <c r="AL50" s="156"/>
      <c r="AM50" s="153"/>
      <c r="AN50" s="153"/>
      <c r="AO50" s="156">
        <f t="shared" si="44"/>
        <v>0</v>
      </c>
      <c r="AP50" s="156"/>
      <c r="AQ50" s="156"/>
      <c r="AR50" s="156"/>
      <c r="AS50" s="156">
        <f t="shared" si="45"/>
        <v>0</v>
      </c>
      <c r="AT50" s="156"/>
      <c r="AU50" s="153"/>
      <c r="AV50" s="153"/>
      <c r="AW50" s="156">
        <f t="shared" si="46"/>
        <v>0</v>
      </c>
      <c r="AX50" s="156"/>
      <c r="AY50" s="153"/>
      <c r="AZ50" s="153"/>
      <c r="BA50" s="156">
        <f t="shared" si="47"/>
        <v>0</v>
      </c>
      <c r="BB50" s="156"/>
      <c r="BC50" s="153"/>
      <c r="BD50" s="153"/>
      <c r="BE50" s="156">
        <f t="shared" si="48"/>
        <v>0</v>
      </c>
      <c r="BF50" s="156"/>
      <c r="BG50" s="153"/>
      <c r="BH50" s="153"/>
      <c r="BI50" s="156">
        <f t="shared" si="49"/>
        <v>0</v>
      </c>
      <c r="BJ50" s="156"/>
      <c r="BK50" s="153"/>
      <c r="BL50" s="153"/>
      <c r="BM50" s="156">
        <f t="shared" si="50"/>
        <v>0</v>
      </c>
      <c r="BN50" s="156"/>
      <c r="BO50" s="153"/>
      <c r="BP50" s="153"/>
      <c r="BQ50" s="156">
        <f t="shared" si="51"/>
        <v>0</v>
      </c>
      <c r="BR50" s="156"/>
      <c r="BS50" s="153"/>
      <c r="BT50" s="153"/>
      <c r="BU50" s="156">
        <f t="shared" si="52"/>
        <v>0</v>
      </c>
      <c r="BV50" s="156"/>
      <c r="BW50" s="153"/>
      <c r="BX50" s="153"/>
      <c r="BY50" s="156">
        <f t="shared" si="53"/>
        <v>0</v>
      </c>
      <c r="BZ50" s="156"/>
      <c r="CA50" s="153"/>
      <c r="CB50" s="153"/>
      <c r="CC50" s="156">
        <f t="shared" si="54"/>
        <v>0</v>
      </c>
      <c r="CD50" s="156"/>
      <c r="CE50" s="153"/>
      <c r="CF50" s="153"/>
      <c r="CG50" s="156">
        <f t="shared" si="55"/>
        <v>0</v>
      </c>
      <c r="CH50" s="156"/>
      <c r="CI50" s="153"/>
      <c r="CJ50" s="153"/>
      <c r="CK50" s="156">
        <f t="shared" si="56"/>
        <v>0</v>
      </c>
      <c r="CL50" s="222"/>
      <c r="CM50" s="222"/>
      <c r="CN50" s="222"/>
      <c r="CO50" s="222">
        <f t="shared" si="57"/>
        <v>0</v>
      </c>
      <c r="CP50" s="222"/>
      <c r="CQ50" s="14"/>
      <c r="CR50" s="14"/>
      <c r="CS50" s="261">
        <f t="shared" si="58"/>
        <v>0</v>
      </c>
      <c r="CT50" s="262"/>
      <c r="CU50" s="13"/>
      <c r="CV50" s="13"/>
      <c r="CW50" s="261">
        <f t="shared" si="59"/>
        <v>0</v>
      </c>
      <c r="CX50" s="262"/>
      <c r="CY50" s="13"/>
      <c r="CZ50" s="13"/>
      <c r="DA50" s="261">
        <f t="shared" si="60"/>
        <v>0</v>
      </c>
      <c r="DB50" s="262"/>
    </row>
    <row r="51" spans="1:106" ht="14.25" hidden="1" customHeight="1">
      <c r="A51" s="334"/>
      <c r="B51" s="334" t="s">
        <v>696</v>
      </c>
      <c r="C51" s="221"/>
      <c r="D51" s="153">
        <f t="shared" si="61"/>
        <v>0</v>
      </c>
      <c r="E51" s="153">
        <f t="shared" si="34"/>
        <v>0</v>
      </c>
      <c r="F51" s="192">
        <f t="shared" si="35"/>
        <v>0</v>
      </c>
      <c r="G51" s="192" t="e">
        <f t="shared" si="36"/>
        <v>#DIV/0!</v>
      </c>
      <c r="H51" s="153"/>
      <c r="I51" s="153"/>
      <c r="J51" s="156">
        <f t="shared" si="9"/>
        <v>0</v>
      </c>
      <c r="K51" s="156"/>
      <c r="L51" s="153"/>
      <c r="M51" s="153"/>
      <c r="N51" s="156">
        <f t="shared" si="37"/>
        <v>0</v>
      </c>
      <c r="O51" s="156"/>
      <c r="P51" s="153"/>
      <c r="Q51" s="153"/>
      <c r="R51" s="156">
        <f t="shared" si="38"/>
        <v>0</v>
      </c>
      <c r="S51" s="156"/>
      <c r="T51" s="153"/>
      <c r="U51" s="153"/>
      <c r="V51" s="156">
        <f t="shared" si="39"/>
        <v>0</v>
      </c>
      <c r="W51" s="156"/>
      <c r="X51" s="153">
        <f t="shared" si="62"/>
        <v>0</v>
      </c>
      <c r="Y51" s="153">
        <f t="shared" si="62"/>
        <v>0</v>
      </c>
      <c r="Z51" s="156">
        <f t="shared" si="40"/>
        <v>0</v>
      </c>
      <c r="AA51" s="156"/>
      <c r="AB51" s="153"/>
      <c r="AC51" s="153"/>
      <c r="AD51" s="156">
        <f t="shared" si="41"/>
        <v>0</v>
      </c>
      <c r="AE51" s="156" t="e">
        <f>AC51/AB51</f>
        <v>#DIV/0!</v>
      </c>
      <c r="AF51" s="153"/>
      <c r="AG51" s="153"/>
      <c r="AH51" s="156">
        <f t="shared" si="42"/>
        <v>0</v>
      </c>
      <c r="AI51" s="153"/>
      <c r="AJ51" s="153"/>
      <c r="AK51" s="156">
        <f t="shared" si="43"/>
        <v>0</v>
      </c>
      <c r="AL51" s="156"/>
      <c r="AM51" s="153"/>
      <c r="AN51" s="153"/>
      <c r="AO51" s="156">
        <f t="shared" si="44"/>
        <v>0</v>
      </c>
      <c r="AP51" s="156"/>
      <c r="AQ51" s="156"/>
      <c r="AR51" s="156"/>
      <c r="AS51" s="156">
        <f t="shared" si="45"/>
        <v>0</v>
      </c>
      <c r="AT51" s="156"/>
      <c r="AU51" s="153"/>
      <c r="AV51" s="153"/>
      <c r="AW51" s="156">
        <f t="shared" si="46"/>
        <v>0</v>
      </c>
      <c r="AX51" s="156"/>
      <c r="AY51" s="153"/>
      <c r="AZ51" s="153"/>
      <c r="BA51" s="156">
        <f t="shared" si="47"/>
        <v>0</v>
      </c>
      <c r="BB51" s="156"/>
      <c r="BC51" s="153"/>
      <c r="BD51" s="153"/>
      <c r="BE51" s="156">
        <f t="shared" si="48"/>
        <v>0</v>
      </c>
      <c r="BF51" s="156"/>
      <c r="BG51" s="153"/>
      <c r="BH51" s="153"/>
      <c r="BI51" s="156">
        <f t="shared" si="49"/>
        <v>0</v>
      </c>
      <c r="BJ51" s="156"/>
      <c r="BK51" s="153"/>
      <c r="BL51" s="153"/>
      <c r="BM51" s="156">
        <f t="shared" si="50"/>
        <v>0</v>
      </c>
      <c r="BN51" s="156"/>
      <c r="BO51" s="153"/>
      <c r="BP51" s="153"/>
      <c r="BQ51" s="156">
        <f t="shared" si="51"/>
        <v>0</v>
      </c>
      <c r="BR51" s="156"/>
      <c r="BS51" s="153"/>
      <c r="BT51" s="153"/>
      <c r="BU51" s="156">
        <f t="shared" si="52"/>
        <v>0</v>
      </c>
      <c r="BV51" s="156"/>
      <c r="BW51" s="153"/>
      <c r="BX51" s="153"/>
      <c r="BY51" s="156">
        <f t="shared" si="53"/>
        <v>0</v>
      </c>
      <c r="BZ51" s="156"/>
      <c r="CA51" s="153"/>
      <c r="CB51" s="153"/>
      <c r="CC51" s="156">
        <f t="shared" si="54"/>
        <v>0</v>
      </c>
      <c r="CD51" s="156"/>
      <c r="CE51" s="153"/>
      <c r="CF51" s="153"/>
      <c r="CG51" s="156">
        <f t="shared" si="55"/>
        <v>0</v>
      </c>
      <c r="CH51" s="156"/>
      <c r="CI51" s="153"/>
      <c r="CJ51" s="153"/>
      <c r="CK51" s="156">
        <f t="shared" si="56"/>
        <v>0</v>
      </c>
      <c r="CL51" s="222"/>
      <c r="CM51" s="222"/>
      <c r="CN51" s="222"/>
      <c r="CO51" s="222">
        <f t="shared" si="57"/>
        <v>0</v>
      </c>
      <c r="CP51" s="222"/>
      <c r="CQ51" s="14"/>
      <c r="CR51" s="14"/>
      <c r="CS51" s="261">
        <f t="shared" si="58"/>
        <v>0</v>
      </c>
      <c r="CT51" s="262"/>
      <c r="CU51" s="13"/>
      <c r="CV51" s="13"/>
      <c r="CW51" s="261">
        <f t="shared" si="59"/>
        <v>0</v>
      </c>
      <c r="CX51" s="262"/>
      <c r="CY51" s="13"/>
      <c r="CZ51" s="13"/>
      <c r="DA51" s="261">
        <f t="shared" si="60"/>
        <v>0</v>
      </c>
      <c r="DB51" s="262"/>
    </row>
    <row r="52" spans="1:106" ht="14.25" hidden="1" customHeight="1">
      <c r="A52" s="334"/>
      <c r="B52" s="334" t="s">
        <v>697</v>
      </c>
      <c r="C52" s="221"/>
      <c r="D52" s="153">
        <f t="shared" si="61"/>
        <v>0</v>
      </c>
      <c r="E52" s="153">
        <f t="shared" si="34"/>
        <v>0</v>
      </c>
      <c r="F52" s="192">
        <f t="shared" si="35"/>
        <v>0</v>
      </c>
      <c r="G52" s="192" t="e">
        <f t="shared" si="36"/>
        <v>#DIV/0!</v>
      </c>
      <c r="H52" s="153"/>
      <c r="I52" s="153"/>
      <c r="J52" s="156">
        <f t="shared" si="9"/>
        <v>0</v>
      </c>
      <c r="K52" s="156"/>
      <c r="L52" s="153"/>
      <c r="M52" s="153"/>
      <c r="N52" s="156">
        <f t="shared" si="37"/>
        <v>0</v>
      </c>
      <c r="O52" s="156"/>
      <c r="P52" s="153"/>
      <c r="Q52" s="153"/>
      <c r="R52" s="156">
        <f t="shared" si="38"/>
        <v>0</v>
      </c>
      <c r="S52" s="156"/>
      <c r="T52" s="153"/>
      <c r="U52" s="153"/>
      <c r="V52" s="156">
        <f t="shared" si="39"/>
        <v>0</v>
      </c>
      <c r="W52" s="156"/>
      <c r="X52" s="153">
        <f t="shared" si="62"/>
        <v>0</v>
      </c>
      <c r="Y52" s="153">
        <f t="shared" si="62"/>
        <v>0</v>
      </c>
      <c r="Z52" s="156">
        <f t="shared" si="40"/>
        <v>0</v>
      </c>
      <c r="AA52" s="156"/>
      <c r="AB52" s="153"/>
      <c r="AC52" s="153"/>
      <c r="AD52" s="156">
        <f t="shared" si="41"/>
        <v>0</v>
      </c>
      <c r="AE52" s="156" t="e">
        <f>AC52/AB52</f>
        <v>#DIV/0!</v>
      </c>
      <c r="AF52" s="153"/>
      <c r="AG52" s="153"/>
      <c r="AH52" s="156">
        <f t="shared" si="42"/>
        <v>0</v>
      </c>
      <c r="AI52" s="153"/>
      <c r="AJ52" s="153"/>
      <c r="AK52" s="156">
        <f t="shared" si="43"/>
        <v>0</v>
      </c>
      <c r="AL52" s="156"/>
      <c r="AM52" s="153"/>
      <c r="AN52" s="153"/>
      <c r="AO52" s="156">
        <f t="shared" si="44"/>
        <v>0</v>
      </c>
      <c r="AP52" s="156"/>
      <c r="AQ52" s="156"/>
      <c r="AR52" s="156"/>
      <c r="AS52" s="156">
        <f t="shared" si="45"/>
        <v>0</v>
      </c>
      <c r="AT52" s="156"/>
      <c r="AU52" s="153"/>
      <c r="AV52" s="153"/>
      <c r="AW52" s="156">
        <f t="shared" si="46"/>
        <v>0</v>
      </c>
      <c r="AX52" s="156"/>
      <c r="AY52" s="153"/>
      <c r="AZ52" s="153"/>
      <c r="BA52" s="156">
        <f t="shared" si="47"/>
        <v>0</v>
      </c>
      <c r="BB52" s="156"/>
      <c r="BC52" s="153"/>
      <c r="BD52" s="153"/>
      <c r="BE52" s="156">
        <f t="shared" si="48"/>
        <v>0</v>
      </c>
      <c r="BF52" s="156"/>
      <c r="BG52" s="153"/>
      <c r="BH52" s="153"/>
      <c r="BI52" s="156">
        <f t="shared" si="49"/>
        <v>0</v>
      </c>
      <c r="BJ52" s="156"/>
      <c r="BK52" s="153"/>
      <c r="BL52" s="153"/>
      <c r="BM52" s="156">
        <f t="shared" si="50"/>
        <v>0</v>
      </c>
      <c r="BN52" s="156"/>
      <c r="BO52" s="153"/>
      <c r="BP52" s="153"/>
      <c r="BQ52" s="156">
        <f t="shared" si="51"/>
        <v>0</v>
      </c>
      <c r="BR52" s="156"/>
      <c r="BS52" s="153"/>
      <c r="BT52" s="153"/>
      <c r="BU52" s="156">
        <f t="shared" si="52"/>
        <v>0</v>
      </c>
      <c r="BV52" s="156"/>
      <c r="BW52" s="153"/>
      <c r="BX52" s="153"/>
      <c r="BY52" s="156">
        <f t="shared" si="53"/>
        <v>0</v>
      </c>
      <c r="BZ52" s="156"/>
      <c r="CA52" s="153"/>
      <c r="CB52" s="153"/>
      <c r="CC52" s="156">
        <f t="shared" si="54"/>
        <v>0</v>
      </c>
      <c r="CD52" s="156"/>
      <c r="CE52" s="153"/>
      <c r="CF52" s="153"/>
      <c r="CG52" s="156">
        <f t="shared" si="55"/>
        <v>0</v>
      </c>
      <c r="CH52" s="156"/>
      <c r="CI52" s="153"/>
      <c r="CJ52" s="153"/>
      <c r="CK52" s="156">
        <f t="shared" si="56"/>
        <v>0</v>
      </c>
      <c r="CL52" s="222"/>
      <c r="CM52" s="222"/>
      <c r="CN52" s="222"/>
      <c r="CO52" s="222">
        <f t="shared" si="57"/>
        <v>0</v>
      </c>
      <c r="CP52" s="222"/>
      <c r="CQ52" s="14"/>
      <c r="CR52" s="14"/>
      <c r="CS52" s="261">
        <f t="shared" si="58"/>
        <v>0</v>
      </c>
      <c r="CT52" s="262"/>
      <c r="CU52" s="13"/>
      <c r="CV52" s="13"/>
      <c r="CW52" s="261">
        <f t="shared" si="59"/>
        <v>0</v>
      </c>
      <c r="CX52" s="262"/>
      <c r="CY52" s="13"/>
      <c r="CZ52" s="13"/>
      <c r="DA52" s="261">
        <f t="shared" si="60"/>
        <v>0</v>
      </c>
      <c r="DB52" s="262"/>
    </row>
    <row r="53" spans="1:106" ht="14.25" hidden="1" customHeight="1">
      <c r="A53" s="334"/>
      <c r="B53" s="335" t="s">
        <v>341</v>
      </c>
      <c r="C53" s="221"/>
      <c r="D53" s="153">
        <f t="shared" si="61"/>
        <v>0</v>
      </c>
      <c r="E53" s="153">
        <f t="shared" si="34"/>
        <v>0</v>
      </c>
      <c r="F53" s="192">
        <f t="shared" si="35"/>
        <v>0</v>
      </c>
      <c r="G53" s="192" t="e">
        <f t="shared" si="36"/>
        <v>#DIV/0!</v>
      </c>
      <c r="H53" s="153"/>
      <c r="I53" s="153"/>
      <c r="J53" s="156">
        <f t="shared" si="9"/>
        <v>0</v>
      </c>
      <c r="K53" s="156"/>
      <c r="L53" s="153"/>
      <c r="M53" s="153"/>
      <c r="N53" s="156">
        <f t="shared" si="37"/>
        <v>0</v>
      </c>
      <c r="O53" s="156"/>
      <c r="P53" s="153"/>
      <c r="Q53" s="153"/>
      <c r="R53" s="156">
        <f t="shared" si="38"/>
        <v>0</v>
      </c>
      <c r="S53" s="156"/>
      <c r="T53" s="153"/>
      <c r="U53" s="153"/>
      <c r="V53" s="156">
        <f t="shared" si="39"/>
        <v>0</v>
      </c>
      <c r="W53" s="156"/>
      <c r="X53" s="153">
        <f t="shared" si="62"/>
        <v>0</v>
      </c>
      <c r="Y53" s="153">
        <f t="shared" si="62"/>
        <v>0</v>
      </c>
      <c r="Z53" s="156">
        <f t="shared" si="40"/>
        <v>0</v>
      </c>
      <c r="AA53" s="156"/>
      <c r="AB53" s="153"/>
      <c r="AC53" s="153"/>
      <c r="AD53" s="156">
        <f t="shared" si="41"/>
        <v>0</v>
      </c>
      <c r="AE53" s="156"/>
      <c r="AF53" s="153"/>
      <c r="AG53" s="153"/>
      <c r="AH53" s="156">
        <f t="shared" si="42"/>
        <v>0</v>
      </c>
      <c r="AI53" s="153"/>
      <c r="AJ53" s="153"/>
      <c r="AK53" s="156">
        <f t="shared" si="43"/>
        <v>0</v>
      </c>
      <c r="AL53" s="156"/>
      <c r="AM53" s="153"/>
      <c r="AN53" s="153"/>
      <c r="AO53" s="156">
        <f t="shared" si="44"/>
        <v>0</v>
      </c>
      <c r="AP53" s="156"/>
      <c r="AQ53" s="156"/>
      <c r="AR53" s="156"/>
      <c r="AS53" s="156">
        <f t="shared" si="45"/>
        <v>0</v>
      </c>
      <c r="AT53" s="156"/>
      <c r="AU53" s="153"/>
      <c r="AV53" s="153"/>
      <c r="AW53" s="156">
        <f t="shared" si="46"/>
        <v>0</v>
      </c>
      <c r="AX53" s="156"/>
      <c r="AY53" s="153"/>
      <c r="AZ53" s="153"/>
      <c r="BA53" s="156">
        <f t="shared" si="47"/>
        <v>0</v>
      </c>
      <c r="BB53" s="156"/>
      <c r="BC53" s="153"/>
      <c r="BD53" s="153"/>
      <c r="BE53" s="156">
        <f t="shared" si="48"/>
        <v>0</v>
      </c>
      <c r="BF53" s="156"/>
      <c r="BG53" s="153"/>
      <c r="BH53" s="153"/>
      <c r="BI53" s="156">
        <f t="shared" si="49"/>
        <v>0</v>
      </c>
      <c r="BJ53" s="156"/>
      <c r="BK53" s="153"/>
      <c r="BL53" s="153"/>
      <c r="BM53" s="156">
        <f t="shared" si="50"/>
        <v>0</v>
      </c>
      <c r="BN53" s="156"/>
      <c r="BO53" s="153"/>
      <c r="BP53" s="153"/>
      <c r="BQ53" s="156">
        <f t="shared" si="51"/>
        <v>0</v>
      </c>
      <c r="BR53" s="156"/>
      <c r="BS53" s="153"/>
      <c r="BT53" s="153"/>
      <c r="BU53" s="156">
        <f t="shared" si="52"/>
        <v>0</v>
      </c>
      <c r="BV53" s="156"/>
      <c r="BW53" s="153"/>
      <c r="BX53" s="153"/>
      <c r="BY53" s="156">
        <f t="shared" si="53"/>
        <v>0</v>
      </c>
      <c r="BZ53" s="156"/>
      <c r="CA53" s="153"/>
      <c r="CB53" s="153"/>
      <c r="CC53" s="156">
        <f t="shared" si="54"/>
        <v>0</v>
      </c>
      <c r="CD53" s="156"/>
      <c r="CE53" s="153"/>
      <c r="CF53" s="153"/>
      <c r="CG53" s="156">
        <f t="shared" si="55"/>
        <v>0</v>
      </c>
      <c r="CH53" s="156"/>
      <c r="CI53" s="153"/>
      <c r="CJ53" s="153"/>
      <c r="CK53" s="156">
        <f t="shared" si="56"/>
        <v>0</v>
      </c>
      <c r="CL53" s="222"/>
      <c r="CM53" s="222"/>
      <c r="CN53" s="222"/>
      <c r="CO53" s="222">
        <f t="shared" si="57"/>
        <v>0</v>
      </c>
      <c r="CP53" s="222"/>
      <c r="CQ53" s="14"/>
      <c r="CR53" s="14"/>
      <c r="CS53" s="261">
        <f t="shared" si="58"/>
        <v>0</v>
      </c>
      <c r="CT53" s="262"/>
      <c r="CU53" s="13"/>
      <c r="CV53" s="13"/>
      <c r="CW53" s="261">
        <f t="shared" si="59"/>
        <v>0</v>
      </c>
      <c r="CX53" s="262"/>
      <c r="CY53" s="13"/>
      <c r="CZ53" s="13"/>
      <c r="DA53" s="261">
        <f t="shared" si="60"/>
        <v>0</v>
      </c>
      <c r="DB53" s="262"/>
    </row>
    <row r="54" spans="1:106" ht="14.25" hidden="1" customHeight="1">
      <c r="A54" s="334"/>
      <c r="B54" s="334" t="s">
        <v>342</v>
      </c>
      <c r="C54" s="221">
        <v>0</v>
      </c>
      <c r="D54" s="153">
        <f t="shared" si="61"/>
        <v>0</v>
      </c>
      <c r="E54" s="153">
        <f>I54+M54+Q54+U54+Y54+AJ54+AN54+AR54+AV54+BD54+BH54+BX54+CF54+CJ54+CN54+CR54+CV54+CZ54+AZ54+BL54+BT54</f>
        <v>0</v>
      </c>
      <c r="F54" s="192">
        <f t="shared" si="35"/>
        <v>0</v>
      </c>
      <c r="G54" s="192"/>
      <c r="H54" s="153"/>
      <c r="I54" s="153"/>
      <c r="J54" s="156">
        <f t="shared" si="9"/>
        <v>0</v>
      </c>
      <c r="K54" s="156"/>
      <c r="L54" s="153"/>
      <c r="M54" s="153"/>
      <c r="N54" s="156">
        <f t="shared" si="37"/>
        <v>0</v>
      </c>
      <c r="O54" s="156"/>
      <c r="P54" s="153"/>
      <c r="Q54" s="153"/>
      <c r="R54" s="156">
        <f t="shared" si="38"/>
        <v>0</v>
      </c>
      <c r="S54" s="156"/>
      <c r="T54" s="153"/>
      <c r="U54" s="153"/>
      <c r="V54" s="156">
        <f t="shared" si="39"/>
        <v>0</v>
      </c>
      <c r="W54" s="156"/>
      <c r="X54" s="153">
        <f t="shared" si="62"/>
        <v>0</v>
      </c>
      <c r="Y54" s="153">
        <f t="shared" si="62"/>
        <v>0</v>
      </c>
      <c r="Z54" s="156">
        <f t="shared" si="40"/>
        <v>0</v>
      </c>
      <c r="AA54" s="156"/>
      <c r="AB54" s="153"/>
      <c r="AC54" s="153"/>
      <c r="AD54" s="156">
        <f t="shared" si="41"/>
        <v>0</v>
      </c>
      <c r="AE54" s="156"/>
      <c r="AF54" s="153"/>
      <c r="AG54" s="153"/>
      <c r="AH54" s="156">
        <f t="shared" si="42"/>
        <v>0</v>
      </c>
      <c r="AI54" s="153"/>
      <c r="AJ54" s="153"/>
      <c r="AK54" s="156">
        <f t="shared" si="43"/>
        <v>0</v>
      </c>
      <c r="AL54" s="156"/>
      <c r="AM54" s="153"/>
      <c r="AN54" s="153"/>
      <c r="AO54" s="156">
        <f t="shared" si="44"/>
        <v>0</v>
      </c>
      <c r="AP54" s="156"/>
      <c r="AQ54" s="156"/>
      <c r="AR54" s="156"/>
      <c r="AS54" s="156">
        <f t="shared" si="45"/>
        <v>0</v>
      </c>
      <c r="AT54" s="156"/>
      <c r="AU54" s="153"/>
      <c r="AV54" s="153"/>
      <c r="AW54" s="156">
        <f t="shared" si="46"/>
        <v>0</v>
      </c>
      <c r="AX54" s="156"/>
      <c r="AY54" s="153"/>
      <c r="AZ54" s="153"/>
      <c r="BA54" s="156">
        <f t="shared" si="47"/>
        <v>0</v>
      </c>
      <c r="BB54" s="156"/>
      <c r="BC54" s="153"/>
      <c r="BD54" s="153"/>
      <c r="BE54" s="156">
        <f t="shared" si="48"/>
        <v>0</v>
      </c>
      <c r="BF54" s="156"/>
      <c r="BG54" s="153"/>
      <c r="BH54" s="153"/>
      <c r="BI54" s="156">
        <f t="shared" si="49"/>
        <v>0</v>
      </c>
      <c r="BJ54" s="156"/>
      <c r="BK54" s="153"/>
      <c r="BL54" s="153"/>
      <c r="BM54" s="156">
        <f t="shared" si="50"/>
        <v>0</v>
      </c>
      <c r="BN54" s="156"/>
      <c r="BO54" s="153"/>
      <c r="BP54" s="153"/>
      <c r="BQ54" s="156">
        <f t="shared" si="51"/>
        <v>0</v>
      </c>
      <c r="BR54" s="156"/>
      <c r="BS54" s="153"/>
      <c r="BT54" s="153"/>
      <c r="BU54" s="156">
        <f t="shared" si="52"/>
        <v>0</v>
      </c>
      <c r="BV54" s="156"/>
      <c r="BW54" s="153"/>
      <c r="BX54" s="153"/>
      <c r="BY54" s="156">
        <f t="shared" si="53"/>
        <v>0</v>
      </c>
      <c r="BZ54" s="156"/>
      <c r="CA54" s="153"/>
      <c r="CB54" s="153"/>
      <c r="CC54" s="156">
        <f t="shared" si="54"/>
        <v>0</v>
      </c>
      <c r="CD54" s="156"/>
      <c r="CE54" s="153"/>
      <c r="CF54" s="153"/>
      <c r="CG54" s="156">
        <f t="shared" si="55"/>
        <v>0</v>
      </c>
      <c r="CH54" s="156"/>
      <c r="CI54" s="153"/>
      <c r="CJ54" s="153"/>
      <c r="CK54" s="156">
        <f t="shared" si="56"/>
        <v>0</v>
      </c>
      <c r="CL54" s="222"/>
      <c r="CM54" s="222"/>
      <c r="CN54" s="222"/>
      <c r="CO54" s="222">
        <f t="shared" si="57"/>
        <v>0</v>
      </c>
      <c r="CP54" s="222"/>
      <c r="CQ54" s="14"/>
      <c r="CR54" s="14"/>
      <c r="CS54" s="261">
        <f t="shared" si="58"/>
        <v>0</v>
      </c>
      <c r="CT54" s="262"/>
      <c r="CU54" s="13"/>
      <c r="CV54" s="13"/>
      <c r="CW54" s="261">
        <f t="shared" si="59"/>
        <v>0</v>
      </c>
      <c r="CX54" s="262"/>
      <c r="CY54" s="13"/>
      <c r="CZ54" s="13"/>
      <c r="DA54" s="261">
        <f t="shared" si="60"/>
        <v>0</v>
      </c>
      <c r="DB54" s="262"/>
    </row>
    <row r="55" spans="1:106" ht="14.25" hidden="1" customHeight="1">
      <c r="A55" s="334"/>
      <c r="B55" s="334" t="s">
        <v>343</v>
      </c>
      <c r="C55" s="221"/>
      <c r="D55" s="153">
        <f t="shared" si="61"/>
        <v>0</v>
      </c>
      <c r="E55" s="153">
        <f t="shared" ref="E55:E70" si="63">I55+M55+Q55+U55+Y55+AJ55+AN55+AR55+AV55+BD55+BH55+BX55+CF55+CJ55+CN55+CR55+CV55+CZ55+BL55+BT55</f>
        <v>0</v>
      </c>
      <c r="F55" s="192">
        <f t="shared" si="35"/>
        <v>0</v>
      </c>
      <c r="G55" s="192"/>
      <c r="H55" s="153"/>
      <c r="I55" s="153"/>
      <c r="J55" s="156">
        <f t="shared" si="9"/>
        <v>0</v>
      </c>
      <c r="K55" s="156"/>
      <c r="L55" s="153"/>
      <c r="M55" s="153"/>
      <c r="N55" s="156">
        <f t="shared" si="37"/>
        <v>0</v>
      </c>
      <c r="O55" s="156"/>
      <c r="P55" s="153"/>
      <c r="Q55" s="153"/>
      <c r="R55" s="156">
        <f t="shared" si="38"/>
        <v>0</v>
      </c>
      <c r="S55" s="156"/>
      <c r="T55" s="153"/>
      <c r="U55" s="153"/>
      <c r="V55" s="156">
        <f t="shared" si="39"/>
        <v>0</v>
      </c>
      <c r="W55" s="156"/>
      <c r="X55" s="153">
        <f t="shared" si="62"/>
        <v>0</v>
      </c>
      <c r="Y55" s="153">
        <f t="shared" si="62"/>
        <v>0</v>
      </c>
      <c r="Z55" s="156">
        <f t="shared" si="40"/>
        <v>0</v>
      </c>
      <c r="AA55" s="156"/>
      <c r="AB55" s="153"/>
      <c r="AC55" s="153"/>
      <c r="AD55" s="156">
        <f t="shared" si="41"/>
        <v>0</v>
      </c>
      <c r="AE55" s="156"/>
      <c r="AF55" s="153"/>
      <c r="AG55" s="153"/>
      <c r="AH55" s="156">
        <f t="shared" si="42"/>
        <v>0</v>
      </c>
      <c r="AI55" s="153"/>
      <c r="AJ55" s="153"/>
      <c r="AK55" s="156">
        <f t="shared" si="43"/>
        <v>0</v>
      </c>
      <c r="AL55" s="156"/>
      <c r="AM55" s="153"/>
      <c r="AN55" s="153"/>
      <c r="AO55" s="156">
        <f t="shared" si="44"/>
        <v>0</v>
      </c>
      <c r="AP55" s="156"/>
      <c r="AQ55" s="156"/>
      <c r="AR55" s="156"/>
      <c r="AS55" s="156">
        <f t="shared" si="45"/>
        <v>0</v>
      </c>
      <c r="AT55" s="156"/>
      <c r="AU55" s="153"/>
      <c r="AV55" s="153"/>
      <c r="AW55" s="156">
        <f t="shared" si="46"/>
        <v>0</v>
      </c>
      <c r="AX55" s="156"/>
      <c r="AY55" s="153"/>
      <c r="AZ55" s="153"/>
      <c r="BA55" s="156">
        <f t="shared" si="47"/>
        <v>0</v>
      </c>
      <c r="BB55" s="156"/>
      <c r="BC55" s="153"/>
      <c r="BD55" s="153"/>
      <c r="BE55" s="156">
        <f t="shared" si="48"/>
        <v>0</v>
      </c>
      <c r="BF55" s="156"/>
      <c r="BG55" s="153"/>
      <c r="BH55" s="153"/>
      <c r="BI55" s="156">
        <f t="shared" si="49"/>
        <v>0</v>
      </c>
      <c r="BJ55" s="156"/>
      <c r="BK55" s="153"/>
      <c r="BL55" s="153"/>
      <c r="BM55" s="156">
        <f t="shared" si="50"/>
        <v>0</v>
      </c>
      <c r="BN55" s="156"/>
      <c r="BO55" s="153"/>
      <c r="BP55" s="153"/>
      <c r="BQ55" s="156">
        <f t="shared" si="51"/>
        <v>0</v>
      </c>
      <c r="BR55" s="156"/>
      <c r="BS55" s="153"/>
      <c r="BT55" s="153"/>
      <c r="BU55" s="156">
        <f t="shared" si="52"/>
        <v>0</v>
      </c>
      <c r="BV55" s="156"/>
      <c r="BW55" s="153"/>
      <c r="BX55" s="153"/>
      <c r="BY55" s="156">
        <f t="shared" si="53"/>
        <v>0</v>
      </c>
      <c r="BZ55" s="156"/>
      <c r="CA55" s="153"/>
      <c r="CB55" s="153"/>
      <c r="CC55" s="156">
        <f t="shared" si="54"/>
        <v>0</v>
      </c>
      <c r="CD55" s="156"/>
      <c r="CE55" s="153"/>
      <c r="CF55" s="153"/>
      <c r="CG55" s="156">
        <f t="shared" si="55"/>
        <v>0</v>
      </c>
      <c r="CH55" s="156"/>
      <c r="CI55" s="153"/>
      <c r="CJ55" s="153"/>
      <c r="CK55" s="156">
        <f t="shared" si="56"/>
        <v>0</v>
      </c>
      <c r="CL55" s="222"/>
      <c r="CM55" s="222"/>
      <c r="CN55" s="222"/>
      <c r="CO55" s="222">
        <f t="shared" si="57"/>
        <v>0</v>
      </c>
      <c r="CP55" s="222"/>
      <c r="CQ55" s="14"/>
      <c r="CR55" s="14"/>
      <c r="CS55" s="261">
        <f t="shared" si="58"/>
        <v>0</v>
      </c>
      <c r="CT55" s="262"/>
      <c r="CU55" s="13"/>
      <c r="CV55" s="13"/>
      <c r="CW55" s="261">
        <f t="shared" si="59"/>
        <v>0</v>
      </c>
      <c r="CX55" s="262"/>
      <c r="CY55" s="13"/>
      <c r="CZ55" s="13"/>
      <c r="DA55" s="261">
        <f t="shared" si="60"/>
        <v>0</v>
      </c>
      <c r="DB55" s="262"/>
    </row>
    <row r="56" spans="1:106" ht="14.25" hidden="1" customHeight="1">
      <c r="A56" s="334"/>
      <c r="B56" s="335" t="s">
        <v>344</v>
      </c>
      <c r="C56" s="221">
        <v>0</v>
      </c>
      <c r="D56" s="153">
        <f t="shared" si="61"/>
        <v>0</v>
      </c>
      <c r="E56" s="153">
        <f t="shared" si="63"/>
        <v>0</v>
      </c>
      <c r="F56" s="192">
        <f t="shared" si="35"/>
        <v>0</v>
      </c>
      <c r="G56" s="192" t="e">
        <f t="shared" ref="G56:G67" si="64">E56/D56</f>
        <v>#DIV/0!</v>
      </c>
      <c r="H56" s="153"/>
      <c r="I56" s="153"/>
      <c r="J56" s="156">
        <f t="shared" si="9"/>
        <v>0</v>
      </c>
      <c r="K56" s="156"/>
      <c r="L56" s="153"/>
      <c r="M56" s="153"/>
      <c r="N56" s="156">
        <f t="shared" si="37"/>
        <v>0</v>
      </c>
      <c r="O56" s="156"/>
      <c r="P56" s="153"/>
      <c r="Q56" s="153"/>
      <c r="R56" s="156">
        <f t="shared" si="38"/>
        <v>0</v>
      </c>
      <c r="S56" s="156"/>
      <c r="T56" s="153"/>
      <c r="U56" s="153"/>
      <c r="V56" s="156">
        <f t="shared" si="39"/>
        <v>0</v>
      </c>
      <c r="W56" s="156"/>
      <c r="X56" s="153">
        <f t="shared" si="62"/>
        <v>0</v>
      </c>
      <c r="Y56" s="153">
        <f t="shared" si="62"/>
        <v>0</v>
      </c>
      <c r="Z56" s="156">
        <f t="shared" si="40"/>
        <v>0</v>
      </c>
      <c r="AA56" s="156"/>
      <c r="AB56" s="153"/>
      <c r="AC56" s="153"/>
      <c r="AD56" s="156">
        <f t="shared" si="41"/>
        <v>0</v>
      </c>
      <c r="AE56" s="156"/>
      <c r="AF56" s="153"/>
      <c r="AG56" s="153"/>
      <c r="AH56" s="156">
        <f t="shared" si="42"/>
        <v>0</v>
      </c>
      <c r="AI56" s="153"/>
      <c r="AJ56" s="153"/>
      <c r="AK56" s="156">
        <f t="shared" si="43"/>
        <v>0</v>
      </c>
      <c r="AL56" s="156"/>
      <c r="AM56" s="153"/>
      <c r="AN56" s="153"/>
      <c r="AO56" s="156">
        <f t="shared" si="44"/>
        <v>0</v>
      </c>
      <c r="AP56" s="156"/>
      <c r="AQ56" s="156"/>
      <c r="AR56" s="156"/>
      <c r="AS56" s="156">
        <f t="shared" si="45"/>
        <v>0</v>
      </c>
      <c r="AT56" s="156"/>
      <c r="AU56" s="153"/>
      <c r="AV56" s="153"/>
      <c r="AW56" s="156">
        <f t="shared" si="46"/>
        <v>0</v>
      </c>
      <c r="AX56" s="156"/>
      <c r="AY56" s="153"/>
      <c r="AZ56" s="153"/>
      <c r="BA56" s="156">
        <f t="shared" si="47"/>
        <v>0</v>
      </c>
      <c r="BB56" s="156"/>
      <c r="BC56" s="153"/>
      <c r="BD56" s="153"/>
      <c r="BE56" s="156">
        <f t="shared" si="48"/>
        <v>0</v>
      </c>
      <c r="BF56" s="156"/>
      <c r="BG56" s="153"/>
      <c r="BH56" s="153"/>
      <c r="BI56" s="156">
        <f t="shared" si="49"/>
        <v>0</v>
      </c>
      <c r="BJ56" s="156"/>
      <c r="BK56" s="153"/>
      <c r="BL56" s="153"/>
      <c r="BM56" s="156">
        <f t="shared" si="50"/>
        <v>0</v>
      </c>
      <c r="BN56" s="156"/>
      <c r="BO56" s="153"/>
      <c r="BP56" s="153"/>
      <c r="BQ56" s="156">
        <f t="shared" si="51"/>
        <v>0</v>
      </c>
      <c r="BR56" s="156"/>
      <c r="BS56" s="153"/>
      <c r="BT56" s="153"/>
      <c r="BU56" s="156">
        <f t="shared" si="52"/>
        <v>0</v>
      </c>
      <c r="BV56" s="156"/>
      <c r="BW56" s="153"/>
      <c r="BX56" s="153"/>
      <c r="BY56" s="156">
        <f t="shared" si="53"/>
        <v>0</v>
      </c>
      <c r="BZ56" s="156"/>
      <c r="CA56" s="153"/>
      <c r="CB56" s="153"/>
      <c r="CC56" s="156">
        <f t="shared" si="54"/>
        <v>0</v>
      </c>
      <c r="CD56" s="156"/>
      <c r="CE56" s="153"/>
      <c r="CF56" s="153"/>
      <c r="CG56" s="156">
        <f t="shared" si="55"/>
        <v>0</v>
      </c>
      <c r="CH56" s="156"/>
      <c r="CI56" s="153"/>
      <c r="CJ56" s="153"/>
      <c r="CK56" s="156">
        <f t="shared" si="56"/>
        <v>0</v>
      </c>
      <c r="CL56" s="222"/>
      <c r="CM56" s="222"/>
      <c r="CN56" s="222"/>
      <c r="CO56" s="222">
        <f t="shared" si="57"/>
        <v>0</v>
      </c>
      <c r="CP56" s="222"/>
      <c r="CQ56" s="14"/>
      <c r="CR56" s="14"/>
      <c r="CS56" s="261">
        <f t="shared" si="58"/>
        <v>0</v>
      </c>
      <c r="CT56" s="262"/>
      <c r="CU56" s="13"/>
      <c r="CV56" s="13"/>
      <c r="CW56" s="261">
        <f t="shared" si="59"/>
        <v>0</v>
      </c>
      <c r="CX56" s="262"/>
      <c r="CY56" s="13"/>
      <c r="CZ56" s="13"/>
      <c r="DA56" s="261">
        <f t="shared" si="60"/>
        <v>0</v>
      </c>
      <c r="DB56" s="262"/>
    </row>
    <row r="57" spans="1:106" ht="14.25" hidden="1" customHeight="1">
      <c r="A57" s="334"/>
      <c r="B57" s="334" t="s">
        <v>72</v>
      </c>
      <c r="C57" s="221"/>
      <c r="D57" s="153">
        <f t="shared" si="61"/>
        <v>0</v>
      </c>
      <c r="E57" s="153">
        <f t="shared" si="63"/>
        <v>0</v>
      </c>
      <c r="F57" s="192">
        <f t="shared" si="35"/>
        <v>0</v>
      </c>
      <c r="G57" s="192" t="e">
        <f t="shared" si="64"/>
        <v>#DIV/0!</v>
      </c>
      <c r="H57" s="153"/>
      <c r="I57" s="153"/>
      <c r="J57" s="156">
        <f t="shared" si="9"/>
        <v>0</v>
      </c>
      <c r="K57" s="156"/>
      <c r="L57" s="153"/>
      <c r="M57" s="153"/>
      <c r="N57" s="156">
        <f t="shared" si="37"/>
        <v>0</v>
      </c>
      <c r="O57" s="156"/>
      <c r="P57" s="153"/>
      <c r="Q57" s="153"/>
      <c r="R57" s="156">
        <f t="shared" si="38"/>
        <v>0</v>
      </c>
      <c r="S57" s="156"/>
      <c r="T57" s="153"/>
      <c r="U57" s="153"/>
      <c r="V57" s="156">
        <f t="shared" si="39"/>
        <v>0</v>
      </c>
      <c r="W57" s="156"/>
      <c r="X57" s="153">
        <f t="shared" si="62"/>
        <v>0</v>
      </c>
      <c r="Y57" s="153">
        <f t="shared" si="62"/>
        <v>0</v>
      </c>
      <c r="Z57" s="156">
        <f t="shared" si="40"/>
        <v>0</v>
      </c>
      <c r="AA57" s="156"/>
      <c r="AB57" s="153"/>
      <c r="AC57" s="153"/>
      <c r="AD57" s="156">
        <f t="shared" si="41"/>
        <v>0</v>
      </c>
      <c r="AE57" s="156"/>
      <c r="AF57" s="153"/>
      <c r="AG57" s="153"/>
      <c r="AH57" s="156">
        <f t="shared" si="42"/>
        <v>0</v>
      </c>
      <c r="AI57" s="153"/>
      <c r="AJ57" s="153"/>
      <c r="AK57" s="156">
        <f t="shared" si="43"/>
        <v>0</v>
      </c>
      <c r="AL57" s="156"/>
      <c r="AM57" s="153"/>
      <c r="AN57" s="153"/>
      <c r="AO57" s="156">
        <f t="shared" si="44"/>
        <v>0</v>
      </c>
      <c r="AP57" s="156"/>
      <c r="AQ57" s="156"/>
      <c r="AR57" s="156"/>
      <c r="AS57" s="156">
        <f t="shared" si="45"/>
        <v>0</v>
      </c>
      <c r="AT57" s="156"/>
      <c r="AU57" s="153"/>
      <c r="AV57" s="153"/>
      <c r="AW57" s="156">
        <f t="shared" si="46"/>
        <v>0</v>
      </c>
      <c r="AX57" s="156"/>
      <c r="AY57" s="153"/>
      <c r="AZ57" s="153"/>
      <c r="BA57" s="156">
        <f t="shared" si="47"/>
        <v>0</v>
      </c>
      <c r="BB57" s="156"/>
      <c r="BC57" s="153"/>
      <c r="BD57" s="153"/>
      <c r="BE57" s="156">
        <f t="shared" si="48"/>
        <v>0</v>
      </c>
      <c r="BF57" s="156"/>
      <c r="BG57" s="153"/>
      <c r="BH57" s="153"/>
      <c r="BI57" s="156">
        <f t="shared" si="49"/>
        <v>0</v>
      </c>
      <c r="BJ57" s="156"/>
      <c r="BK57" s="153"/>
      <c r="BL57" s="153"/>
      <c r="BM57" s="156">
        <f t="shared" si="50"/>
        <v>0</v>
      </c>
      <c r="BN57" s="156"/>
      <c r="BO57" s="153"/>
      <c r="BP57" s="153"/>
      <c r="BQ57" s="156">
        <f t="shared" si="51"/>
        <v>0</v>
      </c>
      <c r="BR57" s="156"/>
      <c r="BS57" s="153"/>
      <c r="BT57" s="153"/>
      <c r="BU57" s="156">
        <f t="shared" si="52"/>
        <v>0</v>
      </c>
      <c r="BV57" s="156"/>
      <c r="BW57" s="153"/>
      <c r="BX57" s="153"/>
      <c r="BY57" s="156">
        <f t="shared" si="53"/>
        <v>0</v>
      </c>
      <c r="BZ57" s="156"/>
      <c r="CA57" s="153"/>
      <c r="CB57" s="153"/>
      <c r="CC57" s="156">
        <f t="shared" si="54"/>
        <v>0</v>
      </c>
      <c r="CD57" s="156"/>
      <c r="CE57" s="153"/>
      <c r="CF57" s="153"/>
      <c r="CG57" s="156">
        <f t="shared" si="55"/>
        <v>0</v>
      </c>
      <c r="CH57" s="156"/>
      <c r="CI57" s="153"/>
      <c r="CJ57" s="153"/>
      <c r="CK57" s="156">
        <f t="shared" si="56"/>
        <v>0</v>
      </c>
      <c r="CL57" s="222"/>
      <c r="CM57" s="222"/>
      <c r="CN57" s="222"/>
      <c r="CO57" s="222">
        <f t="shared" si="57"/>
        <v>0</v>
      </c>
      <c r="CP57" s="222"/>
      <c r="CQ57" s="14"/>
      <c r="CR57" s="14"/>
      <c r="CS57" s="261">
        <f t="shared" si="58"/>
        <v>0</v>
      </c>
      <c r="CT57" s="262"/>
      <c r="CU57" s="13"/>
      <c r="CV57" s="13"/>
      <c r="CW57" s="261">
        <f t="shared" si="59"/>
        <v>0</v>
      </c>
      <c r="CX57" s="262"/>
      <c r="CY57" s="13"/>
      <c r="CZ57" s="13"/>
      <c r="DA57" s="261">
        <f t="shared" si="60"/>
        <v>0</v>
      </c>
      <c r="DB57" s="262"/>
    </row>
    <row r="58" spans="1:106" ht="14.25" hidden="1" customHeight="1">
      <c r="A58" s="334"/>
      <c r="B58" s="334" t="s">
        <v>544</v>
      </c>
      <c r="C58" s="221"/>
      <c r="D58" s="153">
        <f t="shared" si="61"/>
        <v>0</v>
      </c>
      <c r="E58" s="153">
        <f t="shared" si="63"/>
        <v>0</v>
      </c>
      <c r="F58" s="192">
        <f t="shared" si="35"/>
        <v>0</v>
      </c>
      <c r="G58" s="192" t="e">
        <f t="shared" si="64"/>
        <v>#DIV/0!</v>
      </c>
      <c r="H58" s="153"/>
      <c r="I58" s="153"/>
      <c r="J58" s="156">
        <f t="shared" si="9"/>
        <v>0</v>
      </c>
      <c r="K58" s="156"/>
      <c r="L58" s="153"/>
      <c r="M58" s="153"/>
      <c r="N58" s="156">
        <f t="shared" si="37"/>
        <v>0</v>
      </c>
      <c r="O58" s="156"/>
      <c r="P58" s="153"/>
      <c r="Q58" s="153"/>
      <c r="R58" s="156">
        <f t="shared" si="38"/>
        <v>0</v>
      </c>
      <c r="S58" s="156"/>
      <c r="T58" s="153"/>
      <c r="U58" s="153"/>
      <c r="V58" s="156">
        <f t="shared" si="39"/>
        <v>0</v>
      </c>
      <c r="W58" s="156"/>
      <c r="X58" s="153">
        <f t="shared" si="62"/>
        <v>0</v>
      </c>
      <c r="Y58" s="153">
        <f t="shared" si="62"/>
        <v>0</v>
      </c>
      <c r="Z58" s="156">
        <f t="shared" si="40"/>
        <v>0</v>
      </c>
      <c r="AA58" s="156"/>
      <c r="AB58" s="153"/>
      <c r="AC58" s="153"/>
      <c r="AD58" s="156">
        <f t="shared" si="41"/>
        <v>0</v>
      </c>
      <c r="AE58" s="156"/>
      <c r="AF58" s="153"/>
      <c r="AG58" s="153"/>
      <c r="AH58" s="156">
        <f t="shared" si="42"/>
        <v>0</v>
      </c>
      <c r="AI58" s="153"/>
      <c r="AJ58" s="153"/>
      <c r="AK58" s="156">
        <f t="shared" si="43"/>
        <v>0</v>
      </c>
      <c r="AL58" s="156"/>
      <c r="AM58" s="153"/>
      <c r="AN58" s="153"/>
      <c r="AO58" s="156">
        <f t="shared" si="44"/>
        <v>0</v>
      </c>
      <c r="AP58" s="156"/>
      <c r="AQ58" s="156"/>
      <c r="AR58" s="156"/>
      <c r="AS58" s="156">
        <f t="shared" si="45"/>
        <v>0</v>
      </c>
      <c r="AT58" s="156"/>
      <c r="AU58" s="153"/>
      <c r="AV58" s="153"/>
      <c r="AW58" s="156">
        <f t="shared" si="46"/>
        <v>0</v>
      </c>
      <c r="AX58" s="156"/>
      <c r="AY58" s="153"/>
      <c r="AZ58" s="153"/>
      <c r="BA58" s="156">
        <f t="shared" si="47"/>
        <v>0</v>
      </c>
      <c r="BB58" s="156"/>
      <c r="BC58" s="153"/>
      <c r="BD58" s="153"/>
      <c r="BE58" s="156">
        <f t="shared" si="48"/>
        <v>0</v>
      </c>
      <c r="BF58" s="156"/>
      <c r="BG58" s="153"/>
      <c r="BH58" s="153"/>
      <c r="BI58" s="156">
        <f t="shared" si="49"/>
        <v>0</v>
      </c>
      <c r="BJ58" s="156"/>
      <c r="BK58" s="153"/>
      <c r="BL58" s="153"/>
      <c r="BM58" s="156">
        <f t="shared" si="50"/>
        <v>0</v>
      </c>
      <c r="BN58" s="156"/>
      <c r="BO58" s="153"/>
      <c r="BP58" s="153"/>
      <c r="BQ58" s="156">
        <f t="shared" si="51"/>
        <v>0</v>
      </c>
      <c r="BR58" s="156"/>
      <c r="BS58" s="153"/>
      <c r="BT58" s="153"/>
      <c r="BU58" s="156">
        <f t="shared" si="52"/>
        <v>0</v>
      </c>
      <c r="BV58" s="156"/>
      <c r="BW58" s="153"/>
      <c r="BX58" s="153"/>
      <c r="BY58" s="156">
        <f t="shared" si="53"/>
        <v>0</v>
      </c>
      <c r="BZ58" s="156"/>
      <c r="CA58" s="153"/>
      <c r="CB58" s="153"/>
      <c r="CC58" s="156">
        <f t="shared" si="54"/>
        <v>0</v>
      </c>
      <c r="CD58" s="156"/>
      <c r="CE58" s="153"/>
      <c r="CF58" s="153"/>
      <c r="CG58" s="156">
        <f t="shared" si="55"/>
        <v>0</v>
      </c>
      <c r="CH58" s="156"/>
      <c r="CI58" s="153"/>
      <c r="CJ58" s="153"/>
      <c r="CK58" s="156">
        <f t="shared" si="56"/>
        <v>0</v>
      </c>
      <c r="CL58" s="222"/>
      <c r="CM58" s="222"/>
      <c r="CN58" s="222"/>
      <c r="CO58" s="222">
        <f t="shared" si="57"/>
        <v>0</v>
      </c>
      <c r="CP58" s="222"/>
      <c r="CQ58" s="14"/>
      <c r="CR58" s="14"/>
      <c r="CS58" s="261">
        <f t="shared" si="58"/>
        <v>0</v>
      </c>
      <c r="CT58" s="262"/>
      <c r="CU58" s="13"/>
      <c r="CV58" s="13"/>
      <c r="CW58" s="261">
        <f t="shared" si="59"/>
        <v>0</v>
      </c>
      <c r="CX58" s="262"/>
      <c r="CY58" s="13"/>
      <c r="CZ58" s="13"/>
      <c r="DA58" s="261">
        <f t="shared" si="60"/>
        <v>0</v>
      </c>
      <c r="DB58" s="262"/>
    </row>
    <row r="59" spans="1:106" ht="14.25" customHeight="1">
      <c r="A59" s="334"/>
      <c r="B59" s="334" t="s">
        <v>545</v>
      </c>
      <c r="C59" s="153">
        <v>9.6</v>
      </c>
      <c r="D59" s="153">
        <f t="shared" si="61"/>
        <v>0</v>
      </c>
      <c r="E59" s="153">
        <f t="shared" si="63"/>
        <v>24.83</v>
      </c>
      <c r="F59" s="192">
        <f t="shared" si="35"/>
        <v>24.83</v>
      </c>
      <c r="G59" s="192" t="e">
        <f t="shared" si="64"/>
        <v>#DIV/0!</v>
      </c>
      <c r="H59" s="153"/>
      <c r="I59" s="153">
        <v>24.83</v>
      </c>
      <c r="J59" s="156">
        <f t="shared" si="9"/>
        <v>24.83</v>
      </c>
      <c r="K59" s="156"/>
      <c r="L59" s="153"/>
      <c r="M59" s="153"/>
      <c r="N59" s="156">
        <f t="shared" si="37"/>
        <v>0</v>
      </c>
      <c r="O59" s="156"/>
      <c r="P59" s="153"/>
      <c r="Q59" s="153"/>
      <c r="R59" s="156">
        <f t="shared" si="38"/>
        <v>0</v>
      </c>
      <c r="S59" s="156"/>
      <c r="T59" s="153"/>
      <c r="U59" s="153"/>
      <c r="V59" s="156">
        <f t="shared" si="39"/>
        <v>0</v>
      </c>
      <c r="W59" s="156"/>
      <c r="X59" s="153">
        <f t="shared" si="62"/>
        <v>0</v>
      </c>
      <c r="Y59" s="153">
        <f t="shared" si="62"/>
        <v>0</v>
      </c>
      <c r="Z59" s="156">
        <f t="shared" si="40"/>
        <v>0</v>
      </c>
      <c r="AA59" s="156"/>
      <c r="AB59" s="153"/>
      <c r="AC59" s="153"/>
      <c r="AD59" s="156">
        <f t="shared" si="41"/>
        <v>0</v>
      </c>
      <c r="AE59" s="156"/>
      <c r="AF59" s="153"/>
      <c r="AG59" s="153"/>
      <c r="AH59" s="156">
        <f t="shared" si="42"/>
        <v>0</v>
      </c>
      <c r="AI59" s="153"/>
      <c r="AJ59" s="153"/>
      <c r="AK59" s="156">
        <f t="shared" si="43"/>
        <v>0</v>
      </c>
      <c r="AL59" s="156"/>
      <c r="AM59" s="153"/>
      <c r="AN59" s="153"/>
      <c r="AO59" s="156">
        <f t="shared" si="44"/>
        <v>0</v>
      </c>
      <c r="AP59" s="156"/>
      <c r="AQ59" s="156"/>
      <c r="AR59" s="156"/>
      <c r="AS59" s="156">
        <f t="shared" si="45"/>
        <v>0</v>
      </c>
      <c r="AT59" s="156"/>
      <c r="AU59" s="153"/>
      <c r="AV59" s="153"/>
      <c r="AW59" s="156">
        <f t="shared" si="46"/>
        <v>0</v>
      </c>
      <c r="AX59" s="156"/>
      <c r="AY59" s="153"/>
      <c r="AZ59" s="153"/>
      <c r="BA59" s="156">
        <f t="shared" si="47"/>
        <v>0</v>
      </c>
      <c r="BB59" s="156"/>
      <c r="BC59" s="153"/>
      <c r="BD59" s="153"/>
      <c r="BE59" s="156">
        <f t="shared" si="48"/>
        <v>0</v>
      </c>
      <c r="BF59" s="156"/>
      <c r="BG59" s="153"/>
      <c r="BH59" s="153"/>
      <c r="BI59" s="156">
        <f t="shared" si="49"/>
        <v>0</v>
      </c>
      <c r="BJ59" s="156"/>
      <c r="BK59" s="153"/>
      <c r="BL59" s="153"/>
      <c r="BM59" s="156">
        <f t="shared" si="50"/>
        <v>0</v>
      </c>
      <c r="BN59" s="156"/>
      <c r="BO59" s="153"/>
      <c r="BP59" s="153"/>
      <c r="BQ59" s="156">
        <f t="shared" si="51"/>
        <v>0</v>
      </c>
      <c r="BR59" s="156"/>
      <c r="BS59" s="153"/>
      <c r="BT59" s="153"/>
      <c r="BU59" s="156">
        <f t="shared" si="52"/>
        <v>0</v>
      </c>
      <c r="BV59" s="156"/>
      <c r="BW59" s="153"/>
      <c r="BX59" s="153"/>
      <c r="BY59" s="156">
        <f t="shared" si="53"/>
        <v>0</v>
      </c>
      <c r="BZ59" s="156"/>
      <c r="CA59" s="153"/>
      <c r="CB59" s="153"/>
      <c r="CC59" s="156">
        <f t="shared" si="54"/>
        <v>0</v>
      </c>
      <c r="CD59" s="156"/>
      <c r="CE59" s="153"/>
      <c r="CF59" s="153"/>
      <c r="CG59" s="156">
        <f t="shared" si="55"/>
        <v>0</v>
      </c>
      <c r="CH59" s="156"/>
      <c r="CI59" s="153"/>
      <c r="CJ59" s="153"/>
      <c r="CK59" s="156">
        <f t="shared" si="56"/>
        <v>0</v>
      </c>
      <c r="CL59" s="222"/>
      <c r="CM59" s="222"/>
      <c r="CN59" s="222"/>
      <c r="CO59" s="222">
        <f t="shared" si="57"/>
        <v>0</v>
      </c>
      <c r="CP59" s="222"/>
      <c r="CQ59" s="14"/>
      <c r="CR59" s="14"/>
      <c r="CS59" s="261">
        <f t="shared" si="58"/>
        <v>0</v>
      </c>
      <c r="CT59" s="262"/>
      <c r="CU59" s="13"/>
      <c r="CV59" s="13"/>
      <c r="CW59" s="261">
        <f t="shared" si="59"/>
        <v>0</v>
      </c>
      <c r="CX59" s="262"/>
      <c r="CY59" s="13"/>
      <c r="CZ59" s="13"/>
      <c r="DA59" s="261">
        <f t="shared" si="60"/>
        <v>0</v>
      </c>
      <c r="DB59" s="262"/>
    </row>
    <row r="60" spans="1:106" ht="14.25" customHeight="1">
      <c r="A60" s="334"/>
      <c r="B60" s="333" t="s">
        <v>698</v>
      </c>
      <c r="C60" s="225">
        <v>9.4</v>
      </c>
      <c r="D60" s="153">
        <f t="shared" si="61"/>
        <v>9.4</v>
      </c>
      <c r="E60" s="153">
        <f>I60+M60+Q60+U60+Y60+AJ60+AN60+AR60+AV60+BD60+BH60+BX60+CF60+CJ60+CN60+CR60+CV60+CZ60+BL60+BT60</f>
        <v>9.4</v>
      </c>
      <c r="F60" s="192"/>
      <c r="G60" s="192">
        <v>0</v>
      </c>
      <c r="H60" s="153">
        <v>0</v>
      </c>
      <c r="I60" s="153">
        <v>0</v>
      </c>
      <c r="J60" s="156">
        <v>0</v>
      </c>
      <c r="K60" s="156"/>
      <c r="L60" s="153"/>
      <c r="M60" s="153"/>
      <c r="N60" s="156">
        <v>0</v>
      </c>
      <c r="O60" s="156"/>
      <c r="P60" s="153"/>
      <c r="Q60" s="153"/>
      <c r="R60" s="156">
        <v>0</v>
      </c>
      <c r="S60" s="156"/>
      <c r="T60" s="153"/>
      <c r="U60" s="153"/>
      <c r="V60" s="156">
        <v>0</v>
      </c>
      <c r="W60" s="156"/>
      <c r="X60" s="153"/>
      <c r="Y60" s="153"/>
      <c r="Z60" s="156">
        <f t="shared" si="40"/>
        <v>0</v>
      </c>
      <c r="AA60" s="156"/>
      <c r="AB60" s="153"/>
      <c r="AC60" s="153"/>
      <c r="AD60" s="156">
        <f t="shared" si="41"/>
        <v>0</v>
      </c>
      <c r="AE60" s="156"/>
      <c r="AF60" s="153"/>
      <c r="AG60" s="153"/>
      <c r="AH60" s="156"/>
      <c r="AI60" s="153"/>
      <c r="AJ60" s="153"/>
      <c r="AK60" s="156">
        <v>0</v>
      </c>
      <c r="AL60" s="156"/>
      <c r="AM60" s="153"/>
      <c r="AN60" s="153"/>
      <c r="AO60" s="156">
        <v>0</v>
      </c>
      <c r="AP60" s="156"/>
      <c r="AQ60" s="156"/>
      <c r="AR60" s="156"/>
      <c r="AS60" s="156"/>
      <c r="AT60" s="156"/>
      <c r="AU60" s="153"/>
      <c r="AV60" s="153"/>
      <c r="AW60" s="156">
        <v>0</v>
      </c>
      <c r="AX60" s="156"/>
      <c r="AY60" s="153"/>
      <c r="AZ60" s="153"/>
      <c r="BA60" s="156">
        <v>0</v>
      </c>
      <c r="BB60" s="156"/>
      <c r="BC60" s="153"/>
      <c r="BD60" s="153"/>
      <c r="BE60" s="156">
        <v>0</v>
      </c>
      <c r="BF60" s="156"/>
      <c r="BG60" s="153"/>
      <c r="BH60" s="153"/>
      <c r="BI60" s="156">
        <v>0</v>
      </c>
      <c r="BJ60" s="156"/>
      <c r="BK60" s="153">
        <v>9.4</v>
      </c>
      <c r="BL60" s="153">
        <v>9.4</v>
      </c>
      <c r="BM60" s="156">
        <f t="shared" si="50"/>
        <v>0</v>
      </c>
      <c r="BN60" s="156"/>
      <c r="BO60" s="153"/>
      <c r="BP60" s="153"/>
      <c r="BQ60" s="156">
        <f t="shared" si="51"/>
        <v>0</v>
      </c>
      <c r="BR60" s="156"/>
      <c r="BS60" s="153"/>
      <c r="BT60" s="153"/>
      <c r="BU60" s="156"/>
      <c r="BV60" s="156"/>
      <c r="BW60" s="153"/>
      <c r="BX60" s="153"/>
      <c r="BY60" s="156">
        <v>0</v>
      </c>
      <c r="BZ60" s="156"/>
      <c r="CA60" s="153"/>
      <c r="CB60" s="153"/>
      <c r="CC60" s="156"/>
      <c r="CD60" s="156"/>
      <c r="CE60" s="153"/>
      <c r="CF60" s="153"/>
      <c r="CG60" s="156">
        <v>0</v>
      </c>
      <c r="CH60" s="156"/>
      <c r="CI60" s="153"/>
      <c r="CJ60" s="153"/>
      <c r="CK60" s="156">
        <v>0</v>
      </c>
      <c r="CL60" s="222"/>
      <c r="CM60" s="222"/>
      <c r="CN60" s="222"/>
      <c r="CO60" s="222">
        <v>0</v>
      </c>
      <c r="CP60" s="222"/>
      <c r="CQ60" s="14"/>
      <c r="CR60" s="14"/>
      <c r="CS60" s="261"/>
      <c r="CT60" s="262"/>
      <c r="CU60" s="13"/>
      <c r="CV60" s="13"/>
      <c r="CW60" s="261"/>
      <c r="CX60" s="262"/>
      <c r="CY60" s="13"/>
      <c r="CZ60" s="13"/>
      <c r="DA60" s="261">
        <v>0</v>
      </c>
      <c r="DB60" s="262"/>
    </row>
    <row r="61" spans="1:106" ht="14.25" customHeight="1">
      <c r="A61" s="334"/>
      <c r="B61" s="334" t="s">
        <v>546</v>
      </c>
      <c r="C61" s="221">
        <v>2.4</v>
      </c>
      <c r="D61" s="153">
        <f t="shared" si="61"/>
        <v>23.4</v>
      </c>
      <c r="E61" s="153">
        <f t="shared" si="63"/>
        <v>43.823999999999998</v>
      </c>
      <c r="F61" s="192">
        <f t="shared" si="35"/>
        <v>20.423999999999999</v>
      </c>
      <c r="G61" s="192">
        <f t="shared" si="64"/>
        <v>1.8728205128205129</v>
      </c>
      <c r="H61" s="153">
        <v>12.1</v>
      </c>
      <c r="I61" s="153">
        <v>19.344000000000001</v>
      </c>
      <c r="J61" s="156">
        <f t="shared" si="9"/>
        <v>7.2440000000000015</v>
      </c>
      <c r="K61" s="156"/>
      <c r="L61" s="153"/>
      <c r="M61" s="153"/>
      <c r="N61" s="156">
        <f t="shared" si="37"/>
        <v>0</v>
      </c>
      <c r="O61" s="156"/>
      <c r="P61" s="153"/>
      <c r="Q61" s="153"/>
      <c r="R61" s="156">
        <f t="shared" si="38"/>
        <v>0</v>
      </c>
      <c r="S61" s="156"/>
      <c r="T61" s="153"/>
      <c r="U61" s="153"/>
      <c r="V61" s="156">
        <f t="shared" si="39"/>
        <v>0</v>
      </c>
      <c r="W61" s="156"/>
      <c r="X61" s="153">
        <f t="shared" si="62"/>
        <v>0</v>
      </c>
      <c r="Y61" s="153">
        <f t="shared" si="62"/>
        <v>0</v>
      </c>
      <c r="Z61" s="156">
        <f t="shared" si="40"/>
        <v>0</v>
      </c>
      <c r="AA61" s="156"/>
      <c r="AB61" s="153"/>
      <c r="AC61" s="153"/>
      <c r="AD61" s="156">
        <f t="shared" si="41"/>
        <v>0</v>
      </c>
      <c r="AE61" s="156"/>
      <c r="AF61" s="153"/>
      <c r="AG61" s="153"/>
      <c r="AH61" s="156">
        <f t="shared" si="42"/>
        <v>0</v>
      </c>
      <c r="AI61" s="153"/>
      <c r="AJ61" s="153"/>
      <c r="AK61" s="156">
        <f t="shared" si="43"/>
        <v>0</v>
      </c>
      <c r="AL61" s="156"/>
      <c r="AM61" s="153"/>
      <c r="AN61" s="153"/>
      <c r="AO61" s="156">
        <f t="shared" si="44"/>
        <v>0</v>
      </c>
      <c r="AP61" s="156"/>
      <c r="AQ61" s="156"/>
      <c r="AR61" s="156"/>
      <c r="AS61" s="156">
        <f t="shared" si="45"/>
        <v>0</v>
      </c>
      <c r="AT61" s="156"/>
      <c r="AU61" s="153"/>
      <c r="AV61" s="153"/>
      <c r="AW61" s="156">
        <f t="shared" si="46"/>
        <v>0</v>
      </c>
      <c r="AX61" s="156"/>
      <c r="AY61" s="153"/>
      <c r="AZ61" s="153"/>
      <c r="BA61" s="156">
        <f t="shared" si="47"/>
        <v>0</v>
      </c>
      <c r="BB61" s="156"/>
      <c r="BC61" s="153"/>
      <c r="BD61" s="153"/>
      <c r="BE61" s="156">
        <f t="shared" si="48"/>
        <v>0</v>
      </c>
      <c r="BF61" s="156"/>
      <c r="BG61" s="153"/>
      <c r="BH61" s="153"/>
      <c r="BI61" s="156">
        <f t="shared" si="49"/>
        <v>0</v>
      </c>
      <c r="BJ61" s="156"/>
      <c r="BK61" s="153">
        <v>11.3</v>
      </c>
      <c r="BL61" s="153">
        <v>24.48</v>
      </c>
      <c r="BM61" s="156">
        <f t="shared" si="50"/>
        <v>13.18</v>
      </c>
      <c r="BN61" s="156"/>
      <c r="BO61" s="153"/>
      <c r="BP61" s="153"/>
      <c r="BQ61" s="156">
        <f t="shared" si="51"/>
        <v>0</v>
      </c>
      <c r="BR61" s="156"/>
      <c r="BS61" s="153"/>
      <c r="BT61" s="153"/>
      <c r="BU61" s="156">
        <f t="shared" si="52"/>
        <v>0</v>
      </c>
      <c r="BV61" s="156"/>
      <c r="BW61" s="153"/>
      <c r="BX61" s="153"/>
      <c r="BY61" s="156">
        <f t="shared" si="53"/>
        <v>0</v>
      </c>
      <c r="BZ61" s="156"/>
      <c r="CA61" s="153"/>
      <c r="CB61" s="153"/>
      <c r="CC61" s="156">
        <f t="shared" si="54"/>
        <v>0</v>
      </c>
      <c r="CD61" s="156"/>
      <c r="CE61" s="153"/>
      <c r="CF61" s="153"/>
      <c r="CG61" s="156">
        <f t="shared" si="55"/>
        <v>0</v>
      </c>
      <c r="CH61" s="156"/>
      <c r="CI61" s="153"/>
      <c r="CJ61" s="153"/>
      <c r="CK61" s="156">
        <f t="shared" si="56"/>
        <v>0</v>
      </c>
      <c r="CL61" s="222"/>
      <c r="CM61" s="222"/>
      <c r="CN61" s="222"/>
      <c r="CO61" s="222">
        <f t="shared" si="57"/>
        <v>0</v>
      </c>
      <c r="CP61" s="222"/>
      <c r="CQ61" s="14"/>
      <c r="CR61" s="14"/>
      <c r="CS61" s="261">
        <f t="shared" si="58"/>
        <v>0</v>
      </c>
      <c r="CT61" s="262"/>
      <c r="CU61" s="13"/>
      <c r="CV61" s="13"/>
      <c r="CW61" s="261">
        <f t="shared" si="59"/>
        <v>0</v>
      </c>
      <c r="CX61" s="262"/>
      <c r="CY61" s="13"/>
      <c r="CZ61" s="13"/>
      <c r="DA61" s="261">
        <f t="shared" si="60"/>
        <v>0</v>
      </c>
      <c r="DB61" s="262"/>
    </row>
    <row r="62" spans="1:106" ht="14.25" hidden="1" customHeight="1">
      <c r="A62" s="334"/>
      <c r="B62" s="333" t="s">
        <v>699</v>
      </c>
      <c r="C62" s="225">
        <v>0</v>
      </c>
      <c r="D62" s="153">
        <f t="shared" si="61"/>
        <v>4.149</v>
      </c>
      <c r="E62" s="108">
        <f>I62+M62+Q62+U62+Y62+AJ62+AN62+AR62+AV62+BD62+BH62+BX62+CF62+CJ62+CN62+CR62+CV62+CZ62+BL62+BT62</f>
        <v>0</v>
      </c>
      <c r="F62" s="192">
        <f>E62-D62</f>
        <v>-4.149</v>
      </c>
      <c r="G62" s="192">
        <f>E62/D62</f>
        <v>0</v>
      </c>
      <c r="H62" s="153"/>
      <c r="I62" s="153"/>
      <c r="J62" s="156">
        <f>I62-H62</f>
        <v>0</v>
      </c>
      <c r="K62" s="156"/>
      <c r="L62" s="153"/>
      <c r="M62" s="153"/>
      <c r="N62" s="156">
        <f>M62-L62</f>
        <v>0</v>
      </c>
      <c r="O62" s="156"/>
      <c r="P62" s="153"/>
      <c r="Q62" s="153"/>
      <c r="R62" s="156">
        <f>Q62-P62</f>
        <v>0</v>
      </c>
      <c r="S62" s="156"/>
      <c r="T62" s="153"/>
      <c r="U62" s="153"/>
      <c r="V62" s="156">
        <f>U62-T62</f>
        <v>0</v>
      </c>
      <c r="W62" s="156"/>
      <c r="X62" s="153">
        <f>AB62</f>
        <v>0</v>
      </c>
      <c r="Y62" s="153">
        <f>AC62</f>
        <v>0</v>
      </c>
      <c r="Z62" s="156">
        <f>Y62-X62</f>
        <v>0</v>
      </c>
      <c r="AA62" s="156"/>
      <c r="AB62" s="153"/>
      <c r="AC62" s="153"/>
      <c r="AD62" s="156">
        <f>AC62-AB62</f>
        <v>0</v>
      </c>
      <c r="AE62" s="156"/>
      <c r="AF62" s="153"/>
      <c r="AG62" s="153"/>
      <c r="AH62" s="156">
        <f>AG62-AF62</f>
        <v>0</v>
      </c>
      <c r="AI62" s="153"/>
      <c r="AJ62" s="153"/>
      <c r="AK62" s="156">
        <f>AJ62-AI62</f>
        <v>0</v>
      </c>
      <c r="AL62" s="156"/>
      <c r="AM62" s="153"/>
      <c r="AN62" s="153"/>
      <c r="AO62" s="156">
        <f>AN62-AM62</f>
        <v>0</v>
      </c>
      <c r="AP62" s="156"/>
      <c r="AQ62" s="156"/>
      <c r="AR62" s="156"/>
      <c r="AS62" s="156">
        <f>AR62-AQ62</f>
        <v>0</v>
      </c>
      <c r="AT62" s="156"/>
      <c r="AU62" s="153"/>
      <c r="AV62" s="153"/>
      <c r="AW62" s="156">
        <f>AV62-AU62</f>
        <v>0</v>
      </c>
      <c r="AX62" s="156"/>
      <c r="AY62" s="153"/>
      <c r="AZ62" s="153"/>
      <c r="BA62" s="156">
        <f>AZ62-AY62</f>
        <v>0</v>
      </c>
      <c r="BB62" s="156"/>
      <c r="BC62" s="153"/>
      <c r="BD62" s="153"/>
      <c r="BE62" s="156">
        <f>BD62-BC62</f>
        <v>0</v>
      </c>
      <c r="BF62" s="156"/>
      <c r="BG62" s="153"/>
      <c r="BH62" s="153"/>
      <c r="BI62" s="156">
        <f>BH62-BG62</f>
        <v>0</v>
      </c>
      <c r="BJ62" s="156"/>
      <c r="BK62" s="153">
        <v>4.149</v>
      </c>
      <c r="BL62" s="153"/>
      <c r="BM62" s="156">
        <f>BL62-BK62</f>
        <v>-4.149</v>
      </c>
      <c r="BN62" s="156"/>
      <c r="BO62" s="153"/>
      <c r="BP62" s="153"/>
      <c r="BQ62" s="156">
        <f>BP62-BO62</f>
        <v>0</v>
      </c>
      <c r="BR62" s="156"/>
      <c r="BS62" s="153"/>
      <c r="BT62" s="153"/>
      <c r="BU62" s="156">
        <f>BT62-BS62</f>
        <v>0</v>
      </c>
      <c r="BV62" s="156"/>
      <c r="BW62" s="153"/>
      <c r="BX62" s="153"/>
      <c r="BY62" s="156">
        <f>BX62-BW62</f>
        <v>0</v>
      </c>
      <c r="BZ62" s="156"/>
      <c r="CA62" s="153"/>
      <c r="CB62" s="153"/>
      <c r="CC62" s="156">
        <f>CB62-CA62</f>
        <v>0</v>
      </c>
      <c r="CD62" s="156"/>
      <c r="CE62" s="153"/>
      <c r="CF62" s="153"/>
      <c r="CG62" s="156">
        <f>CF62-CE62</f>
        <v>0</v>
      </c>
      <c r="CH62" s="156"/>
      <c r="CI62" s="153"/>
      <c r="CJ62" s="153"/>
      <c r="CK62" s="156">
        <f>CJ62-CI62</f>
        <v>0</v>
      </c>
      <c r="CL62" s="222"/>
      <c r="CM62" s="222"/>
      <c r="CN62" s="222"/>
      <c r="CO62" s="222">
        <f>CN62-CM62</f>
        <v>0</v>
      </c>
      <c r="CP62" s="222"/>
      <c r="CQ62" s="14"/>
      <c r="CR62" s="14"/>
      <c r="CS62" s="261">
        <f>CR62-CQ62</f>
        <v>0</v>
      </c>
      <c r="CT62" s="262"/>
      <c r="CU62" s="13"/>
      <c r="CV62" s="13"/>
      <c r="CW62" s="261">
        <f>CV62-CU62</f>
        <v>0</v>
      </c>
      <c r="CX62" s="262"/>
      <c r="CY62" s="13"/>
      <c r="CZ62" s="13"/>
      <c r="DA62" s="261">
        <f>CZ62-CY62</f>
        <v>0</v>
      </c>
      <c r="DB62" s="262"/>
    </row>
    <row r="63" spans="1:106" ht="14.25" hidden="1" customHeight="1">
      <c r="A63" s="334"/>
      <c r="B63" s="333" t="s">
        <v>547</v>
      </c>
      <c r="C63" s="225"/>
      <c r="D63" s="153">
        <f t="shared" si="61"/>
        <v>0</v>
      </c>
      <c r="E63" s="108">
        <f t="shared" si="63"/>
        <v>0</v>
      </c>
      <c r="F63" s="192">
        <f t="shared" si="35"/>
        <v>0</v>
      </c>
      <c r="G63" s="192" t="e">
        <f t="shared" si="64"/>
        <v>#DIV/0!</v>
      </c>
      <c r="H63" s="153"/>
      <c r="I63" s="153"/>
      <c r="J63" s="156">
        <f t="shared" si="9"/>
        <v>0</v>
      </c>
      <c r="K63" s="156"/>
      <c r="L63" s="153"/>
      <c r="M63" s="153"/>
      <c r="N63" s="156">
        <f t="shared" si="37"/>
        <v>0</v>
      </c>
      <c r="O63" s="156"/>
      <c r="P63" s="153"/>
      <c r="Q63" s="153"/>
      <c r="R63" s="156">
        <f t="shared" si="38"/>
        <v>0</v>
      </c>
      <c r="S63" s="156"/>
      <c r="T63" s="153"/>
      <c r="U63" s="153"/>
      <c r="V63" s="156">
        <f t="shared" si="39"/>
        <v>0</v>
      </c>
      <c r="W63" s="156"/>
      <c r="X63" s="153">
        <f t="shared" si="62"/>
        <v>0</v>
      </c>
      <c r="Y63" s="153">
        <f t="shared" si="62"/>
        <v>0</v>
      </c>
      <c r="Z63" s="156">
        <f t="shared" si="40"/>
        <v>0</v>
      </c>
      <c r="AA63" s="156"/>
      <c r="AB63" s="153"/>
      <c r="AC63" s="153"/>
      <c r="AD63" s="156">
        <f t="shared" si="41"/>
        <v>0</v>
      </c>
      <c r="AE63" s="156"/>
      <c r="AF63" s="153"/>
      <c r="AG63" s="153"/>
      <c r="AH63" s="156">
        <f t="shared" si="42"/>
        <v>0</v>
      </c>
      <c r="AI63" s="153"/>
      <c r="AJ63" s="153"/>
      <c r="AK63" s="156">
        <f>AJ63-AI63</f>
        <v>0</v>
      </c>
      <c r="AL63" s="156"/>
      <c r="AM63" s="153"/>
      <c r="AN63" s="153"/>
      <c r="AO63" s="156">
        <f>AN63-AM63</f>
        <v>0</v>
      </c>
      <c r="AP63" s="156"/>
      <c r="AQ63" s="156"/>
      <c r="AR63" s="156"/>
      <c r="AS63" s="156">
        <f t="shared" si="45"/>
        <v>0</v>
      </c>
      <c r="AT63" s="156"/>
      <c r="AU63" s="153"/>
      <c r="AV63" s="153"/>
      <c r="AW63" s="156">
        <f>AV63-AU63</f>
        <v>0</v>
      </c>
      <c r="AX63" s="156"/>
      <c r="AY63" s="153"/>
      <c r="AZ63" s="153"/>
      <c r="BA63" s="156">
        <f t="shared" si="47"/>
        <v>0</v>
      </c>
      <c r="BB63" s="156"/>
      <c r="BC63" s="153"/>
      <c r="BD63" s="153"/>
      <c r="BE63" s="156">
        <f t="shared" si="48"/>
        <v>0</v>
      </c>
      <c r="BF63" s="156"/>
      <c r="BG63" s="153"/>
      <c r="BH63" s="153"/>
      <c r="BI63" s="156">
        <f t="shared" si="49"/>
        <v>0</v>
      </c>
      <c r="BJ63" s="156"/>
      <c r="BK63" s="153"/>
      <c r="BL63" s="153"/>
      <c r="BM63" s="156">
        <f t="shared" si="50"/>
        <v>0</v>
      </c>
      <c r="BN63" s="156"/>
      <c r="BO63" s="153"/>
      <c r="BP63" s="153"/>
      <c r="BQ63" s="156">
        <f t="shared" si="51"/>
        <v>0</v>
      </c>
      <c r="BR63" s="156"/>
      <c r="BS63" s="153"/>
      <c r="BT63" s="153"/>
      <c r="BU63" s="156">
        <f t="shared" si="52"/>
        <v>0</v>
      </c>
      <c r="BV63" s="156"/>
      <c r="BW63" s="153"/>
      <c r="BX63" s="153"/>
      <c r="BY63" s="156">
        <f t="shared" si="53"/>
        <v>0</v>
      </c>
      <c r="BZ63" s="156"/>
      <c r="CA63" s="153"/>
      <c r="CB63" s="153"/>
      <c r="CC63" s="156">
        <f t="shared" si="54"/>
        <v>0</v>
      </c>
      <c r="CD63" s="156"/>
      <c r="CE63" s="153"/>
      <c r="CF63" s="153"/>
      <c r="CG63" s="156">
        <f t="shared" si="55"/>
        <v>0</v>
      </c>
      <c r="CH63" s="156"/>
      <c r="CI63" s="153"/>
      <c r="CJ63" s="153"/>
      <c r="CK63" s="156">
        <f t="shared" si="56"/>
        <v>0</v>
      </c>
      <c r="CL63" s="222"/>
      <c r="CM63" s="222"/>
      <c r="CN63" s="222"/>
      <c r="CO63" s="222">
        <f t="shared" si="57"/>
        <v>0</v>
      </c>
      <c r="CP63" s="222"/>
      <c r="CQ63" s="14"/>
      <c r="CR63" s="14"/>
      <c r="CS63" s="261">
        <f t="shared" si="58"/>
        <v>0</v>
      </c>
      <c r="CT63" s="262"/>
      <c r="CU63" s="13"/>
      <c r="CV63" s="13"/>
      <c r="CW63" s="261">
        <f t="shared" si="59"/>
        <v>0</v>
      </c>
      <c r="CX63" s="262"/>
      <c r="CY63" s="13"/>
      <c r="CZ63" s="13"/>
      <c r="DA63" s="261">
        <f t="shared" si="60"/>
        <v>0</v>
      </c>
      <c r="DB63" s="262"/>
    </row>
    <row r="64" spans="1:106" ht="14.25" customHeight="1">
      <c r="A64" s="334"/>
      <c r="B64" s="333" t="s">
        <v>700</v>
      </c>
      <c r="C64" s="225">
        <v>15.5</v>
      </c>
      <c r="D64" s="153">
        <f t="shared" si="61"/>
        <v>5.7290000000000001</v>
      </c>
      <c r="E64" s="153">
        <f>I64+M64+Q64+U64+Y64+AJ64+AN64+AR64+AV64+BD64+BH64+BX64+CF64+CJ64+CN64+CR64+CV64+CZ64+BL64+BT64</f>
        <v>5.7290000000000001</v>
      </c>
      <c r="F64" s="192">
        <f>E64-D64</f>
        <v>0</v>
      </c>
      <c r="G64" s="192">
        <f>E64/D64</f>
        <v>1</v>
      </c>
      <c r="H64" s="153"/>
      <c r="I64" s="153"/>
      <c r="J64" s="156">
        <f>I64-H64</f>
        <v>0</v>
      </c>
      <c r="K64" s="156"/>
      <c r="L64" s="153"/>
      <c r="M64" s="153"/>
      <c r="N64" s="156"/>
      <c r="O64" s="156"/>
      <c r="P64" s="153"/>
      <c r="Q64" s="153"/>
      <c r="R64" s="156"/>
      <c r="S64" s="156"/>
      <c r="T64" s="153"/>
      <c r="U64" s="153"/>
      <c r="V64" s="156"/>
      <c r="W64" s="156"/>
      <c r="X64" s="153">
        <f>AB64</f>
        <v>0</v>
      </c>
      <c r="Y64" s="153">
        <f>AC64</f>
        <v>0</v>
      </c>
      <c r="Z64" s="156">
        <f>Y64-X64</f>
        <v>0</v>
      </c>
      <c r="AA64" s="156"/>
      <c r="AB64" s="153"/>
      <c r="AC64" s="153"/>
      <c r="AD64" s="156">
        <f>AC64-AB64</f>
        <v>0</v>
      </c>
      <c r="AE64" s="156"/>
      <c r="AF64" s="153"/>
      <c r="AG64" s="153"/>
      <c r="AH64" s="156"/>
      <c r="AI64" s="153"/>
      <c r="AJ64" s="153"/>
      <c r="AK64" s="156">
        <f>AJ64-AI64</f>
        <v>0</v>
      </c>
      <c r="AL64" s="156"/>
      <c r="AM64" s="153"/>
      <c r="AN64" s="153"/>
      <c r="AO64" s="156">
        <f>AN64-AM64</f>
        <v>0</v>
      </c>
      <c r="AP64" s="156"/>
      <c r="AQ64" s="156"/>
      <c r="AR64" s="156"/>
      <c r="AS64" s="156"/>
      <c r="AT64" s="156"/>
      <c r="AU64" s="153"/>
      <c r="AV64" s="153"/>
      <c r="AW64" s="156">
        <f>AV64-AU64</f>
        <v>0</v>
      </c>
      <c r="AX64" s="156"/>
      <c r="AY64" s="153"/>
      <c r="AZ64" s="153"/>
      <c r="BA64" s="156"/>
      <c r="BB64" s="156"/>
      <c r="BC64" s="153"/>
      <c r="BD64" s="153"/>
      <c r="BE64" s="156"/>
      <c r="BF64" s="156"/>
      <c r="BG64" s="153"/>
      <c r="BH64" s="153"/>
      <c r="BI64" s="156"/>
      <c r="BJ64" s="156"/>
      <c r="BK64" s="153">
        <v>5.7290000000000001</v>
      </c>
      <c r="BL64" s="153">
        <v>5.7290000000000001</v>
      </c>
      <c r="BM64" s="156">
        <f>BL64-BK64</f>
        <v>0</v>
      </c>
      <c r="BN64" s="156"/>
      <c r="BO64" s="153"/>
      <c r="BP64" s="153"/>
      <c r="BQ64" s="156">
        <f>BP64-BO64</f>
        <v>0</v>
      </c>
      <c r="BR64" s="156"/>
      <c r="BS64" s="153"/>
      <c r="BT64" s="153"/>
      <c r="BU64" s="156"/>
      <c r="BV64" s="156"/>
      <c r="BW64" s="153"/>
      <c r="BX64" s="153"/>
      <c r="BY64" s="156"/>
      <c r="BZ64" s="156"/>
      <c r="CA64" s="153"/>
      <c r="CB64" s="153"/>
      <c r="CC64" s="156"/>
      <c r="CD64" s="156"/>
      <c r="CE64" s="153"/>
      <c r="CF64" s="153"/>
      <c r="CG64" s="156"/>
      <c r="CH64" s="156"/>
      <c r="CI64" s="153"/>
      <c r="CJ64" s="153"/>
      <c r="CK64" s="156"/>
      <c r="CL64" s="222"/>
      <c r="CM64" s="222"/>
      <c r="CN64" s="222"/>
      <c r="CO64" s="222"/>
      <c r="CP64" s="222"/>
      <c r="CQ64" s="14"/>
      <c r="CR64" s="14"/>
      <c r="CS64" s="261"/>
      <c r="CT64" s="262"/>
      <c r="CU64" s="13"/>
      <c r="CV64" s="13"/>
      <c r="CW64" s="261"/>
      <c r="CX64" s="262"/>
      <c r="CY64" s="13"/>
      <c r="CZ64" s="13"/>
      <c r="DA64" s="261"/>
      <c r="DB64" s="262"/>
    </row>
    <row r="65" spans="1:106" ht="14.25" customHeight="1">
      <c r="A65" s="334"/>
      <c r="B65" s="333" t="s">
        <v>345</v>
      </c>
      <c r="C65" s="225">
        <v>15.5</v>
      </c>
      <c r="D65" s="153">
        <f t="shared" si="61"/>
        <v>30.926000000000002</v>
      </c>
      <c r="E65" s="153">
        <f t="shared" si="63"/>
        <v>33.71</v>
      </c>
      <c r="F65" s="192">
        <f t="shared" si="35"/>
        <v>2.7839999999999989</v>
      </c>
      <c r="G65" s="192">
        <f t="shared" si="64"/>
        <v>1.0900213412662485</v>
      </c>
      <c r="H65" s="153">
        <v>18.291</v>
      </c>
      <c r="I65" s="153">
        <v>23.192</v>
      </c>
      <c r="J65" s="156">
        <f t="shared" si="9"/>
        <v>4.9009999999999998</v>
      </c>
      <c r="K65" s="156"/>
      <c r="L65" s="153"/>
      <c r="M65" s="153"/>
      <c r="N65" s="156"/>
      <c r="O65" s="156"/>
      <c r="P65" s="153"/>
      <c r="Q65" s="153"/>
      <c r="R65" s="156"/>
      <c r="S65" s="156"/>
      <c r="T65" s="153"/>
      <c r="U65" s="153"/>
      <c r="V65" s="156"/>
      <c r="W65" s="156"/>
      <c r="X65" s="153">
        <f t="shared" si="62"/>
        <v>0</v>
      </c>
      <c r="Y65" s="153">
        <f t="shared" si="62"/>
        <v>0</v>
      </c>
      <c r="Z65" s="156">
        <f t="shared" si="40"/>
        <v>0</v>
      </c>
      <c r="AA65" s="156"/>
      <c r="AB65" s="153"/>
      <c r="AC65" s="153"/>
      <c r="AD65" s="156">
        <f t="shared" si="41"/>
        <v>0</v>
      </c>
      <c r="AE65" s="156"/>
      <c r="AF65" s="153"/>
      <c r="AG65" s="153"/>
      <c r="AH65" s="156"/>
      <c r="AI65" s="153"/>
      <c r="AJ65" s="153"/>
      <c r="AK65" s="156">
        <f>AJ65-AI65</f>
        <v>0</v>
      </c>
      <c r="AL65" s="156"/>
      <c r="AM65" s="153"/>
      <c r="AN65" s="153"/>
      <c r="AO65" s="156">
        <f>AN65-AM65</f>
        <v>0</v>
      </c>
      <c r="AP65" s="156"/>
      <c r="AQ65" s="156"/>
      <c r="AR65" s="156"/>
      <c r="AS65" s="156"/>
      <c r="AT65" s="156"/>
      <c r="AU65" s="153"/>
      <c r="AV65" s="153"/>
      <c r="AW65" s="156">
        <f>AV65-AU65</f>
        <v>0</v>
      </c>
      <c r="AX65" s="156"/>
      <c r="AY65" s="153"/>
      <c r="AZ65" s="153"/>
      <c r="BA65" s="156"/>
      <c r="BB65" s="156"/>
      <c r="BC65" s="153"/>
      <c r="BD65" s="153"/>
      <c r="BE65" s="156"/>
      <c r="BF65" s="156"/>
      <c r="BG65" s="153"/>
      <c r="BH65" s="153"/>
      <c r="BI65" s="156"/>
      <c r="BJ65" s="156"/>
      <c r="BK65" s="153">
        <v>12.635</v>
      </c>
      <c r="BL65" s="153">
        <v>10.518000000000001</v>
      </c>
      <c r="BM65" s="156">
        <f t="shared" si="50"/>
        <v>-2.1169999999999991</v>
      </c>
      <c r="BN65" s="156"/>
      <c r="BO65" s="153"/>
      <c r="BP65" s="153"/>
      <c r="BQ65" s="156">
        <f t="shared" si="51"/>
        <v>0</v>
      </c>
      <c r="BR65" s="156"/>
      <c r="BS65" s="153"/>
      <c r="BT65" s="153"/>
      <c r="BU65" s="156"/>
      <c r="BV65" s="156"/>
      <c r="BW65" s="153"/>
      <c r="BX65" s="153"/>
      <c r="BY65" s="156"/>
      <c r="BZ65" s="156"/>
      <c r="CA65" s="153"/>
      <c r="CB65" s="153"/>
      <c r="CC65" s="156"/>
      <c r="CD65" s="156"/>
      <c r="CE65" s="153"/>
      <c r="CF65" s="153"/>
      <c r="CG65" s="156"/>
      <c r="CH65" s="156"/>
      <c r="CI65" s="153"/>
      <c r="CJ65" s="153"/>
      <c r="CK65" s="156"/>
      <c r="CL65" s="222"/>
      <c r="CM65" s="222"/>
      <c r="CN65" s="222"/>
      <c r="CO65" s="222"/>
      <c r="CP65" s="222"/>
      <c r="CQ65" s="14"/>
      <c r="CR65" s="14"/>
      <c r="CS65" s="261"/>
      <c r="CT65" s="262"/>
      <c r="CU65" s="13"/>
      <c r="CV65" s="13"/>
      <c r="CW65" s="261"/>
      <c r="CX65" s="262"/>
      <c r="CY65" s="13"/>
      <c r="CZ65" s="13"/>
      <c r="DA65" s="261"/>
      <c r="DB65" s="262"/>
    </row>
    <row r="66" spans="1:106" ht="14.25" customHeight="1">
      <c r="A66" s="334"/>
      <c r="B66" s="333" t="s">
        <v>548</v>
      </c>
      <c r="C66" s="225">
        <v>5</v>
      </c>
      <c r="D66" s="153">
        <f t="shared" si="61"/>
        <v>19.349</v>
      </c>
      <c r="E66" s="108">
        <f t="shared" si="63"/>
        <v>32.107700000000001</v>
      </c>
      <c r="F66" s="192">
        <f t="shared" si="35"/>
        <v>12.758700000000001</v>
      </c>
      <c r="G66" s="192">
        <f t="shared" si="64"/>
        <v>1.6593984185229211</v>
      </c>
      <c r="H66" s="153">
        <v>7.2539999999999996</v>
      </c>
      <c r="I66" s="153">
        <v>12.09</v>
      </c>
      <c r="J66" s="156">
        <f t="shared" si="9"/>
        <v>4.8360000000000003</v>
      </c>
      <c r="K66" s="156"/>
      <c r="L66" s="153"/>
      <c r="M66" s="153"/>
      <c r="N66" s="156">
        <v>0</v>
      </c>
      <c r="O66" s="156"/>
      <c r="P66" s="153"/>
      <c r="Q66" s="153"/>
      <c r="R66" s="156">
        <v>0</v>
      </c>
      <c r="S66" s="156"/>
      <c r="T66" s="153"/>
      <c r="U66" s="153"/>
      <c r="V66" s="156"/>
      <c r="W66" s="156"/>
      <c r="X66" s="153">
        <f t="shared" si="62"/>
        <v>0</v>
      </c>
      <c r="Y66" s="153">
        <f t="shared" si="62"/>
        <v>0</v>
      </c>
      <c r="Z66" s="156">
        <f t="shared" si="40"/>
        <v>0</v>
      </c>
      <c r="AA66" s="156"/>
      <c r="AB66" s="153"/>
      <c r="AC66" s="153"/>
      <c r="AD66" s="156">
        <f t="shared" si="41"/>
        <v>0</v>
      </c>
      <c r="AE66" s="156"/>
      <c r="AF66" s="153"/>
      <c r="AG66" s="153"/>
      <c r="AH66" s="156"/>
      <c r="AI66" s="153"/>
      <c r="AJ66" s="153"/>
      <c r="AK66" s="156">
        <v>0</v>
      </c>
      <c r="AL66" s="156"/>
      <c r="AM66" s="153"/>
      <c r="AN66" s="153"/>
      <c r="AO66" s="156">
        <v>0</v>
      </c>
      <c r="AP66" s="156"/>
      <c r="AQ66" s="156"/>
      <c r="AR66" s="156"/>
      <c r="AS66" s="156"/>
      <c r="AT66" s="156"/>
      <c r="AU66" s="153"/>
      <c r="AV66" s="153"/>
      <c r="AW66" s="156">
        <f>AV66-AU66</f>
        <v>0</v>
      </c>
      <c r="AX66" s="156"/>
      <c r="AY66" s="153"/>
      <c r="AZ66" s="153"/>
      <c r="BA66" s="156"/>
      <c r="BB66" s="156"/>
      <c r="BC66" s="153"/>
      <c r="BD66" s="153"/>
      <c r="BE66" s="156">
        <v>0</v>
      </c>
      <c r="BF66" s="156"/>
      <c r="BG66" s="153"/>
      <c r="BH66" s="153"/>
      <c r="BI66" s="156">
        <v>0</v>
      </c>
      <c r="BJ66" s="156"/>
      <c r="BK66" s="153">
        <v>12.095000000000001</v>
      </c>
      <c r="BL66" s="153">
        <v>20.017700000000001</v>
      </c>
      <c r="BM66" s="156">
        <f t="shared" si="50"/>
        <v>7.9227000000000007</v>
      </c>
      <c r="BN66" s="156"/>
      <c r="BO66" s="153"/>
      <c r="BP66" s="153"/>
      <c r="BQ66" s="156">
        <f t="shared" si="51"/>
        <v>0</v>
      </c>
      <c r="BR66" s="156"/>
      <c r="BS66" s="153"/>
      <c r="BT66" s="153"/>
      <c r="BU66" s="156"/>
      <c r="BV66" s="156"/>
      <c r="BW66" s="153"/>
      <c r="BX66" s="153"/>
      <c r="BY66" s="156">
        <v>0</v>
      </c>
      <c r="BZ66" s="156"/>
      <c r="CA66" s="153"/>
      <c r="CB66" s="153"/>
      <c r="CC66" s="156"/>
      <c r="CD66" s="156"/>
      <c r="CE66" s="153"/>
      <c r="CF66" s="153"/>
      <c r="CG66" s="156">
        <v>0</v>
      </c>
      <c r="CH66" s="156"/>
      <c r="CI66" s="153"/>
      <c r="CJ66" s="153"/>
      <c r="CK66" s="156">
        <v>0</v>
      </c>
      <c r="CL66" s="222"/>
      <c r="CM66" s="222"/>
      <c r="CN66" s="222"/>
      <c r="CO66" s="222">
        <v>0</v>
      </c>
      <c r="CP66" s="222"/>
      <c r="CQ66" s="14"/>
      <c r="CR66" s="14"/>
      <c r="CS66" s="261"/>
      <c r="CT66" s="262"/>
      <c r="CU66" s="13"/>
      <c r="CV66" s="13"/>
      <c r="CW66" s="261"/>
      <c r="CX66" s="262"/>
      <c r="CY66" s="13"/>
      <c r="CZ66" s="13"/>
      <c r="DA66" s="261">
        <v>0</v>
      </c>
      <c r="DB66" s="262"/>
    </row>
    <row r="67" spans="1:106" ht="14.25" customHeight="1">
      <c r="A67" s="334"/>
      <c r="B67" s="333" t="s">
        <v>346</v>
      </c>
      <c r="C67" s="225"/>
      <c r="D67" s="153">
        <f t="shared" si="61"/>
        <v>0</v>
      </c>
      <c r="E67" s="153">
        <f t="shared" si="63"/>
        <v>0.32700000000000001</v>
      </c>
      <c r="F67" s="192">
        <f t="shared" si="35"/>
        <v>0.32700000000000001</v>
      </c>
      <c r="G67" s="192" t="e">
        <f t="shared" si="64"/>
        <v>#DIV/0!</v>
      </c>
      <c r="H67" s="153">
        <v>0</v>
      </c>
      <c r="I67" s="153">
        <v>0.32700000000000001</v>
      </c>
      <c r="J67" s="156"/>
      <c r="K67" s="156"/>
      <c r="L67" s="153"/>
      <c r="M67" s="153"/>
      <c r="N67" s="156"/>
      <c r="O67" s="156"/>
      <c r="P67" s="153"/>
      <c r="Q67" s="153"/>
      <c r="R67" s="156"/>
      <c r="S67" s="156"/>
      <c r="T67" s="153"/>
      <c r="U67" s="153"/>
      <c r="V67" s="156"/>
      <c r="W67" s="156"/>
      <c r="X67" s="153"/>
      <c r="Y67" s="153"/>
      <c r="Z67" s="156"/>
      <c r="AA67" s="156"/>
      <c r="AB67" s="153"/>
      <c r="AC67" s="153"/>
      <c r="AD67" s="156"/>
      <c r="AE67" s="156"/>
      <c r="AF67" s="153"/>
      <c r="AG67" s="153"/>
      <c r="AH67" s="156"/>
      <c r="AI67" s="153"/>
      <c r="AJ67" s="153"/>
      <c r="AK67" s="156"/>
      <c r="AL67" s="156"/>
      <c r="AM67" s="153"/>
      <c r="AN67" s="153"/>
      <c r="AO67" s="156"/>
      <c r="AP67" s="156"/>
      <c r="AQ67" s="156"/>
      <c r="AR67" s="156"/>
      <c r="AS67" s="156"/>
      <c r="AT67" s="156"/>
      <c r="AU67" s="153"/>
      <c r="AV67" s="153"/>
      <c r="AW67" s="156"/>
      <c r="AX67" s="156"/>
      <c r="AY67" s="153"/>
      <c r="AZ67" s="153"/>
      <c r="BA67" s="156"/>
      <c r="BB67" s="156"/>
      <c r="BC67" s="153"/>
      <c r="BD67" s="153"/>
      <c r="BE67" s="156"/>
      <c r="BF67" s="156"/>
      <c r="BG67" s="153"/>
      <c r="BH67" s="153"/>
      <c r="BI67" s="156"/>
      <c r="BJ67" s="156"/>
      <c r="BK67" s="153"/>
      <c r="BL67" s="153"/>
      <c r="BM67" s="156"/>
      <c r="BN67" s="156"/>
      <c r="BO67" s="153"/>
      <c r="BP67" s="153"/>
      <c r="BQ67" s="156"/>
      <c r="BR67" s="156"/>
      <c r="BS67" s="153"/>
      <c r="BT67" s="153"/>
      <c r="BU67" s="156"/>
      <c r="BV67" s="156"/>
      <c r="BW67" s="153"/>
      <c r="BX67" s="153"/>
      <c r="BY67" s="156"/>
      <c r="BZ67" s="156"/>
      <c r="CA67" s="153"/>
      <c r="CB67" s="153"/>
      <c r="CC67" s="156"/>
      <c r="CD67" s="156"/>
      <c r="CE67" s="153"/>
      <c r="CF67" s="153"/>
      <c r="CG67" s="156"/>
      <c r="CH67" s="156"/>
      <c r="CI67" s="153"/>
      <c r="CJ67" s="153"/>
      <c r="CK67" s="156"/>
      <c r="CL67" s="222"/>
      <c r="CM67" s="222"/>
      <c r="CN67" s="222"/>
      <c r="CO67" s="222"/>
      <c r="CP67" s="222"/>
      <c r="CQ67" s="14"/>
      <c r="CR67" s="14"/>
      <c r="CS67" s="261"/>
      <c r="CT67" s="262"/>
      <c r="CU67" s="13"/>
      <c r="CV67" s="13"/>
      <c r="CW67" s="261"/>
      <c r="CX67" s="262"/>
      <c r="CY67" s="13"/>
      <c r="CZ67" s="13"/>
      <c r="DA67" s="261"/>
      <c r="DB67" s="262"/>
    </row>
    <row r="68" spans="1:106" ht="14.25" hidden="1" customHeight="1">
      <c r="A68" s="334"/>
      <c r="B68" s="333" t="s">
        <v>549</v>
      </c>
      <c r="C68" s="225"/>
      <c r="D68" s="153">
        <f t="shared" si="61"/>
        <v>0</v>
      </c>
      <c r="E68" s="153">
        <f t="shared" si="63"/>
        <v>0</v>
      </c>
      <c r="F68" s="192">
        <f t="shared" si="35"/>
        <v>0</v>
      </c>
      <c r="G68" s="192">
        <v>0</v>
      </c>
      <c r="H68" s="153"/>
      <c r="I68" s="153"/>
      <c r="J68" s="156">
        <v>0</v>
      </c>
      <c r="K68" s="156"/>
      <c r="L68" s="153"/>
      <c r="M68" s="153"/>
      <c r="N68" s="156">
        <v>0</v>
      </c>
      <c r="O68" s="156"/>
      <c r="P68" s="153"/>
      <c r="Q68" s="153"/>
      <c r="R68" s="156">
        <v>0</v>
      </c>
      <c r="S68" s="156"/>
      <c r="T68" s="153"/>
      <c r="U68" s="153"/>
      <c r="V68" s="156"/>
      <c r="W68" s="156"/>
      <c r="X68" s="153"/>
      <c r="Y68" s="153"/>
      <c r="Z68" s="156">
        <f t="shared" ref="Z68:Z80" si="65">Y68-X68</f>
        <v>0</v>
      </c>
      <c r="AA68" s="156"/>
      <c r="AB68" s="153"/>
      <c r="AC68" s="153"/>
      <c r="AD68" s="156">
        <v>0</v>
      </c>
      <c r="AE68" s="156"/>
      <c r="AF68" s="153"/>
      <c r="AG68" s="153"/>
      <c r="AH68" s="156"/>
      <c r="AI68" s="153"/>
      <c r="AJ68" s="153"/>
      <c r="AK68" s="156">
        <v>0</v>
      </c>
      <c r="AL68" s="156"/>
      <c r="AM68" s="153"/>
      <c r="AN68" s="153"/>
      <c r="AO68" s="156">
        <v>0</v>
      </c>
      <c r="AP68" s="156"/>
      <c r="AQ68" s="156"/>
      <c r="AR68" s="156"/>
      <c r="AS68" s="156"/>
      <c r="AT68" s="156"/>
      <c r="AU68" s="153"/>
      <c r="AV68" s="153"/>
      <c r="AW68" s="156"/>
      <c r="AX68" s="156"/>
      <c r="AY68" s="153"/>
      <c r="AZ68" s="153"/>
      <c r="BA68" s="156"/>
      <c r="BB68" s="156"/>
      <c r="BC68" s="153"/>
      <c r="BD68" s="153"/>
      <c r="BE68" s="156">
        <v>0</v>
      </c>
      <c r="BF68" s="156"/>
      <c r="BG68" s="153"/>
      <c r="BH68" s="153"/>
      <c r="BI68" s="156">
        <v>0</v>
      </c>
      <c r="BJ68" s="156"/>
      <c r="BK68" s="153"/>
      <c r="BL68" s="153"/>
      <c r="BM68" s="156">
        <f t="shared" ref="BM68:BM90" si="66">BL68-BK68</f>
        <v>0</v>
      </c>
      <c r="BN68" s="156"/>
      <c r="BO68" s="153"/>
      <c r="BP68" s="153"/>
      <c r="BQ68" s="156">
        <f t="shared" ref="BQ68:BQ90" si="67">BP68-BO68</f>
        <v>0</v>
      </c>
      <c r="BR68" s="156"/>
      <c r="BS68" s="153"/>
      <c r="BT68" s="153"/>
      <c r="BU68" s="156"/>
      <c r="BV68" s="156"/>
      <c r="BW68" s="153"/>
      <c r="BX68" s="153"/>
      <c r="BY68" s="156">
        <v>0</v>
      </c>
      <c r="BZ68" s="156"/>
      <c r="CA68" s="153"/>
      <c r="CB68" s="153"/>
      <c r="CC68" s="156"/>
      <c r="CD68" s="156"/>
      <c r="CE68" s="153"/>
      <c r="CF68" s="153"/>
      <c r="CG68" s="156">
        <v>0</v>
      </c>
      <c r="CH68" s="156"/>
      <c r="CI68" s="153"/>
      <c r="CJ68" s="153"/>
      <c r="CK68" s="156">
        <v>0</v>
      </c>
      <c r="CL68" s="222"/>
      <c r="CM68" s="222"/>
      <c r="CN68" s="222"/>
      <c r="CO68" s="222">
        <v>0</v>
      </c>
      <c r="CP68" s="222"/>
      <c r="CQ68" s="14"/>
      <c r="CR68" s="14"/>
      <c r="CS68" s="261"/>
      <c r="CT68" s="262"/>
      <c r="CU68" s="13"/>
      <c r="CV68" s="13"/>
      <c r="CW68" s="261"/>
      <c r="CX68" s="262"/>
      <c r="CY68" s="13"/>
      <c r="CZ68" s="13"/>
      <c r="DA68" s="261">
        <v>0</v>
      </c>
      <c r="DB68" s="262"/>
    </row>
    <row r="69" spans="1:106" ht="14.25" customHeight="1">
      <c r="A69" s="334"/>
      <c r="B69" s="333" t="s">
        <v>390</v>
      </c>
      <c r="C69" s="225">
        <v>38.9</v>
      </c>
      <c r="D69" s="153">
        <f t="shared" si="61"/>
        <v>38.94</v>
      </c>
      <c r="E69" s="153">
        <f t="shared" si="63"/>
        <v>47.117999999999995</v>
      </c>
      <c r="F69" s="192"/>
      <c r="G69" s="192">
        <v>0</v>
      </c>
      <c r="H69" s="153">
        <v>18.09</v>
      </c>
      <c r="I69" s="153">
        <v>18.071999999999999</v>
      </c>
      <c r="J69" s="156">
        <v>0</v>
      </c>
      <c r="K69" s="156"/>
      <c r="L69" s="153"/>
      <c r="M69" s="153"/>
      <c r="N69" s="156">
        <v>0</v>
      </c>
      <c r="O69" s="156"/>
      <c r="P69" s="153"/>
      <c r="Q69" s="153"/>
      <c r="R69" s="156">
        <v>0</v>
      </c>
      <c r="S69" s="156"/>
      <c r="T69" s="153"/>
      <c r="U69" s="153"/>
      <c r="V69" s="156">
        <v>0</v>
      </c>
      <c r="W69" s="156"/>
      <c r="X69" s="153"/>
      <c r="Y69" s="153"/>
      <c r="Z69" s="156">
        <f t="shared" si="65"/>
        <v>0</v>
      </c>
      <c r="AA69" s="156"/>
      <c r="AB69" s="153"/>
      <c r="AC69" s="153"/>
      <c r="AD69" s="156">
        <f t="shared" ref="AD69:AD83" si="68">AC69-AB69</f>
        <v>0</v>
      </c>
      <c r="AE69" s="156"/>
      <c r="AF69" s="153"/>
      <c r="AG69" s="153"/>
      <c r="AH69" s="156"/>
      <c r="AI69" s="153"/>
      <c r="AJ69" s="153"/>
      <c r="AK69" s="156">
        <v>0</v>
      </c>
      <c r="AL69" s="156"/>
      <c r="AM69" s="153"/>
      <c r="AN69" s="153"/>
      <c r="AO69" s="156">
        <v>0</v>
      </c>
      <c r="AP69" s="156"/>
      <c r="AQ69" s="156"/>
      <c r="AR69" s="156"/>
      <c r="AS69" s="156"/>
      <c r="AT69" s="156"/>
      <c r="AU69" s="153"/>
      <c r="AV69" s="153"/>
      <c r="AW69" s="156">
        <v>0</v>
      </c>
      <c r="AX69" s="156"/>
      <c r="AY69" s="153"/>
      <c r="AZ69" s="153"/>
      <c r="BA69" s="156">
        <v>0</v>
      </c>
      <c r="BB69" s="156"/>
      <c r="BC69" s="153"/>
      <c r="BD69" s="153"/>
      <c r="BE69" s="156">
        <v>0</v>
      </c>
      <c r="BF69" s="156"/>
      <c r="BG69" s="153"/>
      <c r="BH69" s="153"/>
      <c r="BI69" s="156">
        <v>0</v>
      </c>
      <c r="BJ69" s="156"/>
      <c r="BK69" s="153">
        <v>20.85</v>
      </c>
      <c r="BL69" s="153">
        <v>29.045999999999999</v>
      </c>
      <c r="BM69" s="156">
        <f t="shared" si="66"/>
        <v>8.195999999999998</v>
      </c>
      <c r="BN69" s="156"/>
      <c r="BO69" s="153"/>
      <c r="BP69" s="153"/>
      <c r="BQ69" s="156">
        <f t="shared" si="67"/>
        <v>0</v>
      </c>
      <c r="BR69" s="156"/>
      <c r="BS69" s="153"/>
      <c r="BT69" s="153"/>
      <c r="BU69" s="156"/>
      <c r="BV69" s="156"/>
      <c r="BW69" s="153"/>
      <c r="BX69" s="153"/>
      <c r="BY69" s="156">
        <v>0</v>
      </c>
      <c r="BZ69" s="156"/>
      <c r="CA69" s="153"/>
      <c r="CB69" s="153"/>
      <c r="CC69" s="156"/>
      <c r="CD69" s="156"/>
      <c r="CE69" s="153"/>
      <c r="CF69" s="153"/>
      <c r="CG69" s="156">
        <v>0</v>
      </c>
      <c r="CH69" s="156"/>
      <c r="CI69" s="153"/>
      <c r="CJ69" s="153"/>
      <c r="CK69" s="156">
        <v>0</v>
      </c>
      <c r="CL69" s="222"/>
      <c r="CM69" s="222"/>
      <c r="CN69" s="222"/>
      <c r="CO69" s="222">
        <v>0</v>
      </c>
      <c r="CP69" s="222"/>
      <c r="CQ69" s="14"/>
      <c r="CR69" s="14"/>
      <c r="CS69" s="261"/>
      <c r="CT69" s="262"/>
      <c r="CU69" s="13"/>
      <c r="CV69" s="13"/>
      <c r="CW69" s="261"/>
      <c r="CX69" s="262"/>
      <c r="CY69" s="13"/>
      <c r="CZ69" s="13"/>
      <c r="DA69" s="261">
        <v>0</v>
      </c>
      <c r="DB69" s="262"/>
    </row>
    <row r="70" spans="1:106" ht="14.25" customHeight="1">
      <c r="A70" s="334"/>
      <c r="B70" s="333" t="s">
        <v>347</v>
      </c>
      <c r="C70" s="225">
        <v>3.6</v>
      </c>
      <c r="D70" s="153">
        <f t="shared" si="61"/>
        <v>8.07</v>
      </c>
      <c r="E70" s="153">
        <f t="shared" si="63"/>
        <v>8.07</v>
      </c>
      <c r="F70" s="192">
        <f t="shared" ref="F70:F88" si="69">E70-D70</f>
        <v>0</v>
      </c>
      <c r="G70" s="192">
        <f>E70/D70</f>
        <v>1</v>
      </c>
      <c r="H70" s="153"/>
      <c r="I70" s="153">
        <v>0</v>
      </c>
      <c r="J70" s="156">
        <f t="shared" ref="J70:J88" si="70">I70-H70</f>
        <v>0</v>
      </c>
      <c r="K70" s="156"/>
      <c r="L70" s="153"/>
      <c r="M70" s="153"/>
      <c r="N70" s="156">
        <f t="shared" ref="N70:N83" si="71">M70-L70</f>
        <v>0</v>
      </c>
      <c r="O70" s="156"/>
      <c r="P70" s="153"/>
      <c r="Q70" s="153"/>
      <c r="R70" s="156">
        <f t="shared" ref="R70:R83" si="72">Q70-P70</f>
        <v>0</v>
      </c>
      <c r="S70" s="156"/>
      <c r="T70" s="153"/>
      <c r="U70" s="153"/>
      <c r="V70" s="156">
        <f t="shared" ref="V70:V80" si="73">U70-T70</f>
        <v>0</v>
      </c>
      <c r="W70" s="156"/>
      <c r="X70" s="153">
        <f t="shared" ref="X70:Y88" si="74">AB70</f>
        <v>0</v>
      </c>
      <c r="Y70" s="153">
        <f t="shared" si="74"/>
        <v>0</v>
      </c>
      <c r="Z70" s="156">
        <f t="shared" si="65"/>
        <v>0</v>
      </c>
      <c r="AA70" s="156"/>
      <c r="AB70" s="153"/>
      <c r="AC70" s="153"/>
      <c r="AD70" s="156">
        <f t="shared" si="68"/>
        <v>0</v>
      </c>
      <c r="AE70" s="156"/>
      <c r="AF70" s="153"/>
      <c r="AG70" s="153"/>
      <c r="AH70" s="156">
        <f t="shared" ref="AH70:AH80" si="75">AG70-AF70</f>
        <v>0</v>
      </c>
      <c r="AI70" s="153"/>
      <c r="AJ70" s="153"/>
      <c r="AK70" s="156">
        <f t="shared" ref="AK70:AK80" si="76">AJ70-AI70</f>
        <v>0</v>
      </c>
      <c r="AL70" s="156"/>
      <c r="AM70" s="153"/>
      <c r="AN70" s="153"/>
      <c r="AO70" s="156">
        <f t="shared" ref="AO70:AO83" si="77">AN70-AM70</f>
        <v>0</v>
      </c>
      <c r="AP70" s="156"/>
      <c r="AQ70" s="156"/>
      <c r="AR70" s="156"/>
      <c r="AS70" s="156">
        <f t="shared" ref="AS70:AS80" si="78">AR70-AQ70</f>
        <v>0</v>
      </c>
      <c r="AT70" s="156"/>
      <c r="AU70" s="153"/>
      <c r="AV70" s="153"/>
      <c r="AW70" s="156">
        <f t="shared" ref="AW70:AW80" si="79">AV70-AU70</f>
        <v>0</v>
      </c>
      <c r="AX70" s="156"/>
      <c r="AY70" s="153"/>
      <c r="AZ70" s="153"/>
      <c r="BA70" s="156">
        <f t="shared" ref="BA70:BA80" si="80">AZ70-AY70</f>
        <v>0</v>
      </c>
      <c r="BB70" s="156"/>
      <c r="BC70" s="153"/>
      <c r="BD70" s="153"/>
      <c r="BE70" s="156">
        <f t="shared" ref="BE70:BE80" si="81">BD70-BC70</f>
        <v>0</v>
      </c>
      <c r="BF70" s="156"/>
      <c r="BG70" s="153"/>
      <c r="BH70" s="153"/>
      <c r="BI70" s="156">
        <f t="shared" ref="BI70:BI83" si="82">BH70-BG70</f>
        <v>0</v>
      </c>
      <c r="BJ70" s="156"/>
      <c r="BK70" s="153">
        <v>8.07</v>
      </c>
      <c r="BL70" s="153">
        <v>8.07</v>
      </c>
      <c r="BM70" s="156">
        <f t="shared" si="66"/>
        <v>0</v>
      </c>
      <c r="BN70" s="156"/>
      <c r="BO70" s="153"/>
      <c r="BP70" s="153"/>
      <c r="BQ70" s="156">
        <f t="shared" si="67"/>
        <v>0</v>
      </c>
      <c r="BR70" s="156"/>
      <c r="BS70" s="153"/>
      <c r="BT70" s="153"/>
      <c r="BU70" s="156">
        <f t="shared" ref="BU70:BU80" si="83">BT70-BS70</f>
        <v>0</v>
      </c>
      <c r="BV70" s="156"/>
      <c r="BW70" s="153"/>
      <c r="BX70" s="153"/>
      <c r="BY70" s="156">
        <f t="shared" ref="BY70:BY80" si="84">BX70-BW70</f>
        <v>0</v>
      </c>
      <c r="BZ70" s="156"/>
      <c r="CA70" s="153"/>
      <c r="CB70" s="153"/>
      <c r="CC70" s="156">
        <f t="shared" ref="CC70:CC80" si="85">CB70-CA70</f>
        <v>0</v>
      </c>
      <c r="CD70" s="156"/>
      <c r="CE70" s="153"/>
      <c r="CF70" s="153"/>
      <c r="CG70" s="156">
        <f t="shared" ref="CG70:CG83" si="86">CF70-CE70</f>
        <v>0</v>
      </c>
      <c r="CH70" s="156"/>
      <c r="CI70" s="153"/>
      <c r="CJ70" s="153"/>
      <c r="CK70" s="156">
        <f t="shared" ref="CK70:CK80" si="87">CJ70-CI70</f>
        <v>0</v>
      </c>
      <c r="CL70" s="222"/>
      <c r="CM70" s="222"/>
      <c r="CN70" s="222"/>
      <c r="CO70" s="222">
        <f t="shared" ref="CO70:CO80" si="88">CN70-CM70</f>
        <v>0</v>
      </c>
      <c r="CP70" s="222"/>
      <c r="CQ70" s="14"/>
      <c r="CR70" s="14"/>
      <c r="CS70" s="261">
        <f t="shared" ref="CS70:CS80" si="89">CR70-CQ70</f>
        <v>0</v>
      </c>
      <c r="CT70" s="262"/>
      <c r="CU70" s="13"/>
      <c r="CV70" s="13"/>
      <c r="CW70" s="261">
        <f t="shared" ref="CW70:CW80" si="90">CV70-CU70</f>
        <v>0</v>
      </c>
      <c r="CX70" s="262"/>
      <c r="CY70" s="13"/>
      <c r="CZ70" s="13"/>
      <c r="DA70" s="261">
        <f t="shared" ref="DA70:DA80" si="91">CZ70-CY70</f>
        <v>0</v>
      </c>
      <c r="DB70" s="262"/>
    </row>
    <row r="71" spans="1:106" s="326" customFormat="1" ht="14.25" hidden="1" customHeight="1">
      <c r="A71" s="370"/>
      <c r="B71" s="336" t="s">
        <v>348</v>
      </c>
      <c r="C71" s="337">
        <f>SUM(C72:C78)</f>
        <v>0</v>
      </c>
      <c r="D71" s="106">
        <f>SUM(D72:D78)</f>
        <v>0</v>
      </c>
      <c r="E71" s="106">
        <f>SUM(E72:E78)</f>
        <v>0</v>
      </c>
      <c r="F71" s="226">
        <f t="shared" si="69"/>
        <v>0</v>
      </c>
      <c r="G71" s="328" t="e">
        <f>E71/D71</f>
        <v>#DIV/0!</v>
      </c>
      <c r="H71" s="193">
        <f>SUM(H72:H78)</f>
        <v>0</v>
      </c>
      <c r="I71" s="193">
        <f>SUM(I72:I78)</f>
        <v>0</v>
      </c>
      <c r="J71" s="156">
        <f t="shared" si="70"/>
        <v>0</v>
      </c>
      <c r="K71" s="156"/>
      <c r="L71" s="193">
        <f>SUM(L72:L78)</f>
        <v>0</v>
      </c>
      <c r="M71" s="193">
        <f>SUM(M72:M78)</f>
        <v>0</v>
      </c>
      <c r="N71" s="226">
        <f t="shared" si="71"/>
        <v>0</v>
      </c>
      <c r="O71" s="226"/>
      <c r="P71" s="193">
        <f>SUM(P72:P78)</f>
        <v>0</v>
      </c>
      <c r="Q71" s="193">
        <f>SUM(Q72:Q78)</f>
        <v>0</v>
      </c>
      <c r="R71" s="226">
        <f t="shared" si="72"/>
        <v>0</v>
      </c>
      <c r="S71" s="226" t="e">
        <f>Q71/P71</f>
        <v>#DIV/0!</v>
      </c>
      <c r="T71" s="193">
        <f>SUM(T72:T78)</f>
        <v>0</v>
      </c>
      <c r="U71" s="193">
        <f>SUM(U72:U78)</f>
        <v>0</v>
      </c>
      <c r="V71" s="226">
        <f t="shared" si="73"/>
        <v>0</v>
      </c>
      <c r="W71" s="226"/>
      <c r="X71" s="193">
        <f t="shared" si="74"/>
        <v>0</v>
      </c>
      <c r="Y71" s="193">
        <f t="shared" si="74"/>
        <v>0</v>
      </c>
      <c r="Z71" s="226">
        <f t="shared" si="65"/>
        <v>0</v>
      </c>
      <c r="AA71" s="226"/>
      <c r="AB71" s="193">
        <f>SUM(AB72:AB78)</f>
        <v>0</v>
      </c>
      <c r="AC71" s="193">
        <f>SUM(AC72:AC78)</f>
        <v>0</v>
      </c>
      <c r="AD71" s="226">
        <f t="shared" si="68"/>
        <v>0</v>
      </c>
      <c r="AE71" s="226"/>
      <c r="AF71" s="193">
        <f>SUM(AF72:AF78)</f>
        <v>0</v>
      </c>
      <c r="AG71" s="193">
        <f>SUM(AG72:AG78)</f>
        <v>0</v>
      </c>
      <c r="AH71" s="226">
        <f t="shared" si="75"/>
        <v>0</v>
      </c>
      <c r="AI71" s="193">
        <f>SUM(AI72:AI78)</f>
        <v>0</v>
      </c>
      <c r="AJ71" s="193">
        <f>SUM(AJ72:AJ78)</f>
        <v>0</v>
      </c>
      <c r="AK71" s="226">
        <f t="shared" si="76"/>
        <v>0</v>
      </c>
      <c r="AL71" s="226"/>
      <c r="AM71" s="193">
        <f>SUM(AM72:AM78)</f>
        <v>0</v>
      </c>
      <c r="AN71" s="193">
        <f>SUM(AN72:AN78)</f>
        <v>0</v>
      </c>
      <c r="AO71" s="226">
        <f t="shared" si="77"/>
        <v>0</v>
      </c>
      <c r="AP71" s="226"/>
      <c r="AQ71" s="193">
        <f>SUM(AQ72:AQ78)</f>
        <v>0</v>
      </c>
      <c r="AR71" s="193">
        <f>SUM(AR72:AR78)</f>
        <v>0</v>
      </c>
      <c r="AS71" s="226">
        <f t="shared" si="78"/>
        <v>0</v>
      </c>
      <c r="AT71" s="226"/>
      <c r="AU71" s="193">
        <f>SUM(AU72:AU78)</f>
        <v>0</v>
      </c>
      <c r="AV71" s="193">
        <f>SUM(AV72:AV78)</f>
        <v>0</v>
      </c>
      <c r="AW71" s="226">
        <f t="shared" si="79"/>
        <v>0</v>
      </c>
      <c r="AX71" s="226"/>
      <c r="AY71" s="193">
        <f>SUM(AY72:AY78)</f>
        <v>0</v>
      </c>
      <c r="AZ71" s="193">
        <f>SUM(AZ72:AZ78)</f>
        <v>0</v>
      </c>
      <c r="BA71" s="226">
        <f t="shared" si="80"/>
        <v>0</v>
      </c>
      <c r="BB71" s="226"/>
      <c r="BC71" s="193">
        <f>SUM(BC72:BC78)</f>
        <v>0</v>
      </c>
      <c r="BD71" s="193">
        <f>SUM(BD72:BD78)</f>
        <v>0</v>
      </c>
      <c r="BE71" s="226">
        <f t="shared" si="81"/>
        <v>0</v>
      </c>
      <c r="BF71" s="226"/>
      <c r="BG71" s="193">
        <f>SUM(BG72:BG78)</f>
        <v>0</v>
      </c>
      <c r="BH71" s="193">
        <f>SUM(BH72:BH78)</f>
        <v>0</v>
      </c>
      <c r="BI71" s="226">
        <f t="shared" si="82"/>
        <v>0</v>
      </c>
      <c r="BJ71" s="226"/>
      <c r="BK71" s="193">
        <f>SUM(BK72:BK78)</f>
        <v>0</v>
      </c>
      <c r="BL71" s="193">
        <f>SUM(BL72:BL78)</f>
        <v>0</v>
      </c>
      <c r="BM71" s="226">
        <f t="shared" si="66"/>
        <v>0</v>
      </c>
      <c r="BN71" s="226"/>
      <c r="BO71" s="193">
        <f>SUM(BO72:BO78)</f>
        <v>0</v>
      </c>
      <c r="BP71" s="193">
        <f>SUM(BP72:BP78)</f>
        <v>0</v>
      </c>
      <c r="BQ71" s="226">
        <f t="shared" si="67"/>
        <v>0</v>
      </c>
      <c r="BR71" s="226"/>
      <c r="BS71" s="193">
        <f>SUM(BS72:BS78)</f>
        <v>0</v>
      </c>
      <c r="BT71" s="193">
        <f>SUM(BT72:BT78)</f>
        <v>0</v>
      </c>
      <c r="BU71" s="226">
        <f t="shared" si="83"/>
        <v>0</v>
      </c>
      <c r="BV71" s="226"/>
      <c r="BW71" s="193">
        <f>SUM(BW72:BW78)</f>
        <v>0</v>
      </c>
      <c r="BX71" s="193">
        <f>SUM(BX72:BX78)</f>
        <v>0</v>
      </c>
      <c r="BY71" s="226">
        <f t="shared" si="84"/>
        <v>0</v>
      </c>
      <c r="BZ71" s="226"/>
      <c r="CA71" s="193">
        <f>SUM(CA72:CA78)</f>
        <v>0</v>
      </c>
      <c r="CB71" s="193">
        <f>SUM(CB72:CB78)</f>
        <v>0</v>
      </c>
      <c r="CC71" s="226">
        <f t="shared" si="85"/>
        <v>0</v>
      </c>
      <c r="CD71" s="226"/>
      <c r="CE71" s="193">
        <f>SUM(CE72:CE78)</f>
        <v>0</v>
      </c>
      <c r="CF71" s="193">
        <f>SUM(CF72:CF78)</f>
        <v>0</v>
      </c>
      <c r="CG71" s="226">
        <f t="shared" si="86"/>
        <v>0</v>
      </c>
      <c r="CH71" s="226" t="e">
        <f>CF71/CE71</f>
        <v>#DIV/0!</v>
      </c>
      <c r="CI71" s="193">
        <f>SUM(CI72:CI78)</f>
        <v>0</v>
      </c>
      <c r="CJ71" s="193">
        <f>SUM(CJ72:CJ78)</f>
        <v>0</v>
      </c>
      <c r="CK71" s="226">
        <f t="shared" si="87"/>
        <v>0</v>
      </c>
      <c r="CL71" s="227" t="e">
        <f>CJ71/CI71</f>
        <v>#DIV/0!</v>
      </c>
      <c r="CM71" s="15">
        <f>SUM(CM72:CM78)</f>
        <v>0</v>
      </c>
      <c r="CN71" s="15">
        <f>SUM(CN72:CN78)</f>
        <v>0</v>
      </c>
      <c r="CO71" s="227">
        <f t="shared" si="88"/>
        <v>0</v>
      </c>
      <c r="CP71" s="227"/>
      <c r="CQ71" s="263">
        <f>SUM(CQ72:CQ78)</f>
        <v>0</v>
      </c>
      <c r="CR71" s="263">
        <f>SUM(CR72:CR78)</f>
        <v>0</v>
      </c>
      <c r="CS71" s="259">
        <f t="shared" si="89"/>
        <v>0</v>
      </c>
      <c r="CT71" s="260"/>
      <c r="CU71" s="263">
        <f>SUM(CU72:CU78)</f>
        <v>0</v>
      </c>
      <c r="CV71" s="263">
        <f>SUM(CV72:CV78)</f>
        <v>0</v>
      </c>
      <c r="CW71" s="259">
        <f t="shared" si="90"/>
        <v>0</v>
      </c>
      <c r="CX71" s="260"/>
      <c r="CY71" s="263">
        <f>SUM(CY72:CY78)</f>
        <v>0</v>
      </c>
      <c r="CZ71" s="263">
        <f>SUM(CZ72:CZ78)</f>
        <v>0</v>
      </c>
      <c r="DA71" s="259">
        <f t="shared" si="91"/>
        <v>0</v>
      </c>
      <c r="DB71" s="260"/>
    </row>
    <row r="72" spans="1:106" ht="14.25" hidden="1" customHeight="1">
      <c r="A72" s="334"/>
      <c r="B72" s="334" t="s">
        <v>349</v>
      </c>
      <c r="C72" s="221"/>
      <c r="D72" s="153">
        <f>H72+L72+P72+T72+X72+AI72+AM72+AQ72+AU72+BC72+BG72+BW72+CE72+CI72+CM72+CQ72+CU72+CY72+AY72+BK72+BS72</f>
        <v>0</v>
      </c>
      <c r="E72" s="250">
        <f>I72+M72+Q72+U72+Y72+AJ72+AN72+AR72+AV72+BD72+BH72+BX72+CF72+CJ72+CN72+CR72+CV72+CZ72+AZ72+BL72+BT72</f>
        <v>0</v>
      </c>
      <c r="F72" s="192">
        <f t="shared" si="69"/>
        <v>0</v>
      </c>
      <c r="G72" s="192"/>
      <c r="H72" s="153"/>
      <c r="I72" s="153"/>
      <c r="J72" s="156">
        <f t="shared" si="70"/>
        <v>0</v>
      </c>
      <c r="K72" s="156"/>
      <c r="L72" s="153"/>
      <c r="M72" s="153"/>
      <c r="N72" s="156">
        <f t="shared" si="71"/>
        <v>0</v>
      </c>
      <c r="O72" s="156"/>
      <c r="P72" s="153"/>
      <c r="Q72" s="153"/>
      <c r="R72" s="156">
        <f t="shared" si="72"/>
        <v>0</v>
      </c>
      <c r="S72" s="156" t="e">
        <f>Q72/P72</f>
        <v>#DIV/0!</v>
      </c>
      <c r="T72" s="153"/>
      <c r="U72" s="153"/>
      <c r="V72" s="156">
        <f t="shared" si="73"/>
        <v>0</v>
      </c>
      <c r="W72" s="156"/>
      <c r="X72" s="153">
        <f t="shared" si="74"/>
        <v>0</v>
      </c>
      <c r="Y72" s="153">
        <f t="shared" si="74"/>
        <v>0</v>
      </c>
      <c r="Z72" s="156">
        <f t="shared" si="65"/>
        <v>0</v>
      </c>
      <c r="AA72" s="156"/>
      <c r="AB72" s="153"/>
      <c r="AC72" s="153"/>
      <c r="AD72" s="156">
        <f t="shared" si="68"/>
        <v>0</v>
      </c>
      <c r="AE72" s="156"/>
      <c r="AF72" s="153"/>
      <c r="AG72" s="153"/>
      <c r="AH72" s="156">
        <f t="shared" si="75"/>
        <v>0</v>
      </c>
      <c r="AI72" s="153"/>
      <c r="AJ72" s="153"/>
      <c r="AK72" s="156">
        <f t="shared" si="76"/>
        <v>0</v>
      </c>
      <c r="AL72" s="156"/>
      <c r="AM72" s="153"/>
      <c r="AN72" s="153"/>
      <c r="AO72" s="156">
        <f t="shared" si="77"/>
        <v>0</v>
      </c>
      <c r="AP72" s="156"/>
      <c r="AQ72" s="156"/>
      <c r="AR72" s="156"/>
      <c r="AS72" s="156">
        <f t="shared" si="78"/>
        <v>0</v>
      </c>
      <c r="AT72" s="156"/>
      <c r="AU72" s="153"/>
      <c r="AV72" s="153"/>
      <c r="AW72" s="156">
        <f t="shared" si="79"/>
        <v>0</v>
      </c>
      <c r="AX72" s="156"/>
      <c r="AY72" s="153"/>
      <c r="AZ72" s="153"/>
      <c r="BA72" s="156">
        <f t="shared" si="80"/>
        <v>0</v>
      </c>
      <c r="BB72" s="156"/>
      <c r="BC72" s="153"/>
      <c r="BD72" s="153"/>
      <c r="BE72" s="156">
        <f t="shared" si="81"/>
        <v>0</v>
      </c>
      <c r="BF72" s="156"/>
      <c r="BG72" s="153"/>
      <c r="BH72" s="153"/>
      <c r="BI72" s="156">
        <f t="shared" si="82"/>
        <v>0</v>
      </c>
      <c r="BJ72" s="156"/>
      <c r="BK72" s="153"/>
      <c r="BL72" s="153"/>
      <c r="BM72" s="156">
        <f t="shared" si="66"/>
        <v>0</v>
      </c>
      <c r="BN72" s="156"/>
      <c r="BO72" s="153"/>
      <c r="BP72" s="153"/>
      <c r="BQ72" s="156">
        <f t="shared" si="67"/>
        <v>0</v>
      </c>
      <c r="BR72" s="156"/>
      <c r="BS72" s="153"/>
      <c r="BT72" s="153"/>
      <c r="BU72" s="156">
        <f t="shared" si="83"/>
        <v>0</v>
      </c>
      <c r="BV72" s="156"/>
      <c r="BW72" s="153"/>
      <c r="BX72" s="153"/>
      <c r="BY72" s="156">
        <f t="shared" si="84"/>
        <v>0</v>
      </c>
      <c r="BZ72" s="156"/>
      <c r="CA72" s="153"/>
      <c r="CB72" s="153"/>
      <c r="CC72" s="156">
        <f t="shared" si="85"/>
        <v>0</v>
      </c>
      <c r="CD72" s="156"/>
      <c r="CE72" s="153"/>
      <c r="CF72" s="153"/>
      <c r="CG72" s="156">
        <f t="shared" si="86"/>
        <v>0</v>
      </c>
      <c r="CH72" s="226" t="e">
        <f t="shared" ref="CH72:CH84" si="92">CF72/CE72</f>
        <v>#DIV/0!</v>
      </c>
      <c r="CI72" s="153"/>
      <c r="CJ72" s="153"/>
      <c r="CK72" s="156">
        <f t="shared" si="87"/>
        <v>0</v>
      </c>
      <c r="CL72" s="227" t="e">
        <f t="shared" ref="CL72:CL78" si="93">CJ72/CI72</f>
        <v>#DIV/0!</v>
      </c>
      <c r="CM72" s="222"/>
      <c r="CN72" s="222"/>
      <c r="CO72" s="222">
        <f t="shared" si="88"/>
        <v>0</v>
      </c>
      <c r="CP72" s="222"/>
      <c r="CQ72" s="14"/>
      <c r="CR72" s="14"/>
      <c r="CS72" s="261">
        <f t="shared" si="89"/>
        <v>0</v>
      </c>
      <c r="CT72" s="262"/>
      <c r="CU72" s="13"/>
      <c r="CV72" s="13"/>
      <c r="CW72" s="261">
        <f t="shared" si="90"/>
        <v>0</v>
      </c>
      <c r="CX72" s="262"/>
      <c r="CY72" s="13"/>
      <c r="CZ72" s="13"/>
      <c r="DA72" s="261">
        <f t="shared" si="91"/>
        <v>0</v>
      </c>
      <c r="DB72" s="262"/>
    </row>
    <row r="73" spans="1:106" ht="14.25" hidden="1" customHeight="1">
      <c r="A73" s="334"/>
      <c r="B73" s="334" t="s">
        <v>550</v>
      </c>
      <c r="C73" s="221"/>
      <c r="D73" s="153">
        <f t="shared" ref="D73:D78" si="94">H73+L73+P73+T73+X73+AI73+AM73+AQ73+AU73+BC73+BG73+BW73+CE73+CI73+CM73+CQ73+CU73+CY73+AY73+BK73+BS73</f>
        <v>0</v>
      </c>
      <c r="E73" s="250">
        <f t="shared" ref="E73:E78" si="95">I73+M73+Q73+U73+Y73+AJ73+AN73+AR73+AV73+BD73+BH73+BX73+CF73+CJ73+CN73+CR73+CV73+CZ73+BL73+BT73</f>
        <v>0</v>
      </c>
      <c r="F73" s="192">
        <f t="shared" si="69"/>
        <v>0</v>
      </c>
      <c r="G73" s="192" t="e">
        <f t="shared" ref="G73:G104" si="96">E73/D73</f>
        <v>#DIV/0!</v>
      </c>
      <c r="H73" s="153"/>
      <c r="I73" s="153">
        <v>0</v>
      </c>
      <c r="J73" s="156">
        <f t="shared" si="70"/>
        <v>0</v>
      </c>
      <c r="K73" s="156"/>
      <c r="L73" s="153"/>
      <c r="M73" s="153"/>
      <c r="N73" s="156">
        <f t="shared" si="71"/>
        <v>0</v>
      </c>
      <c r="O73" s="156"/>
      <c r="P73" s="153"/>
      <c r="Q73" s="153"/>
      <c r="R73" s="156">
        <f t="shared" si="72"/>
        <v>0</v>
      </c>
      <c r="S73" s="156"/>
      <c r="T73" s="153"/>
      <c r="U73" s="153"/>
      <c r="V73" s="156">
        <f t="shared" si="73"/>
        <v>0</v>
      </c>
      <c r="W73" s="156"/>
      <c r="X73" s="153">
        <f t="shared" si="74"/>
        <v>0</v>
      </c>
      <c r="Y73" s="153">
        <f t="shared" si="74"/>
        <v>0</v>
      </c>
      <c r="Z73" s="156">
        <f t="shared" si="65"/>
        <v>0</v>
      </c>
      <c r="AA73" s="156"/>
      <c r="AB73" s="153"/>
      <c r="AC73" s="153"/>
      <c r="AD73" s="156">
        <f t="shared" si="68"/>
        <v>0</v>
      </c>
      <c r="AE73" s="156" t="e">
        <f>AC73/AB73</f>
        <v>#DIV/0!</v>
      </c>
      <c r="AF73" s="153"/>
      <c r="AG73" s="153"/>
      <c r="AH73" s="156">
        <f t="shared" si="75"/>
        <v>0</v>
      </c>
      <c r="AI73" s="153"/>
      <c r="AJ73" s="153"/>
      <c r="AK73" s="156">
        <f t="shared" si="76"/>
        <v>0</v>
      </c>
      <c r="AL73" s="156"/>
      <c r="AM73" s="153"/>
      <c r="AN73" s="153"/>
      <c r="AO73" s="156">
        <f t="shared" si="77"/>
        <v>0</v>
      </c>
      <c r="AP73" s="156"/>
      <c r="AQ73" s="156"/>
      <c r="AR73" s="156"/>
      <c r="AS73" s="156">
        <f t="shared" si="78"/>
        <v>0</v>
      </c>
      <c r="AT73" s="156"/>
      <c r="AU73" s="153"/>
      <c r="AV73" s="153"/>
      <c r="AW73" s="156">
        <f t="shared" si="79"/>
        <v>0</v>
      </c>
      <c r="AX73" s="156"/>
      <c r="AY73" s="153"/>
      <c r="AZ73" s="153"/>
      <c r="BA73" s="156">
        <f t="shared" si="80"/>
        <v>0</v>
      </c>
      <c r="BB73" s="156"/>
      <c r="BC73" s="153"/>
      <c r="BD73" s="153"/>
      <c r="BE73" s="156">
        <f t="shared" si="81"/>
        <v>0</v>
      </c>
      <c r="BF73" s="156"/>
      <c r="BG73" s="153"/>
      <c r="BH73" s="153"/>
      <c r="BI73" s="156">
        <f t="shared" si="82"/>
        <v>0</v>
      </c>
      <c r="BJ73" s="156"/>
      <c r="BK73" s="153"/>
      <c r="BL73" s="153"/>
      <c r="BM73" s="156">
        <f t="shared" si="66"/>
        <v>0</v>
      </c>
      <c r="BN73" s="156"/>
      <c r="BO73" s="153"/>
      <c r="BP73" s="153"/>
      <c r="BQ73" s="156">
        <f t="shared" si="67"/>
        <v>0</v>
      </c>
      <c r="BR73" s="156"/>
      <c r="BS73" s="153"/>
      <c r="BT73" s="153"/>
      <c r="BU73" s="156">
        <f t="shared" si="83"/>
        <v>0</v>
      </c>
      <c r="BV73" s="156"/>
      <c r="BW73" s="153"/>
      <c r="BX73" s="153"/>
      <c r="BY73" s="156">
        <f t="shared" si="84"/>
        <v>0</v>
      </c>
      <c r="BZ73" s="156"/>
      <c r="CA73" s="153"/>
      <c r="CB73" s="153"/>
      <c r="CC73" s="156">
        <f t="shared" si="85"/>
        <v>0</v>
      </c>
      <c r="CD73" s="156"/>
      <c r="CE73" s="153"/>
      <c r="CF73" s="153"/>
      <c r="CG73" s="156">
        <f t="shared" si="86"/>
        <v>0</v>
      </c>
      <c r="CH73" s="226" t="e">
        <f t="shared" si="92"/>
        <v>#DIV/0!</v>
      </c>
      <c r="CI73" s="153"/>
      <c r="CJ73" s="153"/>
      <c r="CK73" s="156">
        <f t="shared" si="87"/>
        <v>0</v>
      </c>
      <c r="CL73" s="227" t="e">
        <f t="shared" si="93"/>
        <v>#DIV/0!</v>
      </c>
      <c r="CM73" s="222"/>
      <c r="CN73" s="222"/>
      <c r="CO73" s="222">
        <f t="shared" si="88"/>
        <v>0</v>
      </c>
      <c r="CP73" s="222"/>
      <c r="CQ73" s="14"/>
      <c r="CR73" s="14"/>
      <c r="CS73" s="261">
        <f t="shared" si="89"/>
        <v>0</v>
      </c>
      <c r="CT73" s="262"/>
      <c r="CU73" s="13"/>
      <c r="CV73" s="13"/>
      <c r="CW73" s="261">
        <f t="shared" si="90"/>
        <v>0</v>
      </c>
      <c r="CX73" s="262"/>
      <c r="CY73" s="13"/>
      <c r="CZ73" s="13"/>
      <c r="DA73" s="261">
        <f t="shared" si="91"/>
        <v>0</v>
      </c>
      <c r="DB73" s="262"/>
    </row>
    <row r="74" spans="1:106" ht="14.25" hidden="1" customHeight="1">
      <c r="A74" s="334"/>
      <c r="B74" s="334" t="s">
        <v>350</v>
      </c>
      <c r="C74" s="221"/>
      <c r="D74" s="153">
        <f t="shared" si="94"/>
        <v>0</v>
      </c>
      <c r="E74" s="250">
        <f t="shared" si="95"/>
        <v>0</v>
      </c>
      <c r="F74" s="192">
        <f t="shared" si="69"/>
        <v>0</v>
      </c>
      <c r="G74" s="192" t="e">
        <f t="shared" si="96"/>
        <v>#DIV/0!</v>
      </c>
      <c r="H74" s="153"/>
      <c r="I74" s="153"/>
      <c r="J74" s="156">
        <f t="shared" si="70"/>
        <v>0</v>
      </c>
      <c r="K74" s="156"/>
      <c r="L74" s="153"/>
      <c r="M74" s="153"/>
      <c r="N74" s="156">
        <f t="shared" si="71"/>
        <v>0</v>
      </c>
      <c r="O74" s="156"/>
      <c r="P74" s="153"/>
      <c r="Q74" s="153"/>
      <c r="R74" s="156">
        <f t="shared" si="72"/>
        <v>0</v>
      </c>
      <c r="S74" s="156"/>
      <c r="T74" s="153"/>
      <c r="U74" s="153"/>
      <c r="V74" s="156">
        <f t="shared" si="73"/>
        <v>0</v>
      </c>
      <c r="W74" s="156"/>
      <c r="X74" s="153">
        <f t="shared" si="74"/>
        <v>0</v>
      </c>
      <c r="Y74" s="153">
        <f t="shared" si="74"/>
        <v>0</v>
      </c>
      <c r="Z74" s="156">
        <f t="shared" si="65"/>
        <v>0</v>
      </c>
      <c r="AA74" s="156"/>
      <c r="AB74" s="153"/>
      <c r="AC74" s="153"/>
      <c r="AD74" s="156">
        <f t="shared" si="68"/>
        <v>0</v>
      </c>
      <c r="AE74" s="156" t="e">
        <f>AC74/AB74</f>
        <v>#DIV/0!</v>
      </c>
      <c r="AF74" s="153"/>
      <c r="AG74" s="153"/>
      <c r="AH74" s="156">
        <f t="shared" si="75"/>
        <v>0</v>
      </c>
      <c r="AI74" s="153"/>
      <c r="AJ74" s="153"/>
      <c r="AK74" s="156">
        <f t="shared" si="76"/>
        <v>0</v>
      </c>
      <c r="AL74" s="156"/>
      <c r="AM74" s="153"/>
      <c r="AN74" s="153"/>
      <c r="AO74" s="156">
        <f t="shared" si="77"/>
        <v>0</v>
      </c>
      <c r="AP74" s="156"/>
      <c r="AQ74" s="156"/>
      <c r="AR74" s="156"/>
      <c r="AS74" s="156">
        <f t="shared" si="78"/>
        <v>0</v>
      </c>
      <c r="AT74" s="156"/>
      <c r="AU74" s="153"/>
      <c r="AV74" s="153"/>
      <c r="AW74" s="156">
        <f t="shared" si="79"/>
        <v>0</v>
      </c>
      <c r="AX74" s="156"/>
      <c r="AY74" s="153"/>
      <c r="AZ74" s="153"/>
      <c r="BA74" s="156">
        <f t="shared" si="80"/>
        <v>0</v>
      </c>
      <c r="BB74" s="156"/>
      <c r="BC74" s="153"/>
      <c r="BD74" s="153"/>
      <c r="BE74" s="156">
        <f t="shared" si="81"/>
        <v>0</v>
      </c>
      <c r="BF74" s="156"/>
      <c r="BG74" s="153"/>
      <c r="BH74" s="153"/>
      <c r="BI74" s="156">
        <f t="shared" si="82"/>
        <v>0</v>
      </c>
      <c r="BJ74" s="156"/>
      <c r="BK74" s="153"/>
      <c r="BL74" s="153"/>
      <c r="BM74" s="156">
        <f t="shared" si="66"/>
        <v>0</v>
      </c>
      <c r="BN74" s="156"/>
      <c r="BO74" s="153"/>
      <c r="BP74" s="153"/>
      <c r="BQ74" s="156">
        <f t="shared" si="67"/>
        <v>0</v>
      </c>
      <c r="BR74" s="156"/>
      <c r="BS74" s="153"/>
      <c r="BT74" s="153"/>
      <c r="BU74" s="156">
        <f t="shared" si="83"/>
        <v>0</v>
      </c>
      <c r="BV74" s="156"/>
      <c r="BW74" s="153"/>
      <c r="BX74" s="153"/>
      <c r="BY74" s="156">
        <f t="shared" si="84"/>
        <v>0</v>
      </c>
      <c r="BZ74" s="156"/>
      <c r="CA74" s="153"/>
      <c r="CB74" s="153"/>
      <c r="CC74" s="156">
        <f t="shared" si="85"/>
        <v>0</v>
      </c>
      <c r="CD74" s="156"/>
      <c r="CE74" s="153"/>
      <c r="CF74" s="153"/>
      <c r="CG74" s="156">
        <f t="shared" si="86"/>
        <v>0</v>
      </c>
      <c r="CH74" s="226" t="e">
        <f t="shared" si="92"/>
        <v>#DIV/0!</v>
      </c>
      <c r="CI74" s="153"/>
      <c r="CJ74" s="153"/>
      <c r="CK74" s="156">
        <f t="shared" si="87"/>
        <v>0</v>
      </c>
      <c r="CL74" s="227" t="e">
        <f t="shared" si="93"/>
        <v>#DIV/0!</v>
      </c>
      <c r="CM74" s="222"/>
      <c r="CN74" s="222"/>
      <c r="CO74" s="222">
        <f t="shared" si="88"/>
        <v>0</v>
      </c>
      <c r="CP74" s="222"/>
      <c r="CQ74" s="14"/>
      <c r="CR74" s="14"/>
      <c r="CS74" s="261">
        <f t="shared" si="89"/>
        <v>0</v>
      </c>
      <c r="CT74" s="262"/>
      <c r="CU74" s="13"/>
      <c r="CV74" s="13"/>
      <c r="CW74" s="261">
        <f t="shared" si="90"/>
        <v>0</v>
      </c>
      <c r="CX74" s="262"/>
      <c r="CY74" s="13"/>
      <c r="CZ74" s="13"/>
      <c r="DA74" s="261">
        <f t="shared" si="91"/>
        <v>0</v>
      </c>
      <c r="DB74" s="262"/>
    </row>
    <row r="75" spans="1:106" ht="14.25" hidden="1" customHeight="1">
      <c r="A75" s="334"/>
      <c r="B75" s="334" t="s">
        <v>351</v>
      </c>
      <c r="C75" s="221"/>
      <c r="D75" s="153">
        <f t="shared" si="94"/>
        <v>0</v>
      </c>
      <c r="E75" s="250">
        <f t="shared" si="95"/>
        <v>0</v>
      </c>
      <c r="F75" s="192">
        <f t="shared" si="69"/>
        <v>0</v>
      </c>
      <c r="G75" s="192" t="e">
        <f t="shared" si="96"/>
        <v>#DIV/0!</v>
      </c>
      <c r="H75" s="153"/>
      <c r="I75" s="153"/>
      <c r="J75" s="156">
        <f t="shared" si="70"/>
        <v>0</v>
      </c>
      <c r="K75" s="156"/>
      <c r="L75" s="153"/>
      <c r="M75" s="153"/>
      <c r="N75" s="156">
        <f t="shared" si="71"/>
        <v>0</v>
      </c>
      <c r="O75" s="156"/>
      <c r="P75" s="153"/>
      <c r="Q75" s="153"/>
      <c r="R75" s="156">
        <f t="shared" si="72"/>
        <v>0</v>
      </c>
      <c r="S75" s="156"/>
      <c r="T75" s="153"/>
      <c r="U75" s="153"/>
      <c r="V75" s="156">
        <f t="shared" si="73"/>
        <v>0</v>
      </c>
      <c r="W75" s="156"/>
      <c r="X75" s="153">
        <f t="shared" si="74"/>
        <v>0</v>
      </c>
      <c r="Y75" s="153">
        <f t="shared" si="74"/>
        <v>0</v>
      </c>
      <c r="Z75" s="156">
        <f t="shared" si="65"/>
        <v>0</v>
      </c>
      <c r="AA75" s="156"/>
      <c r="AB75" s="153"/>
      <c r="AC75" s="153"/>
      <c r="AD75" s="156">
        <f t="shared" si="68"/>
        <v>0</v>
      </c>
      <c r="AE75" s="156"/>
      <c r="AF75" s="153"/>
      <c r="AG75" s="153"/>
      <c r="AH75" s="156">
        <f t="shared" si="75"/>
        <v>0</v>
      </c>
      <c r="AI75" s="153"/>
      <c r="AJ75" s="153"/>
      <c r="AK75" s="156">
        <f t="shared" si="76"/>
        <v>0</v>
      </c>
      <c r="AL75" s="156"/>
      <c r="AM75" s="153"/>
      <c r="AN75" s="153"/>
      <c r="AO75" s="156">
        <f t="shared" si="77"/>
        <v>0</v>
      </c>
      <c r="AP75" s="156"/>
      <c r="AQ75" s="156"/>
      <c r="AR75" s="156"/>
      <c r="AS75" s="156">
        <f t="shared" si="78"/>
        <v>0</v>
      </c>
      <c r="AT75" s="156"/>
      <c r="AU75" s="153"/>
      <c r="AV75" s="153"/>
      <c r="AW75" s="156">
        <f t="shared" si="79"/>
        <v>0</v>
      </c>
      <c r="AX75" s="156"/>
      <c r="AY75" s="153"/>
      <c r="AZ75" s="153"/>
      <c r="BA75" s="156">
        <f t="shared" si="80"/>
        <v>0</v>
      </c>
      <c r="BB75" s="156"/>
      <c r="BC75" s="153"/>
      <c r="BD75" s="153"/>
      <c r="BE75" s="156">
        <f t="shared" si="81"/>
        <v>0</v>
      </c>
      <c r="BF75" s="156"/>
      <c r="BG75" s="153"/>
      <c r="BH75" s="153"/>
      <c r="BI75" s="156">
        <f t="shared" si="82"/>
        <v>0</v>
      </c>
      <c r="BJ75" s="156"/>
      <c r="BK75" s="153"/>
      <c r="BL75" s="153"/>
      <c r="BM75" s="156">
        <f t="shared" si="66"/>
        <v>0</v>
      </c>
      <c r="BN75" s="156"/>
      <c r="BO75" s="153"/>
      <c r="BP75" s="153"/>
      <c r="BQ75" s="156">
        <f t="shared" si="67"/>
        <v>0</v>
      </c>
      <c r="BR75" s="156"/>
      <c r="BS75" s="153"/>
      <c r="BT75" s="153"/>
      <c r="BU75" s="156">
        <f t="shared" si="83"/>
        <v>0</v>
      </c>
      <c r="BV75" s="156"/>
      <c r="BW75" s="153"/>
      <c r="BX75" s="153"/>
      <c r="BY75" s="156">
        <f t="shared" si="84"/>
        <v>0</v>
      </c>
      <c r="BZ75" s="156"/>
      <c r="CA75" s="153"/>
      <c r="CB75" s="153"/>
      <c r="CC75" s="156">
        <f t="shared" si="85"/>
        <v>0</v>
      </c>
      <c r="CD75" s="156"/>
      <c r="CE75" s="153"/>
      <c r="CF75" s="153"/>
      <c r="CG75" s="156">
        <f t="shared" si="86"/>
        <v>0</v>
      </c>
      <c r="CH75" s="226" t="e">
        <f t="shared" si="92"/>
        <v>#DIV/0!</v>
      </c>
      <c r="CI75" s="153"/>
      <c r="CJ75" s="153"/>
      <c r="CK75" s="156">
        <f t="shared" si="87"/>
        <v>0</v>
      </c>
      <c r="CL75" s="227" t="e">
        <f t="shared" si="93"/>
        <v>#DIV/0!</v>
      </c>
      <c r="CM75" s="222"/>
      <c r="CN75" s="222"/>
      <c r="CO75" s="222">
        <f t="shared" si="88"/>
        <v>0</v>
      </c>
      <c r="CP75" s="222"/>
      <c r="CQ75" s="14"/>
      <c r="CR75" s="14"/>
      <c r="CS75" s="261">
        <f t="shared" si="89"/>
        <v>0</v>
      </c>
      <c r="CT75" s="262"/>
      <c r="CU75" s="13"/>
      <c r="CV75" s="13"/>
      <c r="CW75" s="261">
        <f t="shared" si="90"/>
        <v>0</v>
      </c>
      <c r="CX75" s="262"/>
      <c r="CY75" s="13"/>
      <c r="CZ75" s="13"/>
      <c r="DA75" s="261">
        <f t="shared" si="91"/>
        <v>0</v>
      </c>
      <c r="DB75" s="262"/>
    </row>
    <row r="76" spans="1:106" ht="14.25" hidden="1" customHeight="1">
      <c r="A76" s="334"/>
      <c r="B76" s="334" t="s">
        <v>352</v>
      </c>
      <c r="C76" s="221"/>
      <c r="D76" s="153">
        <f t="shared" si="94"/>
        <v>0</v>
      </c>
      <c r="E76" s="250">
        <f t="shared" si="95"/>
        <v>0</v>
      </c>
      <c r="F76" s="192">
        <f t="shared" si="69"/>
        <v>0</v>
      </c>
      <c r="G76" s="192" t="e">
        <f t="shared" si="96"/>
        <v>#DIV/0!</v>
      </c>
      <c r="H76" s="153"/>
      <c r="I76" s="153"/>
      <c r="J76" s="156">
        <f t="shared" si="70"/>
        <v>0</v>
      </c>
      <c r="K76" s="156"/>
      <c r="L76" s="153"/>
      <c r="M76" s="153"/>
      <c r="N76" s="156">
        <f t="shared" si="71"/>
        <v>0</v>
      </c>
      <c r="O76" s="156"/>
      <c r="P76" s="153"/>
      <c r="Q76" s="153"/>
      <c r="R76" s="156">
        <f t="shared" si="72"/>
        <v>0</v>
      </c>
      <c r="S76" s="156"/>
      <c r="T76" s="153"/>
      <c r="U76" s="153"/>
      <c r="V76" s="156">
        <f t="shared" si="73"/>
        <v>0</v>
      </c>
      <c r="W76" s="156"/>
      <c r="X76" s="153">
        <f t="shared" si="74"/>
        <v>0</v>
      </c>
      <c r="Y76" s="153">
        <f t="shared" si="74"/>
        <v>0</v>
      </c>
      <c r="Z76" s="156">
        <f t="shared" si="65"/>
        <v>0</v>
      </c>
      <c r="AA76" s="156"/>
      <c r="AB76" s="153"/>
      <c r="AC76" s="153"/>
      <c r="AD76" s="156">
        <f t="shared" si="68"/>
        <v>0</v>
      </c>
      <c r="AE76" s="156"/>
      <c r="AF76" s="153"/>
      <c r="AG76" s="153"/>
      <c r="AH76" s="156">
        <f t="shared" si="75"/>
        <v>0</v>
      </c>
      <c r="AI76" s="153"/>
      <c r="AJ76" s="153"/>
      <c r="AK76" s="156">
        <f t="shared" si="76"/>
        <v>0</v>
      </c>
      <c r="AL76" s="156"/>
      <c r="AM76" s="153"/>
      <c r="AN76" s="153"/>
      <c r="AO76" s="156">
        <f t="shared" si="77"/>
        <v>0</v>
      </c>
      <c r="AP76" s="156"/>
      <c r="AQ76" s="156"/>
      <c r="AR76" s="156"/>
      <c r="AS76" s="156">
        <f t="shared" si="78"/>
        <v>0</v>
      </c>
      <c r="AT76" s="156"/>
      <c r="AU76" s="153"/>
      <c r="AV76" s="153"/>
      <c r="AW76" s="156">
        <f t="shared" si="79"/>
        <v>0</v>
      </c>
      <c r="AX76" s="156"/>
      <c r="AY76" s="153"/>
      <c r="AZ76" s="153"/>
      <c r="BA76" s="156">
        <f t="shared" si="80"/>
        <v>0</v>
      </c>
      <c r="BB76" s="156"/>
      <c r="BC76" s="153"/>
      <c r="BD76" s="153"/>
      <c r="BE76" s="156">
        <f t="shared" si="81"/>
        <v>0</v>
      </c>
      <c r="BF76" s="156"/>
      <c r="BG76" s="153"/>
      <c r="BH76" s="153"/>
      <c r="BI76" s="156">
        <f t="shared" si="82"/>
        <v>0</v>
      </c>
      <c r="BJ76" s="156"/>
      <c r="BK76" s="153"/>
      <c r="BL76" s="153"/>
      <c r="BM76" s="156">
        <f t="shared" si="66"/>
        <v>0</v>
      </c>
      <c r="BN76" s="156"/>
      <c r="BO76" s="153"/>
      <c r="BP76" s="153"/>
      <c r="BQ76" s="156">
        <f t="shared" si="67"/>
        <v>0</v>
      </c>
      <c r="BR76" s="156"/>
      <c r="BS76" s="153"/>
      <c r="BT76" s="153"/>
      <c r="BU76" s="156">
        <f t="shared" si="83"/>
        <v>0</v>
      </c>
      <c r="BV76" s="156"/>
      <c r="BW76" s="153"/>
      <c r="BX76" s="153"/>
      <c r="BY76" s="156">
        <f t="shared" si="84"/>
        <v>0</v>
      </c>
      <c r="BZ76" s="156"/>
      <c r="CA76" s="153"/>
      <c r="CB76" s="153"/>
      <c r="CC76" s="156">
        <f t="shared" si="85"/>
        <v>0</v>
      </c>
      <c r="CD76" s="156"/>
      <c r="CE76" s="153"/>
      <c r="CF76" s="153"/>
      <c r="CG76" s="156">
        <f t="shared" si="86"/>
        <v>0</v>
      </c>
      <c r="CH76" s="226" t="e">
        <f t="shared" si="92"/>
        <v>#DIV/0!</v>
      </c>
      <c r="CI76" s="153"/>
      <c r="CJ76" s="153"/>
      <c r="CK76" s="156">
        <f t="shared" si="87"/>
        <v>0</v>
      </c>
      <c r="CL76" s="227" t="e">
        <f t="shared" si="93"/>
        <v>#DIV/0!</v>
      </c>
      <c r="CM76" s="222"/>
      <c r="CN76" s="222"/>
      <c r="CO76" s="222">
        <f t="shared" si="88"/>
        <v>0</v>
      </c>
      <c r="CP76" s="222"/>
      <c r="CQ76" s="14"/>
      <c r="CR76" s="14"/>
      <c r="CS76" s="261">
        <f t="shared" si="89"/>
        <v>0</v>
      </c>
      <c r="CT76" s="262"/>
      <c r="CU76" s="13"/>
      <c r="CV76" s="13"/>
      <c r="CW76" s="261">
        <f t="shared" si="90"/>
        <v>0</v>
      </c>
      <c r="CX76" s="262"/>
      <c r="CY76" s="13"/>
      <c r="CZ76" s="13"/>
      <c r="DA76" s="261">
        <f t="shared" si="91"/>
        <v>0</v>
      </c>
      <c r="DB76" s="262"/>
    </row>
    <row r="77" spans="1:106" ht="14.25" hidden="1" customHeight="1">
      <c r="A77" s="334"/>
      <c r="B77" s="334" t="s">
        <v>353</v>
      </c>
      <c r="C77" s="221"/>
      <c r="D77" s="153">
        <f t="shared" si="94"/>
        <v>0</v>
      </c>
      <c r="E77" s="250">
        <f t="shared" si="95"/>
        <v>0</v>
      </c>
      <c r="F77" s="192">
        <f t="shared" si="69"/>
        <v>0</v>
      </c>
      <c r="G77" s="192" t="e">
        <f t="shared" si="96"/>
        <v>#DIV/0!</v>
      </c>
      <c r="H77" s="153"/>
      <c r="I77" s="153"/>
      <c r="J77" s="156">
        <f t="shared" si="70"/>
        <v>0</v>
      </c>
      <c r="K77" s="156"/>
      <c r="L77" s="153"/>
      <c r="M77" s="153"/>
      <c r="N77" s="156">
        <f t="shared" si="71"/>
        <v>0</v>
      </c>
      <c r="O77" s="156"/>
      <c r="P77" s="153"/>
      <c r="Q77" s="153"/>
      <c r="R77" s="156">
        <f t="shared" si="72"/>
        <v>0</v>
      </c>
      <c r="S77" s="156"/>
      <c r="T77" s="153"/>
      <c r="U77" s="153"/>
      <c r="V77" s="156">
        <f t="shared" si="73"/>
        <v>0</v>
      </c>
      <c r="W77" s="156"/>
      <c r="X77" s="153">
        <f t="shared" si="74"/>
        <v>0</v>
      </c>
      <c r="Y77" s="153">
        <f t="shared" si="74"/>
        <v>0</v>
      </c>
      <c r="Z77" s="156">
        <f t="shared" si="65"/>
        <v>0</v>
      </c>
      <c r="AA77" s="156"/>
      <c r="AB77" s="153"/>
      <c r="AC77" s="153"/>
      <c r="AD77" s="156">
        <f t="shared" si="68"/>
        <v>0</v>
      </c>
      <c r="AE77" s="156" t="e">
        <f>AC77/AB77</f>
        <v>#DIV/0!</v>
      </c>
      <c r="AF77" s="153"/>
      <c r="AG77" s="153"/>
      <c r="AH77" s="156">
        <f t="shared" si="75"/>
        <v>0</v>
      </c>
      <c r="AI77" s="153"/>
      <c r="AJ77" s="153"/>
      <c r="AK77" s="156">
        <f t="shared" si="76"/>
        <v>0</v>
      </c>
      <c r="AL77" s="156"/>
      <c r="AM77" s="153"/>
      <c r="AN77" s="153"/>
      <c r="AO77" s="156">
        <f t="shared" si="77"/>
        <v>0</v>
      </c>
      <c r="AP77" s="156"/>
      <c r="AQ77" s="156"/>
      <c r="AR77" s="156"/>
      <c r="AS77" s="156">
        <f t="shared" si="78"/>
        <v>0</v>
      </c>
      <c r="AT77" s="156"/>
      <c r="AU77" s="153"/>
      <c r="AV77" s="153"/>
      <c r="AW77" s="156">
        <f t="shared" si="79"/>
        <v>0</v>
      </c>
      <c r="AX77" s="156"/>
      <c r="AY77" s="153"/>
      <c r="AZ77" s="153"/>
      <c r="BA77" s="156">
        <f t="shared" si="80"/>
        <v>0</v>
      </c>
      <c r="BB77" s="156"/>
      <c r="BC77" s="153"/>
      <c r="BD77" s="153"/>
      <c r="BE77" s="156">
        <f t="shared" si="81"/>
        <v>0</v>
      </c>
      <c r="BF77" s="156"/>
      <c r="BG77" s="153"/>
      <c r="BH77" s="153"/>
      <c r="BI77" s="156">
        <f t="shared" si="82"/>
        <v>0</v>
      </c>
      <c r="BJ77" s="156"/>
      <c r="BK77" s="153"/>
      <c r="BL77" s="153"/>
      <c r="BM77" s="156">
        <f t="shared" si="66"/>
        <v>0</v>
      </c>
      <c r="BN77" s="156"/>
      <c r="BO77" s="153"/>
      <c r="BP77" s="153"/>
      <c r="BQ77" s="156">
        <f t="shared" si="67"/>
        <v>0</v>
      </c>
      <c r="BR77" s="156"/>
      <c r="BS77" s="153"/>
      <c r="BT77" s="153"/>
      <c r="BU77" s="156">
        <f t="shared" si="83"/>
        <v>0</v>
      </c>
      <c r="BV77" s="156"/>
      <c r="BW77" s="153"/>
      <c r="BX77" s="153"/>
      <c r="BY77" s="156">
        <f t="shared" si="84"/>
        <v>0</v>
      </c>
      <c r="BZ77" s="156"/>
      <c r="CA77" s="153"/>
      <c r="CB77" s="153"/>
      <c r="CC77" s="156">
        <f t="shared" si="85"/>
        <v>0</v>
      </c>
      <c r="CD77" s="156"/>
      <c r="CE77" s="153"/>
      <c r="CF77" s="153"/>
      <c r="CG77" s="156">
        <f t="shared" si="86"/>
        <v>0</v>
      </c>
      <c r="CH77" s="226" t="e">
        <f t="shared" si="92"/>
        <v>#DIV/0!</v>
      </c>
      <c r="CI77" s="153"/>
      <c r="CJ77" s="153"/>
      <c r="CK77" s="156">
        <f t="shared" si="87"/>
        <v>0</v>
      </c>
      <c r="CL77" s="227" t="e">
        <f t="shared" si="93"/>
        <v>#DIV/0!</v>
      </c>
      <c r="CM77" s="222"/>
      <c r="CN77" s="222"/>
      <c r="CO77" s="222">
        <f t="shared" si="88"/>
        <v>0</v>
      </c>
      <c r="CP77" s="222"/>
      <c r="CQ77" s="14"/>
      <c r="CR77" s="14"/>
      <c r="CS77" s="261">
        <f t="shared" si="89"/>
        <v>0</v>
      </c>
      <c r="CT77" s="262"/>
      <c r="CU77" s="13"/>
      <c r="CV77" s="13"/>
      <c r="CW77" s="261">
        <f t="shared" si="90"/>
        <v>0</v>
      </c>
      <c r="CX77" s="262"/>
      <c r="CY77" s="13"/>
      <c r="CZ77" s="13"/>
      <c r="DA77" s="261">
        <f t="shared" si="91"/>
        <v>0</v>
      </c>
      <c r="DB77" s="262"/>
    </row>
    <row r="78" spans="1:106" ht="14.25" hidden="1" customHeight="1">
      <c r="A78" s="334"/>
      <c r="B78" s="334" t="s">
        <v>354</v>
      </c>
      <c r="C78" s="221"/>
      <c r="D78" s="153">
        <f t="shared" si="94"/>
        <v>0</v>
      </c>
      <c r="E78" s="250">
        <f t="shared" si="95"/>
        <v>0</v>
      </c>
      <c r="F78" s="192">
        <f t="shared" si="69"/>
        <v>0</v>
      </c>
      <c r="G78" s="192" t="e">
        <f t="shared" si="96"/>
        <v>#DIV/0!</v>
      </c>
      <c r="H78" s="153"/>
      <c r="I78" s="153"/>
      <c r="J78" s="156">
        <f t="shared" si="70"/>
        <v>0</v>
      </c>
      <c r="K78" s="156"/>
      <c r="L78" s="153"/>
      <c r="M78" s="153"/>
      <c r="N78" s="156">
        <f t="shared" si="71"/>
        <v>0</v>
      </c>
      <c r="O78" s="156"/>
      <c r="P78" s="153"/>
      <c r="Q78" s="153"/>
      <c r="R78" s="156">
        <f t="shared" si="72"/>
        <v>0</v>
      </c>
      <c r="S78" s="156"/>
      <c r="T78" s="153"/>
      <c r="U78" s="153"/>
      <c r="V78" s="156">
        <f t="shared" si="73"/>
        <v>0</v>
      </c>
      <c r="W78" s="156"/>
      <c r="X78" s="153">
        <f t="shared" si="74"/>
        <v>0</v>
      </c>
      <c r="Y78" s="153">
        <f t="shared" si="74"/>
        <v>0</v>
      </c>
      <c r="Z78" s="156">
        <f t="shared" si="65"/>
        <v>0</v>
      </c>
      <c r="AA78" s="156"/>
      <c r="AB78" s="153"/>
      <c r="AC78" s="153"/>
      <c r="AD78" s="156">
        <f t="shared" si="68"/>
        <v>0</v>
      </c>
      <c r="AE78" s="156" t="e">
        <f>AC78/AB78</f>
        <v>#DIV/0!</v>
      </c>
      <c r="AF78" s="153"/>
      <c r="AG78" s="153"/>
      <c r="AH78" s="156">
        <f t="shared" si="75"/>
        <v>0</v>
      </c>
      <c r="AI78" s="153"/>
      <c r="AJ78" s="153"/>
      <c r="AK78" s="156">
        <f t="shared" si="76"/>
        <v>0</v>
      </c>
      <c r="AL78" s="156"/>
      <c r="AM78" s="153"/>
      <c r="AN78" s="153"/>
      <c r="AO78" s="156">
        <f t="shared" si="77"/>
        <v>0</v>
      </c>
      <c r="AP78" s="156"/>
      <c r="AQ78" s="156"/>
      <c r="AR78" s="156"/>
      <c r="AS78" s="156">
        <f t="shared" si="78"/>
        <v>0</v>
      </c>
      <c r="AT78" s="156"/>
      <c r="AU78" s="153"/>
      <c r="AV78" s="153"/>
      <c r="AW78" s="156">
        <f t="shared" si="79"/>
        <v>0</v>
      </c>
      <c r="AX78" s="156"/>
      <c r="AY78" s="153"/>
      <c r="AZ78" s="153"/>
      <c r="BA78" s="156">
        <f t="shared" si="80"/>
        <v>0</v>
      </c>
      <c r="BB78" s="156"/>
      <c r="BC78" s="153"/>
      <c r="BD78" s="153"/>
      <c r="BE78" s="156">
        <f t="shared" si="81"/>
        <v>0</v>
      </c>
      <c r="BF78" s="156"/>
      <c r="BG78" s="153"/>
      <c r="BH78" s="153"/>
      <c r="BI78" s="156">
        <f t="shared" si="82"/>
        <v>0</v>
      </c>
      <c r="BJ78" s="156"/>
      <c r="BK78" s="153"/>
      <c r="BL78" s="153"/>
      <c r="BM78" s="156">
        <f t="shared" si="66"/>
        <v>0</v>
      </c>
      <c r="BN78" s="156"/>
      <c r="BO78" s="153"/>
      <c r="BP78" s="153"/>
      <c r="BQ78" s="156">
        <f t="shared" si="67"/>
        <v>0</v>
      </c>
      <c r="BR78" s="156"/>
      <c r="BS78" s="153"/>
      <c r="BT78" s="153"/>
      <c r="BU78" s="156">
        <f t="shared" si="83"/>
        <v>0</v>
      </c>
      <c r="BV78" s="156"/>
      <c r="BW78" s="153"/>
      <c r="BX78" s="153"/>
      <c r="BY78" s="156">
        <f t="shared" si="84"/>
        <v>0</v>
      </c>
      <c r="BZ78" s="156"/>
      <c r="CA78" s="153"/>
      <c r="CB78" s="153"/>
      <c r="CC78" s="156">
        <f t="shared" si="85"/>
        <v>0</v>
      </c>
      <c r="CD78" s="156"/>
      <c r="CE78" s="153"/>
      <c r="CF78" s="153"/>
      <c r="CG78" s="156">
        <f t="shared" si="86"/>
        <v>0</v>
      </c>
      <c r="CH78" s="226" t="e">
        <f t="shared" si="92"/>
        <v>#DIV/0!</v>
      </c>
      <c r="CI78" s="153"/>
      <c r="CJ78" s="153"/>
      <c r="CK78" s="156">
        <f t="shared" si="87"/>
        <v>0</v>
      </c>
      <c r="CL78" s="227" t="e">
        <f t="shared" si="93"/>
        <v>#DIV/0!</v>
      </c>
      <c r="CM78" s="222"/>
      <c r="CN78" s="222"/>
      <c r="CO78" s="222">
        <f t="shared" si="88"/>
        <v>0</v>
      </c>
      <c r="CP78" s="222"/>
      <c r="CQ78" s="14"/>
      <c r="CR78" s="14"/>
      <c r="CS78" s="261">
        <f t="shared" si="89"/>
        <v>0</v>
      </c>
      <c r="CT78" s="262"/>
      <c r="CU78" s="13"/>
      <c r="CV78" s="13"/>
      <c r="CW78" s="261">
        <f t="shared" si="90"/>
        <v>0</v>
      </c>
      <c r="CX78" s="262"/>
      <c r="CY78" s="13"/>
      <c r="CZ78" s="13"/>
      <c r="DA78" s="261">
        <f t="shared" si="91"/>
        <v>0</v>
      </c>
      <c r="DB78" s="262"/>
    </row>
    <row r="79" spans="1:106" s="326" customFormat="1" ht="14.25" customHeight="1">
      <c r="A79" s="369" t="s">
        <v>355</v>
      </c>
      <c r="B79" s="330" t="s">
        <v>356</v>
      </c>
      <c r="C79" s="338">
        <f>SUM(C80:C88)</f>
        <v>2794.7</v>
      </c>
      <c r="D79" s="193">
        <f>SUM(D80:D88)</f>
        <v>2633.04</v>
      </c>
      <c r="E79" s="193">
        <f>SUM(E80:E88)</f>
        <v>3784.8685000000005</v>
      </c>
      <c r="F79" s="143">
        <f t="shared" si="69"/>
        <v>1151.8285000000005</v>
      </c>
      <c r="G79" s="328">
        <f t="shared" si="96"/>
        <v>1.437451956673655</v>
      </c>
      <c r="H79" s="193">
        <f>SUM(H80:H88)</f>
        <v>587.24</v>
      </c>
      <c r="I79" s="193">
        <f>SUM(I80:I88)</f>
        <v>2079.0985000000001</v>
      </c>
      <c r="J79" s="156">
        <f t="shared" si="70"/>
        <v>1491.8585</v>
      </c>
      <c r="K79" s="193">
        <f t="shared" ref="K79:K84" si="97">I79/H79</f>
        <v>3.540457904774879</v>
      </c>
      <c r="L79" s="193">
        <f>SUM(L80:L88)</f>
        <v>0.246</v>
      </c>
      <c r="M79" s="193">
        <f>SUM(M80:M88)</f>
        <v>0</v>
      </c>
      <c r="N79" s="226">
        <f t="shared" si="71"/>
        <v>-0.246</v>
      </c>
      <c r="O79" s="226">
        <f>M79/L79</f>
        <v>0</v>
      </c>
      <c r="P79" s="193">
        <f>SUM(P80:P88)</f>
        <v>2.8839999999999999</v>
      </c>
      <c r="Q79" s="193">
        <f>SUM(Q80:Q88)</f>
        <v>0</v>
      </c>
      <c r="R79" s="226">
        <f t="shared" si="72"/>
        <v>-2.8839999999999999</v>
      </c>
      <c r="S79" s="226">
        <f>Q79/P79</f>
        <v>0</v>
      </c>
      <c r="T79" s="193">
        <f>SUM(T80:T88)</f>
        <v>0</v>
      </c>
      <c r="U79" s="193">
        <f>SUM(U80:U88)</f>
        <v>0</v>
      </c>
      <c r="V79" s="226">
        <f t="shared" si="73"/>
        <v>0</v>
      </c>
      <c r="W79" s="226" t="e">
        <f>U79/T79</f>
        <v>#DIV/0!</v>
      </c>
      <c r="X79" s="193">
        <f t="shared" si="74"/>
        <v>0</v>
      </c>
      <c r="Y79" s="193">
        <f t="shared" si="74"/>
        <v>0</v>
      </c>
      <c r="Z79" s="226">
        <f t="shared" si="65"/>
        <v>0</v>
      </c>
      <c r="AA79" s="226"/>
      <c r="AB79" s="193">
        <f>SUM(AB80:AB88)</f>
        <v>0</v>
      </c>
      <c r="AC79" s="193">
        <f>SUM(AC80:AC88)</f>
        <v>0</v>
      </c>
      <c r="AD79" s="226">
        <f t="shared" si="68"/>
        <v>0</v>
      </c>
      <c r="AE79" s="226" t="e">
        <f>AC79/AB79</f>
        <v>#DIV/0!</v>
      </c>
      <c r="AF79" s="193">
        <f>SUM(AF80:AF88)</f>
        <v>0</v>
      </c>
      <c r="AG79" s="193">
        <f>SUM(AG80:AG88)</f>
        <v>0</v>
      </c>
      <c r="AH79" s="226">
        <f t="shared" si="75"/>
        <v>0</v>
      </c>
      <c r="AI79" s="193">
        <f>SUM(AI80:AI88)</f>
        <v>0</v>
      </c>
      <c r="AJ79" s="193">
        <f>SUM(AJ80:AJ88)</f>
        <v>0</v>
      </c>
      <c r="AK79" s="226">
        <f t="shared" si="76"/>
        <v>0</v>
      </c>
      <c r="AL79" s="226" t="e">
        <f>AJ79/AI79</f>
        <v>#DIV/0!</v>
      </c>
      <c r="AM79" s="193">
        <f>SUM(AM80:AM88)</f>
        <v>0</v>
      </c>
      <c r="AN79" s="193">
        <f>SUM(AN80:AN88)</f>
        <v>0</v>
      </c>
      <c r="AO79" s="226">
        <f t="shared" si="77"/>
        <v>0</v>
      </c>
      <c r="AP79" s="226" t="e">
        <f>AN79/AM79</f>
        <v>#DIV/0!</v>
      </c>
      <c r="AQ79" s="193">
        <f>SUM(AQ80:AQ88)</f>
        <v>0</v>
      </c>
      <c r="AR79" s="193">
        <f>SUM(AR80:AR88)</f>
        <v>0</v>
      </c>
      <c r="AS79" s="226">
        <f t="shared" si="78"/>
        <v>0</v>
      </c>
      <c r="AT79" s="226" t="e">
        <f>AR79/AQ79</f>
        <v>#DIV/0!</v>
      </c>
      <c r="AU79" s="193">
        <f>SUM(AU80:AU88)</f>
        <v>21.07</v>
      </c>
      <c r="AV79" s="193">
        <f>SUM(AV80:AV88)</f>
        <v>21.07</v>
      </c>
      <c r="AW79" s="226">
        <f t="shared" si="79"/>
        <v>0</v>
      </c>
      <c r="AX79" s="226">
        <f>AV79/AU79</f>
        <v>1</v>
      </c>
      <c r="AY79" s="193">
        <f>SUM(AY80:AY88)</f>
        <v>0</v>
      </c>
      <c r="AZ79" s="193">
        <f>SUM(AZ80:AZ88)</f>
        <v>0</v>
      </c>
      <c r="BA79" s="226">
        <f t="shared" si="80"/>
        <v>0</v>
      </c>
      <c r="BB79" s="226"/>
      <c r="BC79" s="193">
        <f>SUM(BC80:BC88)</f>
        <v>0</v>
      </c>
      <c r="BD79" s="193">
        <f>SUM(BD80:BD88)</f>
        <v>0</v>
      </c>
      <c r="BE79" s="226">
        <f t="shared" si="81"/>
        <v>0</v>
      </c>
      <c r="BF79" s="226"/>
      <c r="BG79" s="193">
        <f>SUM(BG80:BG88)</f>
        <v>0</v>
      </c>
      <c r="BH79" s="193">
        <f>SUM(BH80:BH88)</f>
        <v>0</v>
      </c>
      <c r="BI79" s="226">
        <f t="shared" si="82"/>
        <v>0</v>
      </c>
      <c r="BJ79" s="226"/>
      <c r="BK79" s="193">
        <f>SUM(BK80:BK88)</f>
        <v>0</v>
      </c>
      <c r="BL79" s="193">
        <f>SUM(BL80:BL88)</f>
        <v>0</v>
      </c>
      <c r="BM79" s="226">
        <f t="shared" si="66"/>
        <v>0</v>
      </c>
      <c r="BN79" s="226" t="e">
        <f>BL79/BK79</f>
        <v>#DIV/0!</v>
      </c>
      <c r="BO79" s="193">
        <f>SUM(BO80:BO88)</f>
        <v>0</v>
      </c>
      <c r="BP79" s="193">
        <f>SUM(BP80:BP88)</f>
        <v>0</v>
      </c>
      <c r="BQ79" s="226">
        <f t="shared" si="67"/>
        <v>0</v>
      </c>
      <c r="BR79" s="226" t="e">
        <f>BP79/BO79</f>
        <v>#DIV/0!</v>
      </c>
      <c r="BS79" s="193">
        <f>SUM(BS80:BS88)</f>
        <v>0</v>
      </c>
      <c r="BT79" s="193">
        <f>SUM(BT80:BT88)</f>
        <v>0</v>
      </c>
      <c r="BU79" s="226">
        <f t="shared" si="83"/>
        <v>0</v>
      </c>
      <c r="BV79" s="226" t="e">
        <f>BT79/BS79</f>
        <v>#DIV/0!</v>
      </c>
      <c r="BW79" s="193">
        <f>SUM(BW80:BW88)</f>
        <v>0</v>
      </c>
      <c r="BX79" s="193">
        <f>SUM(BX80:BX88)</f>
        <v>0</v>
      </c>
      <c r="BY79" s="226">
        <f t="shared" si="84"/>
        <v>0</v>
      </c>
      <c r="BZ79" s="226"/>
      <c r="CA79" s="193">
        <f>SUM(CA80:CA88)</f>
        <v>0</v>
      </c>
      <c r="CB79" s="193">
        <f>SUM(CB80:CB88)</f>
        <v>0</v>
      </c>
      <c r="CC79" s="226">
        <f t="shared" si="85"/>
        <v>0</v>
      </c>
      <c r="CD79" s="226"/>
      <c r="CE79" s="193">
        <f>SUM(CE80:CE88)</f>
        <v>2021.6</v>
      </c>
      <c r="CF79" s="193">
        <f>SUM(CF80:CF88)</f>
        <v>1684.7</v>
      </c>
      <c r="CG79" s="226">
        <f t="shared" si="86"/>
        <v>-336.89999999999986</v>
      </c>
      <c r="CH79" s="226">
        <f t="shared" si="92"/>
        <v>0.83334982192322915</v>
      </c>
      <c r="CI79" s="193">
        <f>SUM(CI80:CI88)</f>
        <v>0.56000000000000005</v>
      </c>
      <c r="CJ79" s="193">
        <f>SUM(CJ80:CJ88)</f>
        <v>0</v>
      </c>
      <c r="CK79" s="226">
        <f t="shared" si="87"/>
        <v>-0.56000000000000005</v>
      </c>
      <c r="CL79" s="227">
        <f>CJ79/CI79</f>
        <v>0</v>
      </c>
      <c r="CM79" s="15">
        <f>SUM(CM80:CM88)</f>
        <v>0</v>
      </c>
      <c r="CN79" s="15">
        <f>SUM(CN80:CN88)</f>
        <v>0</v>
      </c>
      <c r="CO79" s="227">
        <f t="shared" si="88"/>
        <v>0</v>
      </c>
      <c r="CP79" s="227" t="e">
        <f>CN79/CM79</f>
        <v>#DIV/0!</v>
      </c>
      <c r="CQ79" s="263">
        <f>SUM(CQ80:CQ88)</f>
        <v>0</v>
      </c>
      <c r="CR79" s="263">
        <f>SUM(CR80:CR88)</f>
        <v>0</v>
      </c>
      <c r="CS79" s="259">
        <f t="shared" si="89"/>
        <v>0</v>
      </c>
      <c r="CT79" s="260"/>
      <c r="CU79" s="263">
        <f>SUM(CU80:CU88)</f>
        <v>0</v>
      </c>
      <c r="CV79" s="263">
        <f>SUM(CV80:CV88)</f>
        <v>0</v>
      </c>
      <c r="CW79" s="259">
        <f t="shared" si="90"/>
        <v>0</v>
      </c>
      <c r="CX79" s="260"/>
      <c r="CY79" s="263">
        <f>SUM(CY80:CY88)</f>
        <v>0</v>
      </c>
      <c r="CZ79" s="263">
        <f>SUM(CZ80:CZ88)</f>
        <v>0</v>
      </c>
      <c r="DA79" s="259">
        <f t="shared" si="91"/>
        <v>0</v>
      </c>
      <c r="DB79" s="260"/>
    </row>
    <row r="80" spans="1:106" ht="14.25" hidden="1" customHeight="1">
      <c r="A80" s="334"/>
      <c r="B80" s="334" t="s">
        <v>357</v>
      </c>
      <c r="C80" s="221"/>
      <c r="D80" s="153">
        <f t="shared" ref="D80:D88" si="98">H80+L80+P80+T80+X80+AI80+AM80+AQ80+AU80+BC80+BG80+BW80+CE80+CI80+CM80+CQ80+CU80+CY80+AY80+BK80+BS80</f>
        <v>0</v>
      </c>
      <c r="E80" s="250">
        <f>I80+M80+Q80+U80+Y80+AJ80+AN80+AR80+AV80+BD80+BH80+BX80+CF80+CJ80+CN80+CR80+CV80+CZ80+BL80+BT80</f>
        <v>0</v>
      </c>
      <c r="F80" s="192">
        <f t="shared" si="69"/>
        <v>0</v>
      </c>
      <c r="G80" s="192" t="e">
        <f t="shared" si="96"/>
        <v>#DIV/0!</v>
      </c>
      <c r="H80" s="153"/>
      <c r="I80" s="153"/>
      <c r="J80" s="156">
        <f t="shared" si="70"/>
        <v>0</v>
      </c>
      <c r="K80" s="193" t="e">
        <f t="shared" si="97"/>
        <v>#DIV/0!</v>
      </c>
      <c r="L80" s="153"/>
      <c r="M80" s="153"/>
      <c r="N80" s="156">
        <f t="shared" si="71"/>
        <v>0</v>
      </c>
      <c r="O80" s="226" t="e">
        <f>M80/L80</f>
        <v>#DIV/0!</v>
      </c>
      <c r="P80" s="153"/>
      <c r="Q80" s="153"/>
      <c r="R80" s="156">
        <f t="shared" si="72"/>
        <v>0</v>
      </c>
      <c r="S80" s="156"/>
      <c r="T80" s="153"/>
      <c r="U80" s="153"/>
      <c r="V80" s="156">
        <f t="shared" si="73"/>
        <v>0</v>
      </c>
      <c r="W80" s="156"/>
      <c r="X80" s="153">
        <f t="shared" si="74"/>
        <v>0</v>
      </c>
      <c r="Y80" s="153">
        <f t="shared" si="74"/>
        <v>0</v>
      </c>
      <c r="Z80" s="156">
        <f t="shared" si="65"/>
        <v>0</v>
      </c>
      <c r="AA80" s="156"/>
      <c r="AB80" s="153"/>
      <c r="AC80" s="153"/>
      <c r="AD80" s="156">
        <f t="shared" si="68"/>
        <v>0</v>
      </c>
      <c r="AE80" s="156" t="e">
        <f>AC80/AB80</f>
        <v>#DIV/0!</v>
      </c>
      <c r="AF80" s="153"/>
      <c r="AG80" s="153"/>
      <c r="AH80" s="156">
        <f t="shared" si="75"/>
        <v>0</v>
      </c>
      <c r="AI80" s="153"/>
      <c r="AJ80" s="153"/>
      <c r="AK80" s="156">
        <f t="shared" si="76"/>
        <v>0</v>
      </c>
      <c r="AL80" s="156"/>
      <c r="AM80" s="153">
        <v>0</v>
      </c>
      <c r="AN80" s="153">
        <v>0</v>
      </c>
      <c r="AO80" s="156">
        <f t="shared" si="77"/>
        <v>0</v>
      </c>
      <c r="AP80" s="156"/>
      <c r="AQ80" s="156"/>
      <c r="AR80" s="156"/>
      <c r="AS80" s="156">
        <f t="shared" si="78"/>
        <v>0</v>
      </c>
      <c r="AT80" s="156"/>
      <c r="AU80" s="153"/>
      <c r="AV80" s="153"/>
      <c r="AW80" s="156">
        <f t="shared" si="79"/>
        <v>0</v>
      </c>
      <c r="AX80" s="156"/>
      <c r="AY80" s="153"/>
      <c r="AZ80" s="153"/>
      <c r="BA80" s="156">
        <f t="shared" si="80"/>
        <v>0</v>
      </c>
      <c r="BB80" s="156"/>
      <c r="BC80" s="153"/>
      <c r="BD80" s="153"/>
      <c r="BE80" s="156">
        <f t="shared" si="81"/>
        <v>0</v>
      </c>
      <c r="BF80" s="156"/>
      <c r="BG80" s="153"/>
      <c r="BH80" s="153"/>
      <c r="BI80" s="156">
        <f t="shared" si="82"/>
        <v>0</v>
      </c>
      <c r="BJ80" s="156"/>
      <c r="BK80" s="153"/>
      <c r="BL80" s="153"/>
      <c r="BM80" s="156">
        <f t="shared" si="66"/>
        <v>0</v>
      </c>
      <c r="BN80" s="156"/>
      <c r="BO80" s="153"/>
      <c r="BP80" s="153"/>
      <c r="BQ80" s="156">
        <f t="shared" si="67"/>
        <v>0</v>
      </c>
      <c r="BR80" s="156"/>
      <c r="BS80" s="153"/>
      <c r="BT80" s="153"/>
      <c r="BU80" s="156">
        <f t="shared" si="83"/>
        <v>0</v>
      </c>
      <c r="BV80" s="156"/>
      <c r="BW80" s="153"/>
      <c r="BX80" s="153"/>
      <c r="BY80" s="156">
        <f t="shared" si="84"/>
        <v>0</v>
      </c>
      <c r="BZ80" s="156"/>
      <c r="CA80" s="153"/>
      <c r="CB80" s="153"/>
      <c r="CC80" s="156">
        <f t="shared" si="85"/>
        <v>0</v>
      </c>
      <c r="CD80" s="156"/>
      <c r="CE80" s="153"/>
      <c r="CF80" s="153"/>
      <c r="CG80" s="156">
        <f t="shared" si="86"/>
        <v>0</v>
      </c>
      <c r="CH80" s="226" t="e">
        <f t="shared" si="92"/>
        <v>#DIV/0!</v>
      </c>
      <c r="CI80" s="153"/>
      <c r="CJ80" s="153"/>
      <c r="CK80" s="156">
        <f t="shared" si="87"/>
        <v>0</v>
      </c>
      <c r="CL80" s="227"/>
      <c r="CM80" s="222"/>
      <c r="CN80" s="222"/>
      <c r="CO80" s="222">
        <f t="shared" si="88"/>
        <v>0</v>
      </c>
      <c r="CP80" s="222"/>
      <c r="CQ80" s="14"/>
      <c r="CR80" s="14"/>
      <c r="CS80" s="261">
        <f t="shared" si="89"/>
        <v>0</v>
      </c>
      <c r="CT80" s="262"/>
      <c r="CU80" s="13"/>
      <c r="CV80" s="13"/>
      <c r="CW80" s="261">
        <f t="shared" si="90"/>
        <v>0</v>
      </c>
      <c r="CX80" s="262"/>
      <c r="CY80" s="13"/>
      <c r="CZ80" s="13"/>
      <c r="DA80" s="261">
        <f t="shared" si="91"/>
        <v>0</v>
      </c>
      <c r="DB80" s="262"/>
    </row>
    <row r="81" spans="1:106" ht="14.25" customHeight="1">
      <c r="A81" s="334"/>
      <c r="B81" s="334" t="s">
        <v>358</v>
      </c>
      <c r="C81" s="250"/>
      <c r="D81" s="153">
        <f t="shared" si="98"/>
        <v>0.246</v>
      </c>
      <c r="E81" s="250">
        <f>I81+M81+Q81+U81+Y81+AJ81+AN81+AR81+AV81+BD81+BH81+BX81+CF81+CJ81+CN81+CR81+CV81+CZ81+AZ81+BL81+BT81</f>
        <v>0</v>
      </c>
      <c r="F81" s="192">
        <f t="shared" si="69"/>
        <v>-0.246</v>
      </c>
      <c r="G81" s="192">
        <f t="shared" si="96"/>
        <v>0</v>
      </c>
      <c r="H81" s="153"/>
      <c r="I81" s="153"/>
      <c r="J81" s="156">
        <f t="shared" si="70"/>
        <v>0</v>
      </c>
      <c r="K81" s="193"/>
      <c r="L81" s="153">
        <v>0.246</v>
      </c>
      <c r="M81" s="153"/>
      <c r="N81" s="156">
        <f t="shared" si="71"/>
        <v>-0.246</v>
      </c>
      <c r="O81" s="226">
        <f>M81/L81</f>
        <v>0</v>
      </c>
      <c r="P81" s="153"/>
      <c r="Q81" s="153"/>
      <c r="R81" s="156">
        <f t="shared" si="72"/>
        <v>0</v>
      </c>
      <c r="S81" s="156"/>
      <c r="T81" s="153"/>
      <c r="U81" s="153"/>
      <c r="V81" s="156">
        <v>0</v>
      </c>
      <c r="W81" s="156"/>
      <c r="X81" s="153">
        <f t="shared" si="74"/>
        <v>0</v>
      </c>
      <c r="Y81" s="153">
        <f t="shared" si="74"/>
        <v>0</v>
      </c>
      <c r="Z81" s="156">
        <v>0</v>
      </c>
      <c r="AA81" s="156"/>
      <c r="AB81" s="153"/>
      <c r="AC81" s="153"/>
      <c r="AD81" s="156">
        <f t="shared" si="68"/>
        <v>0</v>
      </c>
      <c r="AE81" s="156"/>
      <c r="AF81" s="153"/>
      <c r="AG81" s="153"/>
      <c r="AH81" s="156"/>
      <c r="AI81" s="153"/>
      <c r="AJ81" s="153"/>
      <c r="AK81" s="156"/>
      <c r="AL81" s="156"/>
      <c r="AM81" s="153"/>
      <c r="AN81" s="153"/>
      <c r="AO81" s="156">
        <f t="shared" si="77"/>
        <v>0</v>
      </c>
      <c r="AP81" s="156"/>
      <c r="AQ81" s="156"/>
      <c r="AR81" s="156"/>
      <c r="AS81" s="156"/>
      <c r="AT81" s="156"/>
      <c r="AU81" s="153"/>
      <c r="AV81" s="153"/>
      <c r="AW81" s="156">
        <v>0</v>
      </c>
      <c r="AX81" s="156"/>
      <c r="AY81" s="153"/>
      <c r="AZ81" s="153"/>
      <c r="BA81" s="156">
        <v>0</v>
      </c>
      <c r="BB81" s="156"/>
      <c r="BC81" s="153"/>
      <c r="BD81" s="153"/>
      <c r="BE81" s="156">
        <v>0</v>
      </c>
      <c r="BF81" s="156"/>
      <c r="BG81" s="153"/>
      <c r="BH81" s="153"/>
      <c r="BI81" s="156">
        <f t="shared" si="82"/>
        <v>0</v>
      </c>
      <c r="BJ81" s="156"/>
      <c r="BK81" s="153"/>
      <c r="BL81" s="153"/>
      <c r="BM81" s="156">
        <f t="shared" si="66"/>
        <v>0</v>
      </c>
      <c r="BN81" s="156"/>
      <c r="BO81" s="153"/>
      <c r="BP81" s="153"/>
      <c r="BQ81" s="156">
        <f t="shared" si="67"/>
        <v>0</v>
      </c>
      <c r="BR81" s="156"/>
      <c r="BS81" s="153"/>
      <c r="BT81" s="153"/>
      <c r="BU81" s="156"/>
      <c r="BV81" s="156"/>
      <c r="BW81" s="153"/>
      <c r="BX81" s="153"/>
      <c r="BY81" s="156">
        <v>0</v>
      </c>
      <c r="BZ81" s="156"/>
      <c r="CA81" s="153"/>
      <c r="CB81" s="153"/>
      <c r="CC81" s="156"/>
      <c r="CD81" s="156"/>
      <c r="CE81" s="153"/>
      <c r="CF81" s="153"/>
      <c r="CG81" s="156">
        <f t="shared" si="86"/>
        <v>0</v>
      </c>
      <c r="CH81" s="226"/>
      <c r="CI81" s="153"/>
      <c r="CJ81" s="153"/>
      <c r="CK81" s="156">
        <v>0</v>
      </c>
      <c r="CL81" s="227"/>
      <c r="CM81" s="222"/>
      <c r="CN81" s="222"/>
      <c r="CO81" s="222">
        <v>0</v>
      </c>
      <c r="CP81" s="222"/>
      <c r="CQ81" s="14"/>
      <c r="CR81" s="14"/>
      <c r="CS81" s="261"/>
      <c r="CT81" s="262"/>
      <c r="CU81" s="13"/>
      <c r="CV81" s="13"/>
      <c r="CW81" s="261"/>
      <c r="CX81" s="262"/>
      <c r="CY81" s="13"/>
      <c r="CZ81" s="13"/>
      <c r="DA81" s="261">
        <v>0</v>
      </c>
      <c r="DB81" s="262"/>
    </row>
    <row r="82" spans="1:106" ht="14.25" customHeight="1">
      <c r="A82" s="334"/>
      <c r="B82" s="334" t="s">
        <v>551</v>
      </c>
      <c r="C82" s="221">
        <v>2769.5</v>
      </c>
      <c r="D82" s="153">
        <f t="shared" si="98"/>
        <v>2439.027</v>
      </c>
      <c r="E82" s="153">
        <f>I82+M82+Q82+U82+Y82+AJ82+AN82+AR82+AV82+BD82+BH82+BX82+CF82+CJ82+CN82+CR82+CV82+CZ82+AZ82+BL82+BT82+CB82</f>
        <v>1684.7</v>
      </c>
      <c r="F82" s="192">
        <f t="shared" si="69"/>
        <v>-754.327</v>
      </c>
      <c r="G82" s="192">
        <f t="shared" si="96"/>
        <v>0.69072626092290079</v>
      </c>
      <c r="H82" s="158">
        <v>417.42700000000002</v>
      </c>
      <c r="I82" s="158"/>
      <c r="J82" s="156">
        <f t="shared" si="70"/>
        <v>-417.42700000000002</v>
      </c>
      <c r="K82" s="193">
        <f t="shared" si="97"/>
        <v>0</v>
      </c>
      <c r="L82" s="158">
        <v>0</v>
      </c>
      <c r="M82" s="158">
        <v>0</v>
      </c>
      <c r="N82" s="156">
        <f t="shared" si="71"/>
        <v>0</v>
      </c>
      <c r="O82" s="226" t="e">
        <f>M82/L82</f>
        <v>#DIV/0!</v>
      </c>
      <c r="P82" s="158"/>
      <c r="Q82" s="158"/>
      <c r="R82" s="156">
        <f t="shared" si="72"/>
        <v>0</v>
      </c>
      <c r="S82" s="156" t="e">
        <f>Q82/P82</f>
        <v>#DIV/0!</v>
      </c>
      <c r="T82" s="153"/>
      <c r="U82" s="153"/>
      <c r="V82" s="156">
        <f>U82-T82</f>
        <v>0</v>
      </c>
      <c r="W82" s="156"/>
      <c r="X82" s="153">
        <f t="shared" si="74"/>
        <v>0</v>
      </c>
      <c r="Y82" s="153">
        <f t="shared" si="74"/>
        <v>0</v>
      </c>
      <c r="Z82" s="156">
        <f>Y82-X82</f>
        <v>0</v>
      </c>
      <c r="AA82" s="156"/>
      <c r="AB82" s="153"/>
      <c r="AC82" s="153"/>
      <c r="AD82" s="156">
        <f t="shared" si="68"/>
        <v>0</v>
      </c>
      <c r="AE82" s="156"/>
      <c r="AF82" s="153"/>
      <c r="AG82" s="153"/>
      <c r="AH82" s="156">
        <f>AG82-AF82</f>
        <v>0</v>
      </c>
      <c r="AI82" s="153"/>
      <c r="AJ82" s="153"/>
      <c r="AK82" s="156">
        <f t="shared" ref="AK82:AK88" si="99">AJ82-AI82</f>
        <v>0</v>
      </c>
      <c r="AL82" s="156"/>
      <c r="AM82" s="153"/>
      <c r="AN82" s="153"/>
      <c r="AO82" s="156">
        <f t="shared" si="77"/>
        <v>0</v>
      </c>
      <c r="AP82" s="156"/>
      <c r="AQ82" s="156"/>
      <c r="AR82" s="156"/>
      <c r="AS82" s="156">
        <f>AR82-AQ82</f>
        <v>0</v>
      </c>
      <c r="AT82" s="156"/>
      <c r="AU82" s="153"/>
      <c r="AV82" s="153"/>
      <c r="AW82" s="156">
        <f>AV82-AU82</f>
        <v>0</v>
      </c>
      <c r="AX82" s="156"/>
      <c r="AY82" s="153"/>
      <c r="AZ82" s="153"/>
      <c r="BA82" s="156">
        <f>AZ82-AY82</f>
        <v>0</v>
      </c>
      <c r="BB82" s="156"/>
      <c r="BC82" s="153"/>
      <c r="BD82" s="153"/>
      <c r="BE82" s="156">
        <f>BD82-BC82</f>
        <v>0</v>
      </c>
      <c r="BF82" s="156"/>
      <c r="BG82" s="153"/>
      <c r="BH82" s="153"/>
      <c r="BI82" s="156">
        <f t="shared" si="82"/>
        <v>0</v>
      </c>
      <c r="BJ82" s="156"/>
      <c r="BK82" s="153"/>
      <c r="BL82" s="153"/>
      <c r="BM82" s="156">
        <f t="shared" si="66"/>
        <v>0</v>
      </c>
      <c r="BN82" s="156"/>
      <c r="BO82" s="153"/>
      <c r="BP82" s="153"/>
      <c r="BQ82" s="156">
        <f t="shared" si="67"/>
        <v>0</v>
      </c>
      <c r="BR82" s="156"/>
      <c r="BS82" s="153"/>
      <c r="BT82" s="153"/>
      <c r="BU82" s="156">
        <f>BT82-BS82</f>
        <v>0</v>
      </c>
      <c r="BV82" s="156"/>
      <c r="BW82" s="153"/>
      <c r="BX82" s="153"/>
      <c r="BY82" s="156">
        <f>BX82-BW82</f>
        <v>0</v>
      </c>
      <c r="BZ82" s="156"/>
      <c r="CA82" s="153"/>
      <c r="CB82" s="153"/>
      <c r="CC82" s="156">
        <f>CB82-CA82</f>
        <v>0</v>
      </c>
      <c r="CD82" s="156"/>
      <c r="CE82" s="236">
        <v>2021.6</v>
      </c>
      <c r="CF82" s="236">
        <v>1684.7</v>
      </c>
      <c r="CG82" s="156">
        <f t="shared" si="86"/>
        <v>-336.89999999999986</v>
      </c>
      <c r="CH82" s="226">
        <f t="shared" si="92"/>
        <v>0.83334982192322915</v>
      </c>
      <c r="CI82" s="153"/>
      <c r="CJ82" s="153"/>
      <c r="CK82" s="156">
        <f>CJ82-CI82</f>
        <v>0</v>
      </c>
      <c r="CL82" s="227"/>
      <c r="CM82" s="222"/>
      <c r="CN82" s="222"/>
      <c r="CO82" s="222">
        <f>CN82-CM82</f>
        <v>0</v>
      </c>
      <c r="CP82" s="222"/>
      <c r="CQ82" s="14"/>
      <c r="CR82" s="14"/>
      <c r="CS82" s="261">
        <f>CR82-CQ82</f>
        <v>0</v>
      </c>
      <c r="CT82" s="262"/>
      <c r="CU82" s="13"/>
      <c r="CV82" s="13"/>
      <c r="CW82" s="261">
        <f>CV82-CU82</f>
        <v>0</v>
      </c>
      <c r="CX82" s="262"/>
      <c r="CY82" s="13"/>
      <c r="CZ82" s="13"/>
      <c r="DA82" s="261">
        <f>CZ82-CY82</f>
        <v>0</v>
      </c>
      <c r="DB82" s="262"/>
    </row>
    <row r="83" spans="1:106" ht="14.25" hidden="1" customHeight="1">
      <c r="A83" s="334"/>
      <c r="B83" s="333" t="s">
        <v>359</v>
      </c>
      <c r="C83" s="225"/>
      <c r="D83" s="153">
        <f t="shared" si="98"/>
        <v>0</v>
      </c>
      <c r="E83" s="250">
        <f>I83+M83+Q83+U83+Y83+AJ83+AN83+AR83+AV83+BD83+BH83+BX83+CF83+CJ83+CN83+CR83+CV83+CZ83+AZ83+BL83+BT83</f>
        <v>0</v>
      </c>
      <c r="F83" s="192">
        <f t="shared" si="69"/>
        <v>0</v>
      </c>
      <c r="G83" s="192" t="e">
        <f t="shared" si="96"/>
        <v>#DIV/0!</v>
      </c>
      <c r="H83" s="153"/>
      <c r="I83" s="153"/>
      <c r="J83" s="156">
        <f t="shared" si="70"/>
        <v>0</v>
      </c>
      <c r="K83" s="193" t="e">
        <f t="shared" si="97"/>
        <v>#DIV/0!</v>
      </c>
      <c r="L83" s="153"/>
      <c r="M83" s="153"/>
      <c r="N83" s="156">
        <f t="shared" si="71"/>
        <v>0</v>
      </c>
      <c r="O83" s="156"/>
      <c r="P83" s="153"/>
      <c r="Q83" s="153"/>
      <c r="R83" s="156">
        <f t="shared" si="72"/>
        <v>0</v>
      </c>
      <c r="S83" s="156" t="e">
        <f>Q83/P83</f>
        <v>#DIV/0!</v>
      </c>
      <c r="T83" s="153"/>
      <c r="U83" s="153"/>
      <c r="V83" s="156">
        <f>U83-T83</f>
        <v>0</v>
      </c>
      <c r="W83" s="156"/>
      <c r="X83" s="153">
        <f t="shared" si="74"/>
        <v>0</v>
      </c>
      <c r="Y83" s="153">
        <f t="shared" si="74"/>
        <v>0</v>
      </c>
      <c r="Z83" s="156">
        <f>Y83-X83</f>
        <v>0</v>
      </c>
      <c r="AA83" s="156"/>
      <c r="AB83" s="153"/>
      <c r="AC83" s="153"/>
      <c r="AD83" s="156">
        <f t="shared" si="68"/>
        <v>0</v>
      </c>
      <c r="AE83" s="156"/>
      <c r="AF83" s="153"/>
      <c r="AG83" s="153"/>
      <c r="AH83" s="156">
        <f>AG83-AF83</f>
        <v>0</v>
      </c>
      <c r="AI83" s="153"/>
      <c r="AJ83" s="153"/>
      <c r="AK83" s="156">
        <f t="shared" si="99"/>
        <v>0</v>
      </c>
      <c r="AL83" s="156"/>
      <c r="AM83" s="153"/>
      <c r="AN83" s="153"/>
      <c r="AO83" s="156">
        <f t="shared" si="77"/>
        <v>0</v>
      </c>
      <c r="AP83" s="156"/>
      <c r="AQ83" s="156"/>
      <c r="AR83" s="156"/>
      <c r="AS83" s="156">
        <f>AR83-AQ83</f>
        <v>0</v>
      </c>
      <c r="AT83" s="156"/>
      <c r="AU83" s="153"/>
      <c r="AV83" s="153"/>
      <c r="AW83" s="156">
        <f>AV83-AU83</f>
        <v>0</v>
      </c>
      <c r="AX83" s="156"/>
      <c r="AY83" s="153"/>
      <c r="AZ83" s="153"/>
      <c r="BA83" s="156">
        <f>AZ83-AY83</f>
        <v>0</v>
      </c>
      <c r="BB83" s="156"/>
      <c r="BC83" s="153"/>
      <c r="BD83" s="153"/>
      <c r="BE83" s="156">
        <f>BD83-BC83</f>
        <v>0</v>
      </c>
      <c r="BF83" s="156"/>
      <c r="BG83" s="153"/>
      <c r="BH83" s="153"/>
      <c r="BI83" s="156">
        <f t="shared" si="82"/>
        <v>0</v>
      </c>
      <c r="BJ83" s="156"/>
      <c r="BK83" s="153"/>
      <c r="BL83" s="153"/>
      <c r="BM83" s="156">
        <f t="shared" si="66"/>
        <v>0</v>
      </c>
      <c r="BN83" s="156"/>
      <c r="BO83" s="153"/>
      <c r="BP83" s="153"/>
      <c r="BQ83" s="156">
        <f t="shared" si="67"/>
        <v>0</v>
      </c>
      <c r="BR83" s="156"/>
      <c r="BS83" s="153"/>
      <c r="BT83" s="153"/>
      <c r="BU83" s="156">
        <f>BT83-BS83</f>
        <v>0</v>
      </c>
      <c r="BV83" s="156"/>
      <c r="BW83" s="153"/>
      <c r="BX83" s="153"/>
      <c r="BY83" s="156">
        <f>BX83-BW83</f>
        <v>0</v>
      </c>
      <c r="BZ83" s="156"/>
      <c r="CA83" s="153"/>
      <c r="CB83" s="153"/>
      <c r="CC83" s="156">
        <f>CB83-CA83</f>
        <v>0</v>
      </c>
      <c r="CD83" s="156"/>
      <c r="CE83" s="153"/>
      <c r="CF83" s="153"/>
      <c r="CG83" s="156">
        <f t="shared" si="86"/>
        <v>0</v>
      </c>
      <c r="CH83" s="226" t="e">
        <f t="shared" si="92"/>
        <v>#DIV/0!</v>
      </c>
      <c r="CI83" s="153"/>
      <c r="CJ83" s="153"/>
      <c r="CK83" s="156">
        <f>CJ83-CI83</f>
        <v>0</v>
      </c>
      <c r="CL83" s="222"/>
      <c r="CM83" s="222"/>
      <c r="CN83" s="222"/>
      <c r="CO83" s="222">
        <f>CN83-CM83</f>
        <v>0</v>
      </c>
      <c r="CP83" s="222"/>
      <c r="CQ83" s="14"/>
      <c r="CR83" s="14"/>
      <c r="CS83" s="261">
        <f>CR83-CQ83</f>
        <v>0</v>
      </c>
      <c r="CT83" s="262"/>
      <c r="CU83" s="13"/>
      <c r="CV83" s="13"/>
      <c r="CW83" s="261">
        <f>CV83-CU83</f>
        <v>0</v>
      </c>
      <c r="CX83" s="262"/>
      <c r="CY83" s="13"/>
      <c r="CZ83" s="13"/>
      <c r="DA83" s="261">
        <f>CZ83-CY83</f>
        <v>0</v>
      </c>
      <c r="DB83" s="262"/>
    </row>
    <row r="84" spans="1:106" ht="14.25" customHeight="1">
      <c r="A84" s="334"/>
      <c r="B84" s="333" t="s">
        <v>552</v>
      </c>
      <c r="C84" s="339">
        <v>0</v>
      </c>
      <c r="D84" s="153">
        <f t="shared" si="98"/>
        <v>54.66</v>
      </c>
      <c r="E84" s="250">
        <f>I84+M84+Q84+U84+Y84+AJ84+AN84+AR84+AV84+BD84+BH84+BX84+CF84+CJ84+CN84+CR84+CV84+CZ84+AZ84+BL84+BT84</f>
        <v>1606.096</v>
      </c>
      <c r="F84" s="192">
        <f t="shared" si="69"/>
        <v>1551.4359999999999</v>
      </c>
      <c r="G84" s="192">
        <f t="shared" si="96"/>
        <v>29.383388218075378</v>
      </c>
      <c r="H84" s="153">
        <v>54.66</v>
      </c>
      <c r="I84" s="153">
        <v>1606.096</v>
      </c>
      <c r="J84" s="156">
        <f t="shared" si="70"/>
        <v>1551.4359999999999</v>
      </c>
      <c r="K84" s="193">
        <f t="shared" si="97"/>
        <v>29.383388218075378</v>
      </c>
      <c r="L84" s="153">
        <v>0</v>
      </c>
      <c r="M84" s="153"/>
      <c r="N84" s="156"/>
      <c r="O84" s="156"/>
      <c r="P84" s="153">
        <v>0</v>
      </c>
      <c r="Q84" s="153"/>
      <c r="R84" s="156"/>
      <c r="S84" s="156" t="e">
        <f>Q84/P84</f>
        <v>#DIV/0!</v>
      </c>
      <c r="T84" s="153"/>
      <c r="U84" s="153"/>
      <c r="V84" s="156"/>
      <c r="W84" s="156"/>
      <c r="X84" s="153">
        <f t="shared" si="74"/>
        <v>0</v>
      </c>
      <c r="Y84" s="153">
        <f t="shared" si="74"/>
        <v>0</v>
      </c>
      <c r="Z84" s="156"/>
      <c r="AA84" s="156"/>
      <c r="AB84" s="153"/>
      <c r="AC84" s="153"/>
      <c r="AD84" s="156"/>
      <c r="AE84" s="156"/>
      <c r="AF84" s="153"/>
      <c r="AG84" s="153"/>
      <c r="AH84" s="156"/>
      <c r="AI84" s="153"/>
      <c r="AJ84" s="153"/>
      <c r="AK84" s="156">
        <f t="shared" si="99"/>
        <v>0</v>
      </c>
      <c r="AL84" s="156"/>
      <c r="AM84" s="153">
        <v>0</v>
      </c>
      <c r="AN84" s="153"/>
      <c r="AO84" s="156"/>
      <c r="AP84" s="156"/>
      <c r="AQ84" s="156"/>
      <c r="AR84" s="156"/>
      <c r="AS84" s="156"/>
      <c r="AT84" s="156"/>
      <c r="AU84" s="153"/>
      <c r="AV84" s="153"/>
      <c r="AW84" s="156"/>
      <c r="AX84" s="156"/>
      <c r="AY84" s="153"/>
      <c r="AZ84" s="153"/>
      <c r="BA84" s="156"/>
      <c r="BB84" s="156"/>
      <c r="BC84" s="153"/>
      <c r="BD84" s="153"/>
      <c r="BE84" s="156"/>
      <c r="BF84" s="156"/>
      <c r="BG84" s="153"/>
      <c r="BH84" s="153"/>
      <c r="BI84" s="156"/>
      <c r="BJ84" s="156"/>
      <c r="BK84" s="153"/>
      <c r="BL84" s="153"/>
      <c r="BM84" s="156">
        <f t="shared" si="66"/>
        <v>0</v>
      </c>
      <c r="BN84" s="156"/>
      <c r="BO84" s="153"/>
      <c r="BP84" s="153"/>
      <c r="BQ84" s="156">
        <f t="shared" si="67"/>
        <v>0</v>
      </c>
      <c r="BR84" s="156"/>
      <c r="BS84" s="153"/>
      <c r="BT84" s="153"/>
      <c r="BU84" s="156"/>
      <c r="BV84" s="156"/>
      <c r="BW84" s="153"/>
      <c r="BX84" s="153"/>
      <c r="BY84" s="156"/>
      <c r="BZ84" s="156"/>
      <c r="CA84" s="153"/>
      <c r="CB84" s="153"/>
      <c r="CC84" s="156"/>
      <c r="CD84" s="156"/>
      <c r="CE84" s="153"/>
      <c r="CF84" s="153"/>
      <c r="CG84" s="156"/>
      <c r="CH84" s="226" t="e">
        <f t="shared" si="92"/>
        <v>#DIV/0!</v>
      </c>
      <c r="CI84" s="153"/>
      <c r="CJ84" s="153"/>
      <c r="CK84" s="156"/>
      <c r="CL84" s="222"/>
      <c r="CM84" s="222"/>
      <c r="CN84" s="222"/>
      <c r="CO84" s="222"/>
      <c r="CP84" s="222"/>
      <c r="CQ84" s="14"/>
      <c r="CR84" s="14"/>
      <c r="CS84" s="261"/>
      <c r="CT84" s="262"/>
      <c r="CU84" s="13"/>
      <c r="CV84" s="13"/>
      <c r="CW84" s="261"/>
      <c r="CX84" s="262"/>
      <c r="CY84" s="13"/>
      <c r="CZ84" s="13"/>
      <c r="DA84" s="261"/>
      <c r="DB84" s="262"/>
    </row>
    <row r="85" spans="1:106" ht="14.25" customHeight="1">
      <c r="A85" s="334"/>
      <c r="B85" s="333" t="s">
        <v>360</v>
      </c>
      <c r="C85" s="225">
        <v>21.1</v>
      </c>
      <c r="D85" s="153">
        <f t="shared" si="98"/>
        <v>21.07</v>
      </c>
      <c r="E85" s="153">
        <f>I85+M85+Q85+U85+Y85+AJ85+AN85+AR85+AV85+BD85+BH85+BX85+CF85+CJ85+CN85+CR85+CV85+CZ85+AZ85+BL85+BT85</f>
        <v>21.07</v>
      </c>
      <c r="F85" s="192">
        <f t="shared" si="69"/>
        <v>0</v>
      </c>
      <c r="G85" s="192">
        <f t="shared" si="96"/>
        <v>1</v>
      </c>
      <c r="H85" s="153"/>
      <c r="I85" s="153"/>
      <c r="J85" s="156">
        <f t="shared" si="70"/>
        <v>0</v>
      </c>
      <c r="K85" s="193"/>
      <c r="L85" s="153"/>
      <c r="M85" s="153"/>
      <c r="N85" s="156">
        <f>M85-L85</f>
        <v>0</v>
      </c>
      <c r="O85" s="156"/>
      <c r="P85" s="153"/>
      <c r="Q85" s="153"/>
      <c r="R85" s="156">
        <f>Q85-P85</f>
        <v>0</v>
      </c>
      <c r="S85" s="156"/>
      <c r="T85" s="153"/>
      <c r="U85" s="153"/>
      <c r="V85" s="156">
        <f>U85-T85</f>
        <v>0</v>
      </c>
      <c r="W85" s="156"/>
      <c r="X85" s="153">
        <f t="shared" si="74"/>
        <v>0</v>
      </c>
      <c r="Y85" s="153">
        <f t="shared" si="74"/>
        <v>0</v>
      </c>
      <c r="Z85" s="156">
        <f>Y85-X85</f>
        <v>0</v>
      </c>
      <c r="AA85" s="156"/>
      <c r="AB85" s="153"/>
      <c r="AC85" s="153"/>
      <c r="AD85" s="156">
        <f>AC85-AB85</f>
        <v>0</v>
      </c>
      <c r="AE85" s="156"/>
      <c r="AF85" s="153"/>
      <c r="AG85" s="153"/>
      <c r="AH85" s="156">
        <f>AG85-AF85</f>
        <v>0</v>
      </c>
      <c r="AI85" s="153"/>
      <c r="AJ85" s="153"/>
      <c r="AK85" s="156">
        <f t="shared" si="99"/>
        <v>0</v>
      </c>
      <c r="AL85" s="156"/>
      <c r="AM85" s="153"/>
      <c r="AN85" s="153"/>
      <c r="AO85" s="156">
        <f>AN85-AM85</f>
        <v>0</v>
      </c>
      <c r="AP85" s="156"/>
      <c r="AQ85" s="156"/>
      <c r="AR85" s="156"/>
      <c r="AS85" s="156">
        <f>AR85-AQ85</f>
        <v>0</v>
      </c>
      <c r="AT85" s="156"/>
      <c r="AU85" s="158">
        <v>21.07</v>
      </c>
      <c r="AV85" s="158">
        <v>21.07</v>
      </c>
      <c r="AW85" s="156">
        <f>AV85-AU85</f>
        <v>0</v>
      </c>
      <c r="AX85" s="156">
        <f>AV85/AU85</f>
        <v>1</v>
      </c>
      <c r="AY85" s="153"/>
      <c r="AZ85" s="153"/>
      <c r="BA85" s="156">
        <f>AZ85-AY85</f>
        <v>0</v>
      </c>
      <c r="BB85" s="156"/>
      <c r="BC85" s="153"/>
      <c r="BD85" s="153"/>
      <c r="BE85" s="156">
        <f>BD85-BC85</f>
        <v>0</v>
      </c>
      <c r="BF85" s="156"/>
      <c r="BG85" s="153"/>
      <c r="BH85" s="153"/>
      <c r="BI85" s="156">
        <f>BH85-BG85</f>
        <v>0</v>
      </c>
      <c r="BJ85" s="156"/>
      <c r="BK85" s="153"/>
      <c r="BL85" s="153"/>
      <c r="BM85" s="156">
        <f t="shared" si="66"/>
        <v>0</v>
      </c>
      <c r="BN85" s="156"/>
      <c r="BO85" s="153"/>
      <c r="BP85" s="153"/>
      <c r="BQ85" s="156">
        <f t="shared" si="67"/>
        <v>0</v>
      </c>
      <c r="BR85" s="156"/>
      <c r="BS85" s="153"/>
      <c r="BT85" s="153"/>
      <c r="BU85" s="156">
        <f t="shared" ref="BU85:BU90" si="100">BT85-BS85</f>
        <v>0</v>
      </c>
      <c r="BV85" s="156"/>
      <c r="BW85" s="153"/>
      <c r="BX85" s="153"/>
      <c r="BY85" s="156">
        <f>BX85-BW85</f>
        <v>0</v>
      </c>
      <c r="BZ85" s="156"/>
      <c r="CA85" s="153"/>
      <c r="CB85" s="153"/>
      <c r="CC85" s="156">
        <f t="shared" ref="CC85:CC90" si="101">CB85-CA85</f>
        <v>0</v>
      </c>
      <c r="CD85" s="156"/>
      <c r="CE85" s="153"/>
      <c r="CF85" s="153"/>
      <c r="CG85" s="156">
        <f>CF85-CE85</f>
        <v>0</v>
      </c>
      <c r="CH85" s="156"/>
      <c r="CI85" s="153"/>
      <c r="CJ85" s="153"/>
      <c r="CK85" s="156">
        <f>CJ85-CI85</f>
        <v>0</v>
      </c>
      <c r="CL85" s="222"/>
      <c r="CM85" s="222"/>
      <c r="CN85" s="222"/>
      <c r="CO85" s="222">
        <f>CN85-CM85</f>
        <v>0</v>
      </c>
      <c r="CP85" s="222"/>
      <c r="CQ85" s="14"/>
      <c r="CR85" s="14"/>
      <c r="CS85" s="261">
        <f>CR85-CQ85</f>
        <v>0</v>
      </c>
      <c r="CT85" s="262"/>
      <c r="CU85" s="13"/>
      <c r="CV85" s="13"/>
      <c r="CW85" s="261">
        <f>CV85-CU85</f>
        <v>0</v>
      </c>
      <c r="CX85" s="262"/>
      <c r="CY85" s="13"/>
      <c r="CZ85" s="13"/>
      <c r="DA85" s="261">
        <f t="shared" ref="DA85:DA90" si="102">CZ85-CY85</f>
        <v>0</v>
      </c>
      <c r="DB85" s="262"/>
    </row>
    <row r="86" spans="1:106" ht="14.25" customHeight="1">
      <c r="A86" s="371"/>
      <c r="B86" s="333" t="s">
        <v>701</v>
      </c>
      <c r="C86" s="339">
        <v>4.0999999999999996</v>
      </c>
      <c r="D86" s="153">
        <f t="shared" si="98"/>
        <v>115.15300000000001</v>
      </c>
      <c r="E86" s="153">
        <f>I86+M86+Q86+U86+Y86+AJ86+AN86+AR86+AV86+BD86+BH86+BX86+CF86+CJ86+CN86+CR86+CV86+CZ86+BL86+BT86</f>
        <v>101.821</v>
      </c>
      <c r="F86" s="192">
        <f t="shared" si="69"/>
        <v>-13.332000000000008</v>
      </c>
      <c r="G86" s="192">
        <f>E86/D86</f>
        <v>0.884223598169392</v>
      </c>
      <c r="H86" s="153">
        <v>115.15300000000001</v>
      </c>
      <c r="I86" s="153">
        <v>101.821</v>
      </c>
      <c r="J86" s="156">
        <f>I86-H86</f>
        <v>-13.332000000000008</v>
      </c>
      <c r="K86" s="156"/>
      <c r="L86" s="153"/>
      <c r="M86" s="153"/>
      <c r="N86" s="156"/>
      <c r="O86" s="156"/>
      <c r="P86" s="153"/>
      <c r="Q86" s="153"/>
      <c r="R86" s="156"/>
      <c r="S86" s="156"/>
      <c r="T86" s="153"/>
      <c r="U86" s="153"/>
      <c r="V86" s="156"/>
      <c r="W86" s="156"/>
      <c r="X86" s="153">
        <f>AB86</f>
        <v>0</v>
      </c>
      <c r="Y86" s="153">
        <f>AC86</f>
        <v>0</v>
      </c>
      <c r="Z86" s="156"/>
      <c r="AA86" s="156"/>
      <c r="AB86" s="153"/>
      <c r="AC86" s="153"/>
      <c r="AD86" s="156"/>
      <c r="AE86" s="156" t="e">
        <f>AC86/AB86</f>
        <v>#DIV/0!</v>
      </c>
      <c r="AF86" s="153"/>
      <c r="AG86" s="153"/>
      <c r="AH86" s="156"/>
      <c r="AI86" s="153"/>
      <c r="AJ86" s="153"/>
      <c r="AK86" s="156">
        <f t="shared" si="99"/>
        <v>0</v>
      </c>
      <c r="AL86" s="156"/>
      <c r="AM86" s="153"/>
      <c r="AN86" s="153"/>
      <c r="AO86" s="156"/>
      <c r="AP86" s="156"/>
      <c r="AQ86" s="153"/>
      <c r="AR86" s="153"/>
      <c r="AS86" s="156"/>
      <c r="AT86" s="156"/>
      <c r="AU86" s="153"/>
      <c r="AV86" s="153"/>
      <c r="AW86" s="156"/>
      <c r="AX86" s="156"/>
      <c r="AY86" s="153"/>
      <c r="AZ86" s="153"/>
      <c r="BA86" s="156"/>
      <c r="BB86" s="156"/>
      <c r="BC86" s="153"/>
      <c r="BD86" s="153"/>
      <c r="BE86" s="156"/>
      <c r="BF86" s="156"/>
      <c r="BG86" s="153"/>
      <c r="BH86" s="153"/>
      <c r="BI86" s="156"/>
      <c r="BJ86" s="156"/>
      <c r="BK86" s="153"/>
      <c r="BL86" s="153"/>
      <c r="BM86" s="156">
        <f>BL86-BK86</f>
        <v>0</v>
      </c>
      <c r="BN86" s="156"/>
      <c r="BO86" s="153"/>
      <c r="BP86" s="153"/>
      <c r="BQ86" s="156">
        <f>BP86-BO86</f>
        <v>0</v>
      </c>
      <c r="BR86" s="156"/>
      <c r="BS86" s="153"/>
      <c r="BT86" s="153"/>
      <c r="BU86" s="156">
        <f>BT86-BS86</f>
        <v>0</v>
      </c>
      <c r="BV86" s="156"/>
      <c r="BW86" s="153"/>
      <c r="BX86" s="153"/>
      <c r="BY86" s="156"/>
      <c r="BZ86" s="156"/>
      <c r="CA86" s="153"/>
      <c r="CB86" s="153"/>
      <c r="CC86" s="156">
        <f>CB86-CA86</f>
        <v>0</v>
      </c>
      <c r="CD86" s="156"/>
      <c r="CE86" s="153"/>
      <c r="CF86" s="153"/>
      <c r="CG86" s="156"/>
      <c r="CH86" s="156"/>
      <c r="CI86" s="153"/>
      <c r="CJ86" s="153"/>
      <c r="CK86" s="156"/>
      <c r="CL86" s="222"/>
      <c r="CM86" s="16"/>
      <c r="CN86" s="16"/>
      <c r="CO86" s="222">
        <f>CN86-CM86</f>
        <v>0</v>
      </c>
      <c r="CP86" s="222"/>
      <c r="CQ86" s="13"/>
      <c r="CR86" s="13"/>
      <c r="CS86" s="261"/>
      <c r="CT86" s="262"/>
      <c r="CU86" s="13"/>
      <c r="CV86" s="13"/>
      <c r="CW86" s="261"/>
      <c r="CX86" s="262"/>
      <c r="CY86" s="13"/>
      <c r="CZ86" s="13"/>
      <c r="DA86" s="261">
        <f>CZ86-CY86</f>
        <v>0</v>
      </c>
      <c r="DB86" s="262"/>
    </row>
    <row r="87" spans="1:106" ht="14.25" hidden="1" customHeight="1">
      <c r="A87" s="334"/>
      <c r="B87" s="334" t="s">
        <v>553</v>
      </c>
      <c r="C87" s="153"/>
      <c r="D87" s="153">
        <v>0</v>
      </c>
      <c r="E87" s="250">
        <f>I87+M87+Q87+U87+Y87+AJ87+AN87+AR87+AV87+BD87+BH87+BX87+CF87+CJ87+CN87+CR87+CV87+CZ87+AZ87+BL87+BT87</f>
        <v>0</v>
      </c>
      <c r="F87" s="192">
        <f t="shared" si="69"/>
        <v>0</v>
      </c>
      <c r="G87" s="192" t="e">
        <f>E87/D87</f>
        <v>#DIV/0!</v>
      </c>
      <c r="H87" s="153"/>
      <c r="I87" s="153"/>
      <c r="J87" s="156">
        <f>I87-H87</f>
        <v>0</v>
      </c>
      <c r="K87" s="193"/>
      <c r="L87" s="153"/>
      <c r="M87" s="153"/>
      <c r="N87" s="156">
        <f>M87-L87</f>
        <v>0</v>
      </c>
      <c r="O87" s="156"/>
      <c r="P87" s="153"/>
      <c r="Q87" s="153"/>
      <c r="R87" s="156">
        <f>Q87-P87</f>
        <v>0</v>
      </c>
      <c r="S87" s="156"/>
      <c r="T87" s="153"/>
      <c r="U87" s="153"/>
      <c r="V87" s="156">
        <f>U87-T87</f>
        <v>0</v>
      </c>
      <c r="W87" s="156"/>
      <c r="X87" s="153">
        <f>AB87</f>
        <v>0</v>
      </c>
      <c r="Y87" s="153">
        <f>AC87</f>
        <v>0</v>
      </c>
      <c r="Z87" s="156">
        <f>Y87-X87</f>
        <v>0</v>
      </c>
      <c r="AA87" s="156"/>
      <c r="AB87" s="153"/>
      <c r="AC87" s="153"/>
      <c r="AD87" s="156">
        <f>AC87-AB87</f>
        <v>0</v>
      </c>
      <c r="AE87" s="156"/>
      <c r="AF87" s="153"/>
      <c r="AG87" s="153"/>
      <c r="AH87" s="156">
        <f>AG87-AF87</f>
        <v>0</v>
      </c>
      <c r="AI87" s="153"/>
      <c r="AJ87" s="153"/>
      <c r="AK87" s="156">
        <f t="shared" si="99"/>
        <v>0</v>
      </c>
      <c r="AL87" s="156"/>
      <c r="AM87" s="153"/>
      <c r="AN87" s="153"/>
      <c r="AO87" s="156">
        <f>AN87-AM87</f>
        <v>0</v>
      </c>
      <c r="AP87" s="156"/>
      <c r="AQ87" s="156"/>
      <c r="AR87" s="156"/>
      <c r="AS87" s="156">
        <f>AR87-AQ87</f>
        <v>0</v>
      </c>
      <c r="AT87" s="156"/>
      <c r="AU87" s="153"/>
      <c r="AV87" s="153"/>
      <c r="AW87" s="156">
        <f>AV87-AU87</f>
        <v>0</v>
      </c>
      <c r="AX87" s="156"/>
      <c r="AY87" s="153"/>
      <c r="AZ87" s="153"/>
      <c r="BA87" s="156">
        <f>AZ87-AY87</f>
        <v>0</v>
      </c>
      <c r="BB87" s="156"/>
      <c r="BC87" s="153"/>
      <c r="BD87" s="153"/>
      <c r="BE87" s="156">
        <f>BD87-BC87</f>
        <v>0</v>
      </c>
      <c r="BF87" s="156"/>
      <c r="BG87" s="153"/>
      <c r="BH87" s="153"/>
      <c r="BI87" s="156">
        <f>BH87-BG87</f>
        <v>0</v>
      </c>
      <c r="BJ87" s="156"/>
      <c r="BK87" s="153"/>
      <c r="BL87" s="153"/>
      <c r="BM87" s="156">
        <f>BL87-BK87</f>
        <v>0</v>
      </c>
      <c r="BN87" s="156"/>
      <c r="BO87" s="153"/>
      <c r="BP87" s="153"/>
      <c r="BQ87" s="156">
        <f>BP87-BO87</f>
        <v>0</v>
      </c>
      <c r="BR87" s="156"/>
      <c r="BS87" s="153"/>
      <c r="BT87" s="153"/>
      <c r="BU87" s="156">
        <f t="shared" si="100"/>
        <v>0</v>
      </c>
      <c r="BV87" s="156"/>
      <c r="BW87" s="153"/>
      <c r="BX87" s="153"/>
      <c r="BY87" s="156">
        <f>BX87-BW87</f>
        <v>0</v>
      </c>
      <c r="BZ87" s="156"/>
      <c r="CA87" s="153"/>
      <c r="CB87" s="153"/>
      <c r="CC87" s="156">
        <f t="shared" si="101"/>
        <v>0</v>
      </c>
      <c r="CD87" s="156"/>
      <c r="CE87" s="153"/>
      <c r="CF87" s="153"/>
      <c r="CG87" s="156">
        <f>CF87-CE87</f>
        <v>0</v>
      </c>
      <c r="CH87" s="156"/>
      <c r="CI87" s="153">
        <v>0.56000000000000005</v>
      </c>
      <c r="CJ87" s="153"/>
      <c r="CK87" s="156">
        <f>CJ87-CI87</f>
        <v>-0.56000000000000005</v>
      </c>
      <c r="CL87" s="222"/>
      <c r="CM87" s="222"/>
      <c r="CN87" s="222"/>
      <c r="CO87" s="222">
        <f>CN87-CM87</f>
        <v>0</v>
      </c>
      <c r="CP87" s="222"/>
      <c r="CQ87" s="14"/>
      <c r="CR87" s="14"/>
      <c r="CS87" s="261">
        <f>CR87-CQ87</f>
        <v>0</v>
      </c>
      <c r="CT87" s="262"/>
      <c r="CU87" s="13"/>
      <c r="CV87" s="13"/>
      <c r="CW87" s="261">
        <f>CV87-CU87</f>
        <v>0</v>
      </c>
      <c r="CX87" s="262"/>
      <c r="CY87" s="13"/>
      <c r="CZ87" s="13"/>
      <c r="DA87" s="261">
        <f t="shared" si="102"/>
        <v>0</v>
      </c>
      <c r="DB87" s="262"/>
    </row>
    <row r="88" spans="1:106" ht="14.25" customHeight="1">
      <c r="A88" s="334"/>
      <c r="B88" s="334" t="s">
        <v>361</v>
      </c>
      <c r="C88" s="153">
        <v>0</v>
      </c>
      <c r="D88" s="153">
        <f t="shared" si="98"/>
        <v>2.8839999999999999</v>
      </c>
      <c r="E88" s="250">
        <f>I88+M88+Q88+U88+Y88+AJ88+AN88+AR88+AV88+BD88+BH88+BX88+CF88+CJ88+CN88+CR88+CV88+CZ88+AZ88+BL88+BT88</f>
        <v>371.18150000000003</v>
      </c>
      <c r="F88" s="192">
        <f t="shared" si="69"/>
        <v>368.29750000000001</v>
      </c>
      <c r="G88" s="192">
        <f t="shared" si="96"/>
        <v>128.70371012482664</v>
      </c>
      <c r="H88" s="153"/>
      <c r="I88" s="153">
        <v>371.18150000000003</v>
      </c>
      <c r="J88" s="156">
        <f t="shared" si="70"/>
        <v>371.18150000000003</v>
      </c>
      <c r="K88" s="193"/>
      <c r="L88" s="153"/>
      <c r="M88" s="153"/>
      <c r="N88" s="156">
        <f>M88-L88</f>
        <v>0</v>
      </c>
      <c r="O88" s="156"/>
      <c r="P88" s="153">
        <v>2.8839999999999999</v>
      </c>
      <c r="Q88" s="153"/>
      <c r="R88" s="156">
        <f>Q88-P88</f>
        <v>-2.8839999999999999</v>
      </c>
      <c r="S88" s="156"/>
      <c r="T88" s="153"/>
      <c r="U88" s="153"/>
      <c r="V88" s="156">
        <f>U88-T88</f>
        <v>0</v>
      </c>
      <c r="W88" s="156"/>
      <c r="X88" s="153">
        <f t="shared" si="74"/>
        <v>0</v>
      </c>
      <c r="Y88" s="153">
        <f t="shared" si="74"/>
        <v>0</v>
      </c>
      <c r="Z88" s="156">
        <f>Y88-X88</f>
        <v>0</v>
      </c>
      <c r="AA88" s="156"/>
      <c r="AB88" s="153"/>
      <c r="AC88" s="153"/>
      <c r="AD88" s="156">
        <f>AC88-AB88</f>
        <v>0</v>
      </c>
      <c r="AE88" s="156"/>
      <c r="AF88" s="153"/>
      <c r="AG88" s="153"/>
      <c r="AH88" s="156">
        <f>AG88-AF88</f>
        <v>0</v>
      </c>
      <c r="AI88" s="153"/>
      <c r="AJ88" s="153"/>
      <c r="AK88" s="156">
        <f t="shared" si="99"/>
        <v>0</v>
      </c>
      <c r="AL88" s="156"/>
      <c r="AM88" s="153"/>
      <c r="AN88" s="153"/>
      <c r="AO88" s="156">
        <f>AN88-AM88</f>
        <v>0</v>
      </c>
      <c r="AP88" s="156"/>
      <c r="AQ88" s="156"/>
      <c r="AR88" s="156"/>
      <c r="AS88" s="156">
        <f>AR88-AQ88</f>
        <v>0</v>
      </c>
      <c r="AT88" s="156"/>
      <c r="AU88" s="153"/>
      <c r="AV88" s="153"/>
      <c r="AW88" s="156">
        <f>AV88-AU88</f>
        <v>0</v>
      </c>
      <c r="AX88" s="156"/>
      <c r="AY88" s="153"/>
      <c r="AZ88" s="153"/>
      <c r="BA88" s="156">
        <f>AZ88-AY88</f>
        <v>0</v>
      </c>
      <c r="BB88" s="156"/>
      <c r="BC88" s="153"/>
      <c r="BD88" s="153"/>
      <c r="BE88" s="156">
        <f>BD88-BC88</f>
        <v>0</v>
      </c>
      <c r="BF88" s="156"/>
      <c r="BG88" s="153"/>
      <c r="BH88" s="153"/>
      <c r="BI88" s="156">
        <f>BH88-BG88</f>
        <v>0</v>
      </c>
      <c r="BJ88" s="156"/>
      <c r="BK88" s="153"/>
      <c r="BL88" s="153"/>
      <c r="BM88" s="156">
        <f t="shared" si="66"/>
        <v>0</v>
      </c>
      <c r="BN88" s="156"/>
      <c r="BO88" s="153"/>
      <c r="BP88" s="153"/>
      <c r="BQ88" s="156">
        <f t="shared" si="67"/>
        <v>0</v>
      </c>
      <c r="BR88" s="156"/>
      <c r="BS88" s="153"/>
      <c r="BT88" s="153"/>
      <c r="BU88" s="156">
        <f t="shared" si="100"/>
        <v>0</v>
      </c>
      <c r="BV88" s="156"/>
      <c r="BW88" s="153"/>
      <c r="BX88" s="153"/>
      <c r="BY88" s="156">
        <f>BX88-BW88</f>
        <v>0</v>
      </c>
      <c r="BZ88" s="156"/>
      <c r="CA88" s="153"/>
      <c r="CB88" s="153"/>
      <c r="CC88" s="156">
        <f t="shared" si="101"/>
        <v>0</v>
      </c>
      <c r="CD88" s="156"/>
      <c r="CE88" s="153"/>
      <c r="CF88" s="153"/>
      <c r="CG88" s="156">
        <f>CF88-CE88</f>
        <v>0</v>
      </c>
      <c r="CH88" s="156"/>
      <c r="CI88" s="153"/>
      <c r="CJ88" s="153"/>
      <c r="CK88" s="156">
        <f>CJ88-CI88</f>
        <v>0</v>
      </c>
      <c r="CL88" s="222"/>
      <c r="CM88" s="222"/>
      <c r="CN88" s="222"/>
      <c r="CO88" s="222">
        <f>CN88-CM88</f>
        <v>0</v>
      </c>
      <c r="CP88" s="222"/>
      <c r="CQ88" s="14"/>
      <c r="CR88" s="14"/>
      <c r="CS88" s="261">
        <f>CR88-CQ88</f>
        <v>0</v>
      </c>
      <c r="CT88" s="262"/>
      <c r="CU88" s="13"/>
      <c r="CV88" s="13"/>
      <c r="CW88" s="261">
        <f>CV88-CU88</f>
        <v>0</v>
      </c>
      <c r="CX88" s="262"/>
      <c r="CY88" s="13"/>
      <c r="CZ88" s="13"/>
      <c r="DA88" s="261">
        <f t="shared" si="102"/>
        <v>0</v>
      </c>
      <c r="DB88" s="262"/>
    </row>
    <row r="89" spans="1:106" s="326" customFormat="1" ht="14.25" customHeight="1">
      <c r="A89" s="369" t="s">
        <v>362</v>
      </c>
      <c r="B89" s="330" t="s">
        <v>363</v>
      </c>
      <c r="C89" s="193">
        <f>SUM(C91:C136)</f>
        <v>4042.0600000000009</v>
      </c>
      <c r="D89" s="193">
        <f>SUM(D91:D136)</f>
        <v>6251.0408499999994</v>
      </c>
      <c r="E89" s="193">
        <f>SUM(E91:E136)</f>
        <v>4140.3177700000006</v>
      </c>
      <c r="F89" s="331">
        <f>SUM(F91:F136)</f>
        <v>-2110.7230799999998</v>
      </c>
      <c r="G89" s="331">
        <f>E89/D89</f>
        <v>0.66234053965588802</v>
      </c>
      <c r="H89" s="193">
        <f>SUM(H91:H136)</f>
        <v>1136.6697999999997</v>
      </c>
      <c r="I89" s="193">
        <f>SUM(I91:I136)</f>
        <v>1359.2348</v>
      </c>
      <c r="J89" s="193">
        <f>SUM(J91:J136)</f>
        <v>222.56500000000014</v>
      </c>
      <c r="K89" s="193">
        <f>I89/H89</f>
        <v>1.1958044455830534</v>
      </c>
      <c r="L89" s="193">
        <f>SUM(L91:L136)</f>
        <v>35.414000000000001</v>
      </c>
      <c r="M89" s="193">
        <f t="shared" ref="M89:CF89" si="103">SUM(M91:M136)</f>
        <v>64.039000000000001</v>
      </c>
      <c r="N89" s="193">
        <f t="shared" si="103"/>
        <v>28.625</v>
      </c>
      <c r="O89" s="193">
        <f>M89/L89</f>
        <v>1.8082961540633646</v>
      </c>
      <c r="P89" s="193">
        <f>SUM(P91:P136)</f>
        <v>71.853049999999996</v>
      </c>
      <c r="Q89" s="193">
        <f t="shared" si="103"/>
        <v>110.31</v>
      </c>
      <c r="R89" s="193">
        <f t="shared" si="103"/>
        <v>38.456950000000006</v>
      </c>
      <c r="S89" s="193">
        <f>Q89/P89</f>
        <v>1.5352166679076256</v>
      </c>
      <c r="T89" s="193">
        <f>SUM(T91:T136)</f>
        <v>91.206000000000003</v>
      </c>
      <c r="U89" s="193">
        <f t="shared" si="103"/>
        <v>91.206000000000003</v>
      </c>
      <c r="V89" s="193">
        <f t="shared" si="103"/>
        <v>0</v>
      </c>
      <c r="W89" s="193">
        <f>U89/T89</f>
        <v>1</v>
      </c>
      <c r="X89" s="193">
        <f>SUM(X91:X136)</f>
        <v>0</v>
      </c>
      <c r="Y89" s="193">
        <f t="shared" si="103"/>
        <v>0</v>
      </c>
      <c r="Z89" s="193">
        <f t="shared" si="103"/>
        <v>0</v>
      </c>
      <c r="AA89" s="193" t="e">
        <f t="shared" si="103"/>
        <v>#DIV/0!</v>
      </c>
      <c r="AB89" s="193">
        <f>SUM(AB91:AB136)</f>
        <v>0</v>
      </c>
      <c r="AC89" s="193">
        <f t="shared" si="103"/>
        <v>0</v>
      </c>
      <c r="AD89" s="193">
        <f t="shared" si="103"/>
        <v>0</v>
      </c>
      <c r="AE89" s="193" t="e">
        <f t="shared" si="103"/>
        <v>#DIV/0!</v>
      </c>
      <c r="AF89" s="193">
        <f>SUM(AF91:AF136)</f>
        <v>0</v>
      </c>
      <c r="AG89" s="193">
        <f t="shared" si="103"/>
        <v>0</v>
      </c>
      <c r="AH89" s="193">
        <f t="shared" si="103"/>
        <v>0</v>
      </c>
      <c r="AI89" s="193">
        <f>SUM(AI91:AI136)</f>
        <v>927.63400000000001</v>
      </c>
      <c r="AJ89" s="193">
        <f t="shared" si="103"/>
        <v>751.63599999999997</v>
      </c>
      <c r="AK89" s="193">
        <f t="shared" si="103"/>
        <v>-175.99799999999999</v>
      </c>
      <c r="AL89" s="193">
        <f>AJ89/AI89</f>
        <v>0.81027215475068826</v>
      </c>
      <c r="AM89" s="193">
        <f>SUM(AM91:AM136)</f>
        <v>0</v>
      </c>
      <c r="AN89" s="193">
        <f t="shared" si="103"/>
        <v>0</v>
      </c>
      <c r="AO89" s="193">
        <f t="shared" si="103"/>
        <v>0</v>
      </c>
      <c r="AP89" s="193" t="e">
        <f>AN89/AM89</f>
        <v>#DIV/0!</v>
      </c>
      <c r="AQ89" s="193">
        <f t="shared" si="103"/>
        <v>0</v>
      </c>
      <c r="AR89" s="193">
        <f t="shared" si="103"/>
        <v>0</v>
      </c>
      <c r="AS89" s="193">
        <f t="shared" si="103"/>
        <v>0</v>
      </c>
      <c r="AT89" s="193" t="e">
        <f>AR89/AQ89</f>
        <v>#DIV/0!</v>
      </c>
      <c r="AU89" s="193">
        <f>SUM(AU91:AU136)</f>
        <v>0</v>
      </c>
      <c r="AV89" s="193">
        <f t="shared" si="103"/>
        <v>0</v>
      </c>
      <c r="AW89" s="193">
        <f t="shared" si="103"/>
        <v>0</v>
      </c>
      <c r="AX89" s="193" t="e">
        <f>AV89/AU89</f>
        <v>#DIV/0!</v>
      </c>
      <c r="AY89" s="193">
        <f t="shared" si="103"/>
        <v>0</v>
      </c>
      <c r="AZ89" s="193">
        <f t="shared" si="103"/>
        <v>0</v>
      </c>
      <c r="BA89" s="193">
        <f t="shared" si="103"/>
        <v>0</v>
      </c>
      <c r="BB89" s="193" t="e">
        <f t="shared" si="103"/>
        <v>#DIV/0!</v>
      </c>
      <c r="BC89" s="193">
        <f>SUM(BC91:BC136)</f>
        <v>0</v>
      </c>
      <c r="BD89" s="193">
        <f t="shared" si="103"/>
        <v>0</v>
      </c>
      <c r="BE89" s="193">
        <f t="shared" si="103"/>
        <v>0</v>
      </c>
      <c r="BF89" s="193" t="e">
        <f t="shared" si="103"/>
        <v>#DIV/0!</v>
      </c>
      <c r="BG89" s="193">
        <f>SUM(BG91:BG136)</f>
        <v>0</v>
      </c>
      <c r="BH89" s="193">
        <f t="shared" si="103"/>
        <v>0</v>
      </c>
      <c r="BI89" s="193">
        <f t="shared" si="103"/>
        <v>0</v>
      </c>
      <c r="BJ89" s="193" t="e">
        <f t="shared" si="103"/>
        <v>#DIV/0!</v>
      </c>
      <c r="BK89" s="193">
        <f>SUM(BK92:BK136)</f>
        <v>3.3</v>
      </c>
      <c r="BL89" s="193">
        <f>SUM(BL92:BL136)</f>
        <v>109.62766999999999</v>
      </c>
      <c r="BM89" s="156">
        <f t="shared" si="66"/>
        <v>106.32767</v>
      </c>
      <c r="BN89" s="226">
        <f>BL89/BK89</f>
        <v>33.220506060606063</v>
      </c>
      <c r="BO89" s="193">
        <f>SUM(BO92:BO136)</f>
        <v>55.01</v>
      </c>
      <c r="BP89" s="193">
        <f>SUM(BP92:BP136)</f>
        <v>18.728999999999999</v>
      </c>
      <c r="BQ89" s="156">
        <f t="shared" si="67"/>
        <v>-36.280999999999999</v>
      </c>
      <c r="BR89" s="226">
        <f>BP89/BO89</f>
        <v>0.34046536993273951</v>
      </c>
      <c r="BS89" s="193">
        <f>SUM(BS92:BS136)</f>
        <v>0</v>
      </c>
      <c r="BT89" s="193">
        <f>SUM(BT92:BT136)</f>
        <v>0</v>
      </c>
      <c r="BU89" s="156">
        <f t="shared" si="100"/>
        <v>0</v>
      </c>
      <c r="BV89" s="226" t="e">
        <f>BT89/BS89</f>
        <v>#DIV/0!</v>
      </c>
      <c r="BW89" s="193">
        <f>SUM(BW91:BW136)</f>
        <v>0</v>
      </c>
      <c r="BX89" s="193">
        <f t="shared" si="103"/>
        <v>0</v>
      </c>
      <c r="BY89" s="193">
        <f t="shared" si="103"/>
        <v>0</v>
      </c>
      <c r="BZ89" s="193" t="e">
        <f t="shared" si="103"/>
        <v>#DIV/0!</v>
      </c>
      <c r="CA89" s="193">
        <f>SUM(CA92:CA136)</f>
        <v>0</v>
      </c>
      <c r="CB89" s="193">
        <f>SUM(CB92:CB136)</f>
        <v>0</v>
      </c>
      <c r="CC89" s="156">
        <f t="shared" si="101"/>
        <v>0</v>
      </c>
      <c r="CD89" s="226"/>
      <c r="CE89" s="193">
        <f>SUM(CE91:CE136)</f>
        <v>3981.5639999999994</v>
      </c>
      <c r="CF89" s="193">
        <f t="shared" si="103"/>
        <v>1650.8643000000002</v>
      </c>
      <c r="CG89" s="193">
        <f t="shared" ref="CG89:CO89" si="104">SUM(CG91:CG136)</f>
        <v>-2332.8999999999996</v>
      </c>
      <c r="CH89" s="193">
        <f t="shared" si="104"/>
        <v>0.40309181604270594</v>
      </c>
      <c r="CI89" s="193">
        <f t="shared" si="104"/>
        <v>0</v>
      </c>
      <c r="CJ89" s="193">
        <f t="shared" si="104"/>
        <v>0</v>
      </c>
      <c r="CK89" s="193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63">
        <f t="shared" ref="CQ89:CV89" si="105">SUM(CQ91:CQ136)</f>
        <v>0</v>
      </c>
      <c r="CR89" s="263">
        <f t="shared" si="105"/>
        <v>0</v>
      </c>
      <c r="CS89" s="263">
        <f t="shared" si="105"/>
        <v>0</v>
      </c>
      <c r="CT89" s="263" t="e">
        <f t="shared" si="105"/>
        <v>#DIV/0!</v>
      </c>
      <c r="CU89" s="263">
        <f t="shared" si="105"/>
        <v>0</v>
      </c>
      <c r="CV89" s="263">
        <f t="shared" si="105"/>
        <v>0</v>
      </c>
      <c r="CW89" s="259"/>
      <c r="CX89" s="260"/>
      <c r="CY89" s="263">
        <f>SUM(CY92:CY136)</f>
        <v>0</v>
      </c>
      <c r="CZ89" s="263">
        <f>SUM(CZ92:CZ136)</f>
        <v>0</v>
      </c>
      <c r="DA89" s="261">
        <f t="shared" si="102"/>
        <v>0</v>
      </c>
      <c r="DB89" s="260"/>
    </row>
    <row r="90" spans="1:106" ht="14.25" hidden="1" customHeight="1">
      <c r="A90" s="371"/>
      <c r="B90" s="333" t="s">
        <v>364</v>
      </c>
      <c r="C90" s="225"/>
      <c r="D90" s="153">
        <f t="shared" ref="D90:E135" si="106">H90+L90+P90+T90+X90+AI90+AM90+AQ90+AU90+BC90+BG90+BW90+CE90+CI90+CM90+CQ90+CU90+CY90+AY90+BK90+BS90</f>
        <v>0</v>
      </c>
      <c r="E90" s="250">
        <f>I90+M90+Q90+U90+Y90+AJ90+AN90+AR90+AV90+BD90+BH90+BX90+CF90+CJ90+CN90+CR90+CV90+CZ90+BL90+BT90</f>
        <v>0</v>
      </c>
      <c r="F90" s="192">
        <f>E90-D90</f>
        <v>0</v>
      </c>
      <c r="G90" s="192" t="e">
        <f t="shared" si="96"/>
        <v>#DIV/0!</v>
      </c>
      <c r="H90" s="153"/>
      <c r="I90" s="153"/>
      <c r="J90" s="156">
        <f>I90-H90</f>
        <v>0</v>
      </c>
      <c r="K90" s="156"/>
      <c r="L90" s="153"/>
      <c r="M90" s="153"/>
      <c r="N90" s="156"/>
      <c r="O90" s="156"/>
      <c r="P90" s="153"/>
      <c r="Q90" s="153"/>
      <c r="R90" s="156"/>
      <c r="S90" s="156"/>
      <c r="T90" s="153"/>
      <c r="U90" s="153"/>
      <c r="V90" s="156"/>
      <c r="W90" s="156"/>
      <c r="X90" s="153">
        <f t="shared" ref="X90:Y129" si="107">AB90</f>
        <v>0</v>
      </c>
      <c r="Y90" s="153">
        <f t="shared" si="107"/>
        <v>0</v>
      </c>
      <c r="Z90" s="156"/>
      <c r="AA90" s="156"/>
      <c r="AB90" s="153"/>
      <c r="AC90" s="153"/>
      <c r="AD90" s="156">
        <f>AC90-AB90</f>
        <v>0</v>
      </c>
      <c r="AE90" s="156" t="e">
        <f>AC90/AB90</f>
        <v>#DIV/0!</v>
      </c>
      <c r="AF90" s="153"/>
      <c r="AG90" s="153"/>
      <c r="AH90" s="156"/>
      <c r="AI90" s="153"/>
      <c r="AJ90" s="153"/>
      <c r="AK90" s="156">
        <f>AJ90-AI90</f>
        <v>0</v>
      </c>
      <c r="AL90" s="156"/>
      <c r="AM90" s="153"/>
      <c r="AN90" s="153"/>
      <c r="AO90" s="156"/>
      <c r="AP90" s="156"/>
      <c r="AQ90" s="153"/>
      <c r="AR90" s="153"/>
      <c r="AS90" s="156">
        <f>AR90-AQ90</f>
        <v>0</v>
      </c>
      <c r="AT90" s="156"/>
      <c r="AU90" s="153"/>
      <c r="AV90" s="153"/>
      <c r="AW90" s="156"/>
      <c r="AX90" s="156"/>
      <c r="AY90" s="153"/>
      <c r="AZ90" s="153"/>
      <c r="BA90" s="156"/>
      <c r="BB90" s="156"/>
      <c r="BC90" s="153"/>
      <c r="BD90" s="153"/>
      <c r="BE90" s="156"/>
      <c r="BF90" s="156"/>
      <c r="BG90" s="153"/>
      <c r="BH90" s="153"/>
      <c r="BI90" s="156"/>
      <c r="BJ90" s="156"/>
      <c r="BK90" s="153"/>
      <c r="BL90" s="153"/>
      <c r="BM90" s="156">
        <f t="shared" si="66"/>
        <v>0</v>
      </c>
      <c r="BN90" s="156"/>
      <c r="BO90" s="153"/>
      <c r="BP90" s="153"/>
      <c r="BQ90" s="156">
        <f t="shared" si="67"/>
        <v>0</v>
      </c>
      <c r="BR90" s="156"/>
      <c r="BS90" s="153"/>
      <c r="BT90" s="153"/>
      <c r="BU90" s="156">
        <f t="shared" si="100"/>
        <v>0</v>
      </c>
      <c r="BV90" s="156"/>
      <c r="BW90" s="153"/>
      <c r="BX90" s="153"/>
      <c r="BY90" s="156"/>
      <c r="BZ90" s="156"/>
      <c r="CA90" s="153"/>
      <c r="CB90" s="153"/>
      <c r="CC90" s="156">
        <f t="shared" si="101"/>
        <v>0</v>
      </c>
      <c r="CD90" s="156"/>
      <c r="CE90" s="153"/>
      <c r="CF90" s="153"/>
      <c r="CG90" s="156"/>
      <c r="CH90" s="156"/>
      <c r="CI90" s="153"/>
      <c r="CJ90" s="153"/>
      <c r="CK90" s="156"/>
      <c r="CL90" s="222"/>
      <c r="CM90" s="16"/>
      <c r="CN90" s="16"/>
      <c r="CO90" s="222">
        <f>CN90-CM90</f>
        <v>0</v>
      </c>
      <c r="CP90" s="222"/>
      <c r="CQ90" s="13"/>
      <c r="CR90" s="13"/>
      <c r="CS90" s="261"/>
      <c r="CT90" s="262"/>
      <c r="CU90" s="13"/>
      <c r="CV90" s="13"/>
      <c r="CW90" s="261"/>
      <c r="CX90" s="262"/>
      <c r="CY90" s="13"/>
      <c r="CZ90" s="13"/>
      <c r="DA90" s="261">
        <f t="shared" si="102"/>
        <v>0</v>
      </c>
      <c r="DB90" s="262"/>
    </row>
    <row r="91" spans="1:106" ht="14.25" customHeight="1">
      <c r="A91" s="371"/>
      <c r="B91" s="333" t="s">
        <v>554</v>
      </c>
      <c r="C91" s="225">
        <v>583.20000000000005</v>
      </c>
      <c r="D91" s="153">
        <f t="shared" si="106"/>
        <v>778.18700000000001</v>
      </c>
      <c r="E91" s="153">
        <f>I91+M91+Q91+U91+Y91+AJ91+AN91+AR91+AV91+BD91+BH91+BX91+CF91+CJ91+CN91+CR91+CV91+CZ91+BL91+BT91</f>
        <v>780.38729999999998</v>
      </c>
      <c r="F91" s="192">
        <f t="shared" ref="F91:F123" si="108">E91-D91</f>
        <v>2.2002999999999702</v>
      </c>
      <c r="G91" s="192">
        <f t="shared" si="96"/>
        <v>1.0028274694899812</v>
      </c>
      <c r="H91" s="153"/>
      <c r="I91" s="153"/>
      <c r="J91" s="156"/>
      <c r="K91" s="156"/>
      <c r="L91" s="153"/>
      <c r="M91" s="153"/>
      <c r="N91" s="156">
        <f t="shared" ref="N91:N129" si="109">M91-L91</f>
        <v>0</v>
      </c>
      <c r="O91" s="156"/>
      <c r="P91" s="153"/>
      <c r="Q91" s="153"/>
      <c r="R91" s="156">
        <f t="shared" ref="R91:R129" si="110">Q91-P91</f>
        <v>0</v>
      </c>
      <c r="S91" s="156"/>
      <c r="T91" s="153"/>
      <c r="U91" s="153"/>
      <c r="V91" s="156">
        <f t="shared" ref="V91:V129" si="111">U91-T91</f>
        <v>0</v>
      </c>
      <c r="W91" s="156"/>
      <c r="X91" s="153">
        <f t="shared" si="107"/>
        <v>0</v>
      </c>
      <c r="Y91" s="153">
        <f t="shared" si="107"/>
        <v>0</v>
      </c>
      <c r="Z91" s="156"/>
      <c r="AA91" s="156"/>
      <c r="AB91" s="153"/>
      <c r="AC91" s="153"/>
      <c r="AD91" s="156"/>
      <c r="AE91" s="156"/>
      <c r="AF91" s="153"/>
      <c r="AG91" s="153"/>
      <c r="AH91" s="156"/>
      <c r="AI91" s="153">
        <v>751.63599999999997</v>
      </c>
      <c r="AJ91" s="153">
        <v>751.63599999999997</v>
      </c>
      <c r="AK91" s="156"/>
      <c r="AL91" s="156"/>
      <c r="AM91" s="153"/>
      <c r="AN91" s="153"/>
      <c r="AO91" s="156">
        <f t="shared" ref="AO91:AO139" si="112">AN91-AM91</f>
        <v>0</v>
      </c>
      <c r="AP91" s="156"/>
      <c r="AQ91" s="153"/>
      <c r="AR91" s="153"/>
      <c r="AS91" s="156"/>
      <c r="AT91" s="156"/>
      <c r="AU91" s="153"/>
      <c r="AV91" s="153"/>
      <c r="AW91" s="156"/>
      <c r="AX91" s="156"/>
      <c r="AY91" s="153"/>
      <c r="AZ91" s="153"/>
      <c r="BA91" s="156"/>
      <c r="BB91" s="156"/>
      <c r="BC91" s="153"/>
      <c r="BD91" s="153"/>
      <c r="BE91" s="156"/>
      <c r="BF91" s="156"/>
      <c r="BG91" s="153"/>
      <c r="BH91" s="153"/>
      <c r="BI91" s="156"/>
      <c r="BJ91" s="156"/>
      <c r="BK91" s="153"/>
      <c r="BL91" s="153"/>
      <c r="BM91" s="156"/>
      <c r="BN91" s="156"/>
      <c r="BO91" s="153"/>
      <c r="BP91" s="153"/>
      <c r="BQ91" s="156"/>
      <c r="BR91" s="156"/>
      <c r="BS91" s="153"/>
      <c r="BT91" s="153"/>
      <c r="BU91" s="156"/>
      <c r="BV91" s="156"/>
      <c r="BW91" s="153"/>
      <c r="BX91" s="153"/>
      <c r="BY91" s="156"/>
      <c r="BZ91" s="156"/>
      <c r="CA91" s="153"/>
      <c r="CB91" s="153"/>
      <c r="CC91" s="156"/>
      <c r="CD91" s="156"/>
      <c r="CE91" s="153">
        <v>26.550999999999998</v>
      </c>
      <c r="CF91" s="153">
        <v>28.751300000000001</v>
      </c>
      <c r="CG91" s="156"/>
      <c r="CH91" s="156"/>
      <c r="CI91" s="153"/>
      <c r="CJ91" s="153"/>
      <c r="CK91" s="156"/>
      <c r="CL91" s="222"/>
      <c r="CM91" s="16"/>
      <c r="CN91" s="16"/>
      <c r="CO91" s="222"/>
      <c r="CP91" s="222"/>
      <c r="CQ91" s="13"/>
      <c r="CR91" s="13"/>
      <c r="CS91" s="261"/>
      <c r="CT91" s="262"/>
      <c r="CU91" s="13"/>
      <c r="CV91" s="13"/>
      <c r="CW91" s="261"/>
      <c r="CX91" s="262"/>
      <c r="CY91" s="13"/>
      <c r="CZ91" s="13"/>
      <c r="DA91" s="261"/>
      <c r="DB91" s="262"/>
    </row>
    <row r="92" spans="1:106" ht="14.25" hidden="1" customHeight="1">
      <c r="A92" s="334"/>
      <c r="B92" s="334" t="s">
        <v>365</v>
      </c>
      <c r="C92" s="221"/>
      <c r="D92" s="153">
        <f t="shared" si="106"/>
        <v>0</v>
      </c>
      <c r="E92" s="250">
        <f>I92+M92+Q92+U92+Y92+AJ92+AN92+AR92+AV92+BD92+BH92+BX92+CF92+CJ92+CN92+CR92+CV92+CZ92+BL92+BT92</f>
        <v>0</v>
      </c>
      <c r="F92" s="192">
        <f t="shared" si="108"/>
        <v>0</v>
      </c>
      <c r="G92" s="192" t="e">
        <f t="shared" si="96"/>
        <v>#DIV/0!</v>
      </c>
      <c r="H92" s="153"/>
      <c r="I92" s="153"/>
      <c r="J92" s="156">
        <f t="shared" ref="J92:J139" si="113">I92-H92</f>
        <v>0</v>
      </c>
      <c r="K92" s="156"/>
      <c r="L92" s="153"/>
      <c r="M92" s="153"/>
      <c r="N92" s="156">
        <f t="shared" si="109"/>
        <v>0</v>
      </c>
      <c r="O92" s="156"/>
      <c r="P92" s="153"/>
      <c r="Q92" s="153"/>
      <c r="R92" s="156">
        <f t="shared" si="110"/>
        <v>0</v>
      </c>
      <c r="S92" s="156"/>
      <c r="T92" s="153"/>
      <c r="U92" s="153"/>
      <c r="V92" s="156">
        <f t="shared" si="111"/>
        <v>0</v>
      </c>
      <c r="W92" s="156"/>
      <c r="X92" s="153">
        <f t="shared" si="107"/>
        <v>0</v>
      </c>
      <c r="Y92" s="153">
        <f t="shared" si="107"/>
        <v>0</v>
      </c>
      <c r="Z92" s="156">
        <f t="shared" ref="Z92:Z129" si="114">Y92-X92</f>
        <v>0</v>
      </c>
      <c r="AA92" s="156"/>
      <c r="AB92" s="153"/>
      <c r="AC92" s="153"/>
      <c r="AD92" s="156">
        <f t="shared" ref="AD92:AD125" si="115">AC92-AB92</f>
        <v>0</v>
      </c>
      <c r="AE92" s="156" t="e">
        <f>AC92/AB92</f>
        <v>#DIV/0!</v>
      </c>
      <c r="AF92" s="153"/>
      <c r="AG92" s="153"/>
      <c r="AH92" s="156"/>
      <c r="AI92" s="153"/>
      <c r="AJ92" s="153"/>
      <c r="AK92" s="156">
        <f t="shared" ref="AK92:AK129" si="116">AJ92-AI92</f>
        <v>0</v>
      </c>
      <c r="AL92" s="156"/>
      <c r="AM92" s="153"/>
      <c r="AN92" s="153"/>
      <c r="AO92" s="156">
        <f t="shared" si="112"/>
        <v>0</v>
      </c>
      <c r="AP92" s="156"/>
      <c r="AQ92" s="156"/>
      <c r="AR92" s="156"/>
      <c r="AS92" s="156">
        <f>AR92-AQ92</f>
        <v>0</v>
      </c>
      <c r="AT92" s="156"/>
      <c r="AU92" s="153"/>
      <c r="AV92" s="153"/>
      <c r="AW92" s="156">
        <f t="shared" ref="AW92:AW139" si="117">AV92-AU92</f>
        <v>0</v>
      </c>
      <c r="AX92" s="156"/>
      <c r="AY92" s="153"/>
      <c r="AZ92" s="153"/>
      <c r="BA92" s="156">
        <v>0</v>
      </c>
      <c r="BB92" s="156"/>
      <c r="BC92" s="153"/>
      <c r="BD92" s="153"/>
      <c r="BE92" s="156">
        <f t="shared" ref="BE92:BE140" si="118">BD92-BC92</f>
        <v>0</v>
      </c>
      <c r="BF92" s="156"/>
      <c r="BG92" s="153"/>
      <c r="BH92" s="153"/>
      <c r="BI92" s="156">
        <f t="shared" ref="BI92:BI140" si="119">BH92-BG92</f>
        <v>0</v>
      </c>
      <c r="BJ92" s="156"/>
      <c r="BK92" s="153"/>
      <c r="BL92" s="153"/>
      <c r="BM92" s="156">
        <f t="shared" ref="BM92:BM139" si="120">BL92-BK92</f>
        <v>0</v>
      </c>
      <c r="BN92" s="156"/>
      <c r="BO92" s="153"/>
      <c r="BP92" s="153"/>
      <c r="BQ92" s="156">
        <f t="shared" ref="BQ92:BQ139" si="121">BP92-BO92</f>
        <v>0</v>
      </c>
      <c r="BR92" s="156"/>
      <c r="BS92" s="153"/>
      <c r="BT92" s="153"/>
      <c r="BU92" s="156">
        <f t="shared" ref="BU92:BU139" si="122">BT92-BS92</f>
        <v>0</v>
      </c>
      <c r="BV92" s="156"/>
      <c r="BW92" s="153"/>
      <c r="BX92" s="153"/>
      <c r="BY92" s="156">
        <f t="shared" ref="BY92:BY140" si="123">BX92-BW92</f>
        <v>0</v>
      </c>
      <c r="BZ92" s="156"/>
      <c r="CA92" s="153"/>
      <c r="CB92" s="153"/>
      <c r="CC92" s="156">
        <f t="shared" ref="CC92:CC139" si="124">CB92-CA92</f>
        <v>0</v>
      </c>
      <c r="CD92" s="156"/>
      <c r="CE92" s="153"/>
      <c r="CF92" s="153"/>
      <c r="CG92" s="156">
        <f t="shared" ref="CG92:CG140" si="125">CF92-CE92</f>
        <v>0</v>
      </c>
      <c r="CH92" s="156"/>
      <c r="CI92" s="153"/>
      <c r="CJ92" s="153"/>
      <c r="CK92" s="156">
        <f t="shared" ref="CK92:CK140" si="126">CJ92-CI92</f>
        <v>0</v>
      </c>
      <c r="CL92" s="222"/>
      <c r="CM92" s="222"/>
      <c r="CN92" s="222"/>
      <c r="CO92" s="222">
        <f>CN92-CM92</f>
        <v>0</v>
      </c>
      <c r="CP92" s="222"/>
      <c r="CQ92" s="14"/>
      <c r="CR92" s="14"/>
      <c r="CS92" s="261"/>
      <c r="CT92" s="262"/>
      <c r="CU92" s="13"/>
      <c r="CV92" s="13"/>
      <c r="CW92" s="261"/>
      <c r="CX92" s="262"/>
      <c r="CY92" s="13"/>
      <c r="CZ92" s="13"/>
      <c r="DA92" s="261">
        <f t="shared" ref="DA92:DA140" si="127">CZ92-CY92</f>
        <v>0</v>
      </c>
      <c r="DB92" s="262"/>
    </row>
    <row r="93" spans="1:106" ht="14.25" customHeight="1">
      <c r="A93" s="334"/>
      <c r="B93" s="334" t="s">
        <v>366</v>
      </c>
      <c r="C93" s="221">
        <v>0</v>
      </c>
      <c r="D93" s="153">
        <f t="shared" si="106"/>
        <v>0</v>
      </c>
      <c r="E93" s="250">
        <f t="shared" si="106"/>
        <v>44.710999999999999</v>
      </c>
      <c r="F93" s="192">
        <f t="shared" si="108"/>
        <v>44.710999999999999</v>
      </c>
      <c r="G93" s="192" t="e">
        <f t="shared" si="96"/>
        <v>#DIV/0!</v>
      </c>
      <c r="H93" s="153"/>
      <c r="I93" s="153"/>
      <c r="J93" s="156">
        <f t="shared" si="113"/>
        <v>0</v>
      </c>
      <c r="K93" s="156"/>
      <c r="L93" s="153"/>
      <c r="M93" s="153">
        <v>20.489000000000001</v>
      </c>
      <c r="N93" s="156">
        <f t="shared" si="109"/>
        <v>20.489000000000001</v>
      </c>
      <c r="O93" s="156" t="e">
        <f>M93/L93</f>
        <v>#DIV/0!</v>
      </c>
      <c r="P93" s="153"/>
      <c r="Q93" s="153">
        <v>24.222000000000001</v>
      </c>
      <c r="R93" s="156">
        <f t="shared" si="110"/>
        <v>24.222000000000001</v>
      </c>
      <c r="S93" s="156"/>
      <c r="T93" s="153"/>
      <c r="U93" s="153"/>
      <c r="V93" s="156">
        <f t="shared" si="111"/>
        <v>0</v>
      </c>
      <c r="W93" s="156"/>
      <c r="X93" s="153">
        <f t="shared" si="107"/>
        <v>0</v>
      </c>
      <c r="Y93" s="153">
        <f t="shared" si="107"/>
        <v>0</v>
      </c>
      <c r="Z93" s="156">
        <f t="shared" si="114"/>
        <v>0</v>
      </c>
      <c r="AA93" s="156"/>
      <c r="AB93" s="153"/>
      <c r="AC93" s="153"/>
      <c r="AD93" s="156">
        <f t="shared" si="115"/>
        <v>0</v>
      </c>
      <c r="AE93" s="156"/>
      <c r="AF93" s="153"/>
      <c r="AG93" s="153"/>
      <c r="AH93" s="156"/>
      <c r="AI93" s="153"/>
      <c r="AJ93" s="153"/>
      <c r="AK93" s="156">
        <f t="shared" si="116"/>
        <v>0</v>
      </c>
      <c r="AL93" s="156"/>
      <c r="AM93" s="153"/>
      <c r="AN93" s="153"/>
      <c r="AO93" s="156">
        <f t="shared" si="112"/>
        <v>0</v>
      </c>
      <c r="AP93" s="156"/>
      <c r="AQ93" s="156"/>
      <c r="AR93" s="156"/>
      <c r="AS93" s="156"/>
      <c r="AT93" s="156"/>
      <c r="AU93" s="153"/>
      <c r="AV93" s="153"/>
      <c r="AW93" s="156">
        <f t="shared" si="117"/>
        <v>0</v>
      </c>
      <c r="AX93" s="156"/>
      <c r="AY93" s="153"/>
      <c r="AZ93" s="153"/>
      <c r="BA93" s="156">
        <v>0</v>
      </c>
      <c r="BB93" s="156"/>
      <c r="BC93" s="153"/>
      <c r="BD93" s="153"/>
      <c r="BE93" s="156">
        <f t="shared" si="118"/>
        <v>0</v>
      </c>
      <c r="BF93" s="156"/>
      <c r="BG93" s="153"/>
      <c r="BH93" s="153"/>
      <c r="BI93" s="156">
        <f t="shared" si="119"/>
        <v>0</v>
      </c>
      <c r="BJ93" s="156"/>
      <c r="BK93" s="153"/>
      <c r="BL93" s="153"/>
      <c r="BM93" s="156">
        <f t="shared" si="120"/>
        <v>0</v>
      </c>
      <c r="BN93" s="156"/>
      <c r="BO93" s="153"/>
      <c r="BP93" s="153"/>
      <c r="BQ93" s="156">
        <f t="shared" si="121"/>
        <v>0</v>
      </c>
      <c r="BR93" s="156"/>
      <c r="BS93" s="153"/>
      <c r="BT93" s="153"/>
      <c r="BU93" s="156">
        <f t="shared" si="122"/>
        <v>0</v>
      </c>
      <c r="BV93" s="156"/>
      <c r="BW93" s="153"/>
      <c r="BX93" s="153"/>
      <c r="BY93" s="156">
        <f t="shared" si="123"/>
        <v>0</v>
      </c>
      <c r="BZ93" s="156"/>
      <c r="CA93" s="153"/>
      <c r="CB93" s="153"/>
      <c r="CC93" s="156">
        <f t="shared" si="124"/>
        <v>0</v>
      </c>
      <c r="CD93" s="156"/>
      <c r="CE93" s="236"/>
      <c r="CF93" s="236"/>
      <c r="CG93" s="156">
        <f t="shared" si="125"/>
        <v>0</v>
      </c>
      <c r="CH93" s="156"/>
      <c r="CI93" s="153"/>
      <c r="CJ93" s="153"/>
      <c r="CK93" s="156">
        <f t="shared" si="126"/>
        <v>0</v>
      </c>
      <c r="CL93" s="222"/>
      <c r="CM93" s="222"/>
      <c r="CN93" s="222"/>
      <c r="CO93" s="222">
        <v>0</v>
      </c>
      <c r="CP93" s="222"/>
      <c r="CQ93" s="14"/>
      <c r="CR93" s="14"/>
      <c r="CS93" s="261"/>
      <c r="CT93" s="262"/>
      <c r="CU93" s="13"/>
      <c r="CV93" s="13"/>
      <c r="CW93" s="261"/>
      <c r="CX93" s="262"/>
      <c r="CY93" s="13"/>
      <c r="CZ93" s="13"/>
      <c r="DA93" s="261">
        <f t="shared" si="127"/>
        <v>0</v>
      </c>
      <c r="DB93" s="262"/>
    </row>
    <row r="94" spans="1:106" ht="14.25" customHeight="1">
      <c r="A94" s="334"/>
      <c r="B94" s="334" t="s">
        <v>367</v>
      </c>
      <c r="C94" s="221">
        <v>38.700000000000003</v>
      </c>
      <c r="D94" s="153">
        <f t="shared" si="106"/>
        <v>73.06304999999999</v>
      </c>
      <c r="E94" s="153">
        <f t="shared" si="106"/>
        <v>90.853999999999999</v>
      </c>
      <c r="F94" s="192">
        <f t="shared" si="108"/>
        <v>17.790950000000009</v>
      </c>
      <c r="G94" s="192">
        <f t="shared" si="96"/>
        <v>1.2435013320686723</v>
      </c>
      <c r="H94" s="153"/>
      <c r="I94" s="153"/>
      <c r="J94" s="156">
        <f t="shared" si="113"/>
        <v>0</v>
      </c>
      <c r="K94" s="156"/>
      <c r="L94" s="153">
        <v>1.6839999999999999</v>
      </c>
      <c r="M94" s="153">
        <v>1.9650000000000001</v>
      </c>
      <c r="N94" s="156">
        <f t="shared" si="109"/>
        <v>0.28100000000000014</v>
      </c>
      <c r="O94" s="156"/>
      <c r="P94" s="153">
        <v>65.279049999999998</v>
      </c>
      <c r="Q94" s="153">
        <v>82.789000000000001</v>
      </c>
      <c r="R94" s="156">
        <f t="shared" si="110"/>
        <v>17.509950000000003</v>
      </c>
      <c r="S94" s="156"/>
      <c r="T94" s="153"/>
      <c r="U94" s="153"/>
      <c r="V94" s="156">
        <f t="shared" si="111"/>
        <v>0</v>
      </c>
      <c r="W94" s="156"/>
      <c r="X94" s="153">
        <f t="shared" si="107"/>
        <v>0</v>
      </c>
      <c r="Y94" s="153">
        <f t="shared" si="107"/>
        <v>0</v>
      </c>
      <c r="Z94" s="156">
        <f t="shared" si="114"/>
        <v>0</v>
      </c>
      <c r="AA94" s="156"/>
      <c r="AB94" s="153"/>
      <c r="AC94" s="153"/>
      <c r="AD94" s="156">
        <f t="shared" si="115"/>
        <v>0</v>
      </c>
      <c r="AE94" s="156"/>
      <c r="AF94" s="153"/>
      <c r="AG94" s="153"/>
      <c r="AH94" s="156"/>
      <c r="AI94" s="153"/>
      <c r="AJ94" s="153"/>
      <c r="AK94" s="156">
        <f t="shared" si="116"/>
        <v>0</v>
      </c>
      <c r="AL94" s="156"/>
      <c r="AM94" s="153"/>
      <c r="AN94" s="153"/>
      <c r="AO94" s="156">
        <f t="shared" si="112"/>
        <v>0</v>
      </c>
      <c r="AP94" s="156"/>
      <c r="AQ94" s="156"/>
      <c r="AR94" s="156"/>
      <c r="AS94" s="156"/>
      <c r="AT94" s="156"/>
      <c r="AU94" s="153"/>
      <c r="AV94" s="153"/>
      <c r="AW94" s="156">
        <f t="shared" si="117"/>
        <v>0</v>
      </c>
      <c r="AX94" s="156"/>
      <c r="AY94" s="153"/>
      <c r="AZ94" s="153"/>
      <c r="BA94" s="156">
        <v>0</v>
      </c>
      <c r="BB94" s="156"/>
      <c r="BC94" s="153"/>
      <c r="BD94" s="153"/>
      <c r="BE94" s="156">
        <f t="shared" si="118"/>
        <v>0</v>
      </c>
      <c r="BF94" s="156"/>
      <c r="BG94" s="153"/>
      <c r="BH94" s="153"/>
      <c r="BI94" s="156">
        <f t="shared" si="119"/>
        <v>0</v>
      </c>
      <c r="BJ94" s="156"/>
      <c r="BK94" s="153"/>
      <c r="BL94" s="153"/>
      <c r="BM94" s="156">
        <f t="shared" si="120"/>
        <v>0</v>
      </c>
      <c r="BN94" s="156"/>
      <c r="BO94" s="153"/>
      <c r="BP94" s="153"/>
      <c r="BQ94" s="156">
        <f t="shared" si="121"/>
        <v>0</v>
      </c>
      <c r="BR94" s="156"/>
      <c r="BS94" s="153"/>
      <c r="BT94" s="153"/>
      <c r="BU94" s="156">
        <f t="shared" si="122"/>
        <v>0</v>
      </c>
      <c r="BV94" s="156"/>
      <c r="BW94" s="153"/>
      <c r="BX94" s="153"/>
      <c r="BY94" s="156">
        <f t="shared" si="123"/>
        <v>0</v>
      </c>
      <c r="BZ94" s="156"/>
      <c r="CA94" s="153"/>
      <c r="CB94" s="153"/>
      <c r="CC94" s="156">
        <f t="shared" si="124"/>
        <v>0</v>
      </c>
      <c r="CD94" s="156"/>
      <c r="CE94" s="153">
        <v>6.1</v>
      </c>
      <c r="CF94" s="153">
        <v>6.1</v>
      </c>
      <c r="CG94" s="156">
        <f t="shared" si="125"/>
        <v>0</v>
      </c>
      <c r="CH94" s="156"/>
      <c r="CI94" s="153"/>
      <c r="CJ94" s="153"/>
      <c r="CK94" s="156">
        <f t="shared" si="126"/>
        <v>0</v>
      </c>
      <c r="CL94" s="222"/>
      <c r="CM94" s="222"/>
      <c r="CN94" s="222"/>
      <c r="CO94" s="222">
        <v>0</v>
      </c>
      <c r="CP94" s="222"/>
      <c r="CQ94" s="14"/>
      <c r="CR94" s="14"/>
      <c r="CS94" s="261"/>
      <c r="CT94" s="262"/>
      <c r="CU94" s="13"/>
      <c r="CV94" s="13"/>
      <c r="CW94" s="261"/>
      <c r="CX94" s="262"/>
      <c r="CY94" s="13"/>
      <c r="CZ94" s="13"/>
      <c r="DA94" s="261">
        <f t="shared" si="127"/>
        <v>0</v>
      </c>
      <c r="DB94" s="262"/>
    </row>
    <row r="95" spans="1:106" ht="14.25" customHeight="1">
      <c r="A95" s="334"/>
      <c r="B95" s="334" t="s">
        <v>368</v>
      </c>
      <c r="C95" s="153">
        <v>2918.85</v>
      </c>
      <c r="D95" s="153">
        <f t="shared" si="106"/>
        <v>2925.4259999999999</v>
      </c>
      <c r="E95" s="153">
        <f t="shared" si="106"/>
        <v>1105.6220000000001</v>
      </c>
      <c r="F95" s="192">
        <f t="shared" si="108"/>
        <v>-1819.8039999999999</v>
      </c>
      <c r="G95" s="192">
        <f t="shared" si="96"/>
        <v>0.37793538445340957</v>
      </c>
      <c r="H95" s="153"/>
      <c r="I95" s="153"/>
      <c r="J95" s="156">
        <f t="shared" si="113"/>
        <v>0</v>
      </c>
      <c r="K95" s="156"/>
      <c r="L95" s="153"/>
      <c r="M95" s="153"/>
      <c r="N95" s="156">
        <f t="shared" si="109"/>
        <v>0</v>
      </c>
      <c r="O95" s="156"/>
      <c r="P95" s="153">
        <v>6.5739999999999998</v>
      </c>
      <c r="Q95" s="153"/>
      <c r="R95" s="156">
        <f t="shared" si="110"/>
        <v>-6.5739999999999998</v>
      </c>
      <c r="S95" s="156"/>
      <c r="T95" s="153"/>
      <c r="U95" s="153"/>
      <c r="V95" s="156">
        <f t="shared" si="111"/>
        <v>0</v>
      </c>
      <c r="W95" s="156"/>
      <c r="X95" s="153">
        <f t="shared" si="107"/>
        <v>0</v>
      </c>
      <c r="Y95" s="153">
        <f t="shared" si="107"/>
        <v>0</v>
      </c>
      <c r="Z95" s="156">
        <f t="shared" si="114"/>
        <v>0</v>
      </c>
      <c r="AA95" s="156"/>
      <c r="AB95" s="153"/>
      <c r="AC95" s="153"/>
      <c r="AD95" s="156">
        <f t="shared" si="115"/>
        <v>0</v>
      </c>
      <c r="AE95" s="156"/>
      <c r="AF95" s="153"/>
      <c r="AG95" s="153"/>
      <c r="AH95" s="156"/>
      <c r="AI95" s="153">
        <v>175.99799999999999</v>
      </c>
      <c r="AJ95" s="153"/>
      <c r="AK95" s="156">
        <f t="shared" si="116"/>
        <v>-175.99799999999999</v>
      </c>
      <c r="AL95" s="156">
        <f>AJ95/AI95</f>
        <v>0</v>
      </c>
      <c r="AM95" s="153"/>
      <c r="AN95" s="153"/>
      <c r="AO95" s="156">
        <f t="shared" si="112"/>
        <v>0</v>
      </c>
      <c r="AP95" s="156"/>
      <c r="AQ95" s="156"/>
      <c r="AR95" s="156"/>
      <c r="AS95" s="156"/>
      <c r="AT95" s="156"/>
      <c r="AU95" s="153"/>
      <c r="AV95" s="153"/>
      <c r="AW95" s="156">
        <f t="shared" si="117"/>
        <v>0</v>
      </c>
      <c r="AX95" s="156"/>
      <c r="AY95" s="153"/>
      <c r="AZ95" s="153"/>
      <c r="BA95" s="156">
        <v>0</v>
      </c>
      <c r="BB95" s="156"/>
      <c r="BC95" s="153"/>
      <c r="BD95" s="153"/>
      <c r="BE95" s="156">
        <f t="shared" si="118"/>
        <v>0</v>
      </c>
      <c r="BF95" s="156"/>
      <c r="BG95" s="153"/>
      <c r="BH95" s="153"/>
      <c r="BI95" s="156">
        <f t="shared" si="119"/>
        <v>0</v>
      </c>
      <c r="BJ95" s="156"/>
      <c r="BK95" s="153"/>
      <c r="BL95" s="153"/>
      <c r="BM95" s="156">
        <f t="shared" si="120"/>
        <v>0</v>
      </c>
      <c r="BN95" s="156"/>
      <c r="BO95" s="153"/>
      <c r="BP95" s="153"/>
      <c r="BQ95" s="156">
        <f t="shared" si="121"/>
        <v>0</v>
      </c>
      <c r="BR95" s="156"/>
      <c r="BS95" s="153"/>
      <c r="BT95" s="153"/>
      <c r="BU95" s="156">
        <f t="shared" si="122"/>
        <v>0</v>
      </c>
      <c r="BV95" s="156"/>
      <c r="BW95" s="153"/>
      <c r="BX95" s="153"/>
      <c r="BY95" s="156">
        <f t="shared" si="123"/>
        <v>0</v>
      </c>
      <c r="BZ95" s="156"/>
      <c r="CA95" s="153"/>
      <c r="CB95" s="153"/>
      <c r="CC95" s="156">
        <f t="shared" si="124"/>
        <v>0</v>
      </c>
      <c r="CD95" s="156"/>
      <c r="CE95" s="236">
        <v>2742.8539999999998</v>
      </c>
      <c r="CF95" s="236">
        <v>1105.6220000000001</v>
      </c>
      <c r="CG95" s="156">
        <f t="shared" si="125"/>
        <v>-1637.2319999999997</v>
      </c>
      <c r="CH95" s="156">
        <f>CF95/CE95</f>
        <v>0.40309181604270594</v>
      </c>
      <c r="CI95" s="153"/>
      <c r="CJ95" s="153"/>
      <c r="CK95" s="156">
        <f t="shared" si="126"/>
        <v>0</v>
      </c>
      <c r="CL95" s="222"/>
      <c r="CM95" s="222"/>
      <c r="CN95" s="222"/>
      <c r="CO95" s="222">
        <v>0</v>
      </c>
      <c r="CP95" s="222"/>
      <c r="CQ95" s="14"/>
      <c r="CR95" s="14"/>
      <c r="CS95" s="261"/>
      <c r="CT95" s="262"/>
      <c r="CU95" s="13"/>
      <c r="CV95" s="13"/>
      <c r="CW95" s="261"/>
      <c r="CX95" s="262"/>
      <c r="CY95" s="13"/>
      <c r="CZ95" s="13"/>
      <c r="DA95" s="261">
        <f t="shared" si="127"/>
        <v>0</v>
      </c>
      <c r="DB95" s="262"/>
    </row>
    <row r="96" spans="1:106" ht="14.25" hidden="1" customHeight="1">
      <c r="A96" s="334"/>
      <c r="B96" s="334" t="s">
        <v>555</v>
      </c>
      <c r="C96" s="221"/>
      <c r="D96" s="153">
        <f t="shared" si="106"/>
        <v>0</v>
      </c>
      <c r="E96" s="250">
        <f t="shared" si="106"/>
        <v>0</v>
      </c>
      <c r="F96" s="192">
        <f t="shared" si="108"/>
        <v>0</v>
      </c>
      <c r="G96" s="192" t="e">
        <f t="shared" si="96"/>
        <v>#DIV/0!</v>
      </c>
      <c r="H96" s="153"/>
      <c r="I96" s="153"/>
      <c r="J96" s="156">
        <f t="shared" si="113"/>
        <v>0</v>
      </c>
      <c r="K96" s="156"/>
      <c r="L96" s="153"/>
      <c r="M96" s="153"/>
      <c r="N96" s="156">
        <f t="shared" si="109"/>
        <v>0</v>
      </c>
      <c r="O96" s="156"/>
      <c r="P96" s="153"/>
      <c r="Q96" s="153"/>
      <c r="R96" s="156">
        <f t="shared" si="110"/>
        <v>0</v>
      </c>
      <c r="S96" s="156"/>
      <c r="T96" s="153"/>
      <c r="U96" s="153"/>
      <c r="V96" s="156">
        <f t="shared" si="111"/>
        <v>0</v>
      </c>
      <c r="W96" s="156"/>
      <c r="X96" s="153">
        <f t="shared" si="107"/>
        <v>0</v>
      </c>
      <c r="Y96" s="153">
        <f t="shared" si="107"/>
        <v>0</v>
      </c>
      <c r="Z96" s="156">
        <f t="shared" si="114"/>
        <v>0</v>
      </c>
      <c r="AA96" s="156"/>
      <c r="AB96" s="153"/>
      <c r="AC96" s="153"/>
      <c r="AD96" s="156">
        <f t="shared" si="115"/>
        <v>0</v>
      </c>
      <c r="AE96" s="156"/>
      <c r="AF96" s="153"/>
      <c r="AG96" s="153"/>
      <c r="AH96" s="156"/>
      <c r="AI96" s="153"/>
      <c r="AJ96" s="153"/>
      <c r="AK96" s="156">
        <f t="shared" si="116"/>
        <v>0</v>
      </c>
      <c r="AL96" s="156"/>
      <c r="AM96" s="153"/>
      <c r="AN96" s="153"/>
      <c r="AO96" s="156">
        <f t="shared" si="112"/>
        <v>0</v>
      </c>
      <c r="AP96" s="156"/>
      <c r="AQ96" s="156"/>
      <c r="AR96" s="156"/>
      <c r="AS96" s="156"/>
      <c r="AT96" s="156"/>
      <c r="AU96" s="153"/>
      <c r="AV96" s="153"/>
      <c r="AW96" s="156">
        <f t="shared" si="117"/>
        <v>0</v>
      </c>
      <c r="AX96" s="156"/>
      <c r="AY96" s="153"/>
      <c r="AZ96" s="153"/>
      <c r="BA96" s="156">
        <v>0</v>
      </c>
      <c r="BB96" s="156"/>
      <c r="BC96" s="153"/>
      <c r="BD96" s="153"/>
      <c r="BE96" s="156">
        <f t="shared" si="118"/>
        <v>0</v>
      </c>
      <c r="BF96" s="156"/>
      <c r="BG96" s="153"/>
      <c r="BH96" s="153"/>
      <c r="BI96" s="156">
        <f t="shared" si="119"/>
        <v>0</v>
      </c>
      <c r="BJ96" s="156"/>
      <c r="BK96" s="153"/>
      <c r="BL96" s="153"/>
      <c r="BM96" s="156">
        <f t="shared" si="120"/>
        <v>0</v>
      </c>
      <c r="BN96" s="156"/>
      <c r="BO96" s="153"/>
      <c r="BP96" s="153"/>
      <c r="BQ96" s="156">
        <f t="shared" si="121"/>
        <v>0</v>
      </c>
      <c r="BR96" s="156"/>
      <c r="BS96" s="153"/>
      <c r="BT96" s="153"/>
      <c r="BU96" s="156">
        <f t="shared" si="122"/>
        <v>0</v>
      </c>
      <c r="BV96" s="156"/>
      <c r="BW96" s="153"/>
      <c r="BX96" s="153"/>
      <c r="BY96" s="156">
        <f t="shared" si="123"/>
        <v>0</v>
      </c>
      <c r="BZ96" s="156"/>
      <c r="CA96" s="153"/>
      <c r="CB96" s="153"/>
      <c r="CC96" s="156">
        <f t="shared" si="124"/>
        <v>0</v>
      </c>
      <c r="CD96" s="156"/>
      <c r="CE96" s="153"/>
      <c r="CF96" s="153"/>
      <c r="CG96" s="156">
        <f t="shared" si="125"/>
        <v>0</v>
      </c>
      <c r="CH96" s="156"/>
      <c r="CI96" s="153"/>
      <c r="CJ96" s="153"/>
      <c r="CK96" s="156">
        <f t="shared" si="126"/>
        <v>0</v>
      </c>
      <c r="CL96" s="222"/>
      <c r="CM96" s="222"/>
      <c r="CN96" s="222"/>
      <c r="CO96" s="222">
        <v>0</v>
      </c>
      <c r="CP96" s="222"/>
      <c r="CQ96" s="14"/>
      <c r="CR96" s="14"/>
      <c r="CS96" s="261"/>
      <c r="CT96" s="262"/>
      <c r="CU96" s="13"/>
      <c r="CV96" s="13"/>
      <c r="CW96" s="261"/>
      <c r="CX96" s="262"/>
      <c r="CY96" s="13"/>
      <c r="CZ96" s="13"/>
      <c r="DA96" s="261">
        <f t="shared" si="127"/>
        <v>0</v>
      </c>
      <c r="DB96" s="262"/>
    </row>
    <row r="97" spans="1:106" ht="14.25" customHeight="1">
      <c r="A97" s="334"/>
      <c r="B97" s="334" t="s">
        <v>556</v>
      </c>
      <c r="C97" s="221">
        <v>267.39999999999998</v>
      </c>
      <c r="D97" s="153">
        <f t="shared" si="106"/>
        <v>1131.6659999999999</v>
      </c>
      <c r="E97" s="153">
        <f t="shared" si="106"/>
        <v>1203.596</v>
      </c>
      <c r="F97" s="192">
        <f t="shared" si="108"/>
        <v>71.930000000000064</v>
      </c>
      <c r="G97" s="192">
        <f t="shared" si="96"/>
        <v>1.0635611567370584</v>
      </c>
      <c r="H97" s="153">
        <v>1120.6769999999999</v>
      </c>
      <c r="I97" s="153">
        <v>1191.5830000000001</v>
      </c>
      <c r="J97" s="156">
        <f t="shared" si="113"/>
        <v>70.906000000000176</v>
      </c>
      <c r="K97" s="156"/>
      <c r="L97" s="153">
        <v>1.23</v>
      </c>
      <c r="M97" s="153">
        <v>1.53</v>
      </c>
      <c r="N97" s="156">
        <f t="shared" si="109"/>
        <v>0.30000000000000004</v>
      </c>
      <c r="O97" s="156"/>
      <c r="P97" s="153"/>
      <c r="Q97" s="153"/>
      <c r="R97" s="156">
        <f t="shared" si="110"/>
        <v>0</v>
      </c>
      <c r="S97" s="156"/>
      <c r="T97" s="153"/>
      <c r="U97" s="153"/>
      <c r="V97" s="156">
        <f t="shared" si="111"/>
        <v>0</v>
      </c>
      <c r="W97" s="156"/>
      <c r="X97" s="153">
        <f t="shared" si="107"/>
        <v>0</v>
      </c>
      <c r="Y97" s="153">
        <f t="shared" si="107"/>
        <v>0</v>
      </c>
      <c r="Z97" s="156">
        <f t="shared" si="114"/>
        <v>0</v>
      </c>
      <c r="AA97" s="156"/>
      <c r="AB97" s="153"/>
      <c r="AC97" s="153"/>
      <c r="AD97" s="156">
        <f t="shared" si="115"/>
        <v>0</v>
      </c>
      <c r="AE97" s="156"/>
      <c r="AF97" s="153"/>
      <c r="AG97" s="153"/>
      <c r="AH97" s="156"/>
      <c r="AI97" s="153"/>
      <c r="AJ97" s="153"/>
      <c r="AK97" s="156">
        <f t="shared" si="116"/>
        <v>0</v>
      </c>
      <c r="AL97" s="156"/>
      <c r="AM97" s="153"/>
      <c r="AN97" s="153"/>
      <c r="AO97" s="156">
        <f t="shared" si="112"/>
        <v>0</v>
      </c>
      <c r="AP97" s="156"/>
      <c r="AQ97" s="156"/>
      <c r="AR97" s="156"/>
      <c r="AS97" s="156"/>
      <c r="AT97" s="156"/>
      <c r="AU97" s="153"/>
      <c r="AV97" s="153"/>
      <c r="AW97" s="156">
        <f t="shared" si="117"/>
        <v>0</v>
      </c>
      <c r="AX97" s="156"/>
      <c r="AY97" s="153"/>
      <c r="AZ97" s="153"/>
      <c r="BA97" s="156">
        <v>0</v>
      </c>
      <c r="BB97" s="156"/>
      <c r="BC97" s="153"/>
      <c r="BD97" s="153"/>
      <c r="BE97" s="156">
        <f t="shared" si="118"/>
        <v>0</v>
      </c>
      <c r="BF97" s="156"/>
      <c r="BG97" s="153"/>
      <c r="BH97" s="153"/>
      <c r="BI97" s="156">
        <f t="shared" si="119"/>
        <v>0</v>
      </c>
      <c r="BJ97" s="156"/>
      <c r="BK97" s="153"/>
      <c r="BL97" s="153"/>
      <c r="BM97" s="156">
        <f t="shared" si="120"/>
        <v>0</v>
      </c>
      <c r="BN97" s="156"/>
      <c r="BO97" s="153"/>
      <c r="BP97" s="153"/>
      <c r="BQ97" s="156">
        <f t="shared" si="121"/>
        <v>0</v>
      </c>
      <c r="BR97" s="156"/>
      <c r="BS97" s="153"/>
      <c r="BT97" s="153"/>
      <c r="BU97" s="156">
        <f t="shared" si="122"/>
        <v>0</v>
      </c>
      <c r="BV97" s="156"/>
      <c r="BW97" s="153"/>
      <c r="BX97" s="153"/>
      <c r="BY97" s="156">
        <f t="shared" si="123"/>
        <v>0</v>
      </c>
      <c r="BZ97" s="156"/>
      <c r="CA97" s="153"/>
      <c r="CB97" s="153"/>
      <c r="CC97" s="156">
        <f t="shared" si="124"/>
        <v>0</v>
      </c>
      <c r="CD97" s="156"/>
      <c r="CE97" s="153">
        <v>9.7590000000000003</v>
      </c>
      <c r="CF97" s="153">
        <v>10.483000000000001</v>
      </c>
      <c r="CG97" s="156">
        <f t="shared" si="125"/>
        <v>0.7240000000000002</v>
      </c>
      <c r="CH97" s="156"/>
      <c r="CI97" s="153"/>
      <c r="CJ97" s="153"/>
      <c r="CK97" s="156">
        <f t="shared" si="126"/>
        <v>0</v>
      </c>
      <c r="CL97" s="222"/>
      <c r="CM97" s="222"/>
      <c r="CN97" s="222"/>
      <c r="CO97" s="222">
        <v>0</v>
      </c>
      <c r="CP97" s="222"/>
      <c r="CQ97" s="14"/>
      <c r="CR97" s="14"/>
      <c r="CS97" s="261"/>
      <c r="CT97" s="262"/>
      <c r="CU97" s="13"/>
      <c r="CV97" s="13"/>
      <c r="CW97" s="261"/>
      <c r="CX97" s="262"/>
      <c r="CY97" s="13"/>
      <c r="CZ97" s="13"/>
      <c r="DA97" s="261">
        <f t="shared" si="127"/>
        <v>0</v>
      </c>
      <c r="DB97" s="262"/>
    </row>
    <row r="98" spans="1:106" ht="14.25" hidden="1" customHeight="1">
      <c r="A98" s="334"/>
      <c r="B98" s="334" t="s">
        <v>369</v>
      </c>
      <c r="C98" s="221"/>
      <c r="D98" s="153">
        <f t="shared" si="106"/>
        <v>0</v>
      </c>
      <c r="E98" s="250">
        <f t="shared" si="106"/>
        <v>0</v>
      </c>
      <c r="F98" s="192">
        <f t="shared" si="108"/>
        <v>0</v>
      </c>
      <c r="G98" s="192" t="e">
        <f t="shared" si="96"/>
        <v>#DIV/0!</v>
      </c>
      <c r="H98" s="153"/>
      <c r="I98" s="153"/>
      <c r="J98" s="156">
        <f t="shared" si="113"/>
        <v>0</v>
      </c>
      <c r="K98" s="156" t="e">
        <f>I98/H98</f>
        <v>#DIV/0!</v>
      </c>
      <c r="L98" s="153"/>
      <c r="M98" s="153"/>
      <c r="N98" s="156">
        <f t="shared" si="109"/>
        <v>0</v>
      </c>
      <c r="O98" s="156"/>
      <c r="P98" s="153"/>
      <c r="Q98" s="153"/>
      <c r="R98" s="156">
        <f t="shared" si="110"/>
        <v>0</v>
      </c>
      <c r="S98" s="156"/>
      <c r="T98" s="153"/>
      <c r="U98" s="153"/>
      <c r="V98" s="156">
        <f t="shared" si="111"/>
        <v>0</v>
      </c>
      <c r="W98" s="156"/>
      <c r="X98" s="153">
        <f t="shared" si="107"/>
        <v>0</v>
      </c>
      <c r="Y98" s="153">
        <f t="shared" si="107"/>
        <v>0</v>
      </c>
      <c r="Z98" s="156">
        <f t="shared" si="114"/>
        <v>0</v>
      </c>
      <c r="AA98" s="156"/>
      <c r="AB98" s="153"/>
      <c r="AC98" s="153"/>
      <c r="AD98" s="156">
        <f t="shared" si="115"/>
        <v>0</v>
      </c>
      <c r="AE98" s="156"/>
      <c r="AF98" s="153"/>
      <c r="AG98" s="153"/>
      <c r="AH98" s="156"/>
      <c r="AI98" s="153"/>
      <c r="AJ98" s="153"/>
      <c r="AK98" s="156">
        <f t="shared" si="116"/>
        <v>0</v>
      </c>
      <c r="AL98" s="156"/>
      <c r="AM98" s="153"/>
      <c r="AN98" s="153"/>
      <c r="AO98" s="156">
        <f t="shared" si="112"/>
        <v>0</v>
      </c>
      <c r="AP98" s="156"/>
      <c r="AQ98" s="156"/>
      <c r="AR98" s="156"/>
      <c r="AS98" s="156">
        <f>AR98-AQ98</f>
        <v>0</v>
      </c>
      <c r="AT98" s="156"/>
      <c r="AU98" s="153"/>
      <c r="AV98" s="153"/>
      <c r="AW98" s="156">
        <f t="shared" si="117"/>
        <v>0</v>
      </c>
      <c r="AX98" s="156"/>
      <c r="AY98" s="153"/>
      <c r="AZ98" s="153"/>
      <c r="BA98" s="156">
        <v>0</v>
      </c>
      <c r="BB98" s="156"/>
      <c r="BC98" s="153"/>
      <c r="BD98" s="153"/>
      <c r="BE98" s="156">
        <f t="shared" si="118"/>
        <v>0</v>
      </c>
      <c r="BF98" s="156"/>
      <c r="BG98" s="153"/>
      <c r="BH98" s="153"/>
      <c r="BI98" s="156">
        <f t="shared" si="119"/>
        <v>0</v>
      </c>
      <c r="BJ98" s="156"/>
      <c r="BK98" s="153"/>
      <c r="BL98" s="153"/>
      <c r="BM98" s="156">
        <f t="shared" si="120"/>
        <v>0</v>
      </c>
      <c r="BN98" s="156"/>
      <c r="BO98" s="153"/>
      <c r="BP98" s="153"/>
      <c r="BQ98" s="156">
        <f t="shared" si="121"/>
        <v>0</v>
      </c>
      <c r="BR98" s="156"/>
      <c r="BS98" s="153"/>
      <c r="BT98" s="153"/>
      <c r="BU98" s="156">
        <f t="shared" si="122"/>
        <v>0</v>
      </c>
      <c r="BV98" s="156"/>
      <c r="BW98" s="153"/>
      <c r="BX98" s="153"/>
      <c r="BY98" s="156">
        <f t="shared" si="123"/>
        <v>0</v>
      </c>
      <c r="BZ98" s="156"/>
      <c r="CA98" s="153"/>
      <c r="CB98" s="153"/>
      <c r="CC98" s="156">
        <f t="shared" si="124"/>
        <v>0</v>
      </c>
      <c r="CD98" s="156"/>
      <c r="CE98" s="153"/>
      <c r="CF98" s="153"/>
      <c r="CG98" s="156">
        <f t="shared" si="125"/>
        <v>0</v>
      </c>
      <c r="CH98" s="156"/>
      <c r="CI98" s="153"/>
      <c r="CJ98" s="153"/>
      <c r="CK98" s="156">
        <f t="shared" si="126"/>
        <v>0</v>
      </c>
      <c r="CL98" s="222"/>
      <c r="CM98" s="222"/>
      <c r="CN98" s="222"/>
      <c r="CO98" s="222">
        <v>0</v>
      </c>
      <c r="CP98" s="222"/>
      <c r="CQ98" s="14"/>
      <c r="CR98" s="14"/>
      <c r="CS98" s="261"/>
      <c r="CT98" s="262"/>
      <c r="CU98" s="13"/>
      <c r="CV98" s="13"/>
      <c r="CW98" s="261"/>
      <c r="CX98" s="262"/>
      <c r="CY98" s="13"/>
      <c r="CZ98" s="13"/>
      <c r="DA98" s="261">
        <f t="shared" si="127"/>
        <v>0</v>
      </c>
      <c r="DB98" s="262"/>
    </row>
    <row r="99" spans="1:106" ht="14.25" hidden="1" customHeight="1">
      <c r="A99" s="334"/>
      <c r="B99" s="334" t="s">
        <v>370</v>
      </c>
      <c r="C99" s="221"/>
      <c r="D99" s="153">
        <f t="shared" si="106"/>
        <v>0</v>
      </c>
      <c r="E99" s="250">
        <f t="shared" si="106"/>
        <v>0</v>
      </c>
      <c r="F99" s="192">
        <f t="shared" si="108"/>
        <v>0</v>
      </c>
      <c r="G99" s="192" t="e">
        <f t="shared" si="96"/>
        <v>#DIV/0!</v>
      </c>
      <c r="H99" s="153"/>
      <c r="I99" s="153"/>
      <c r="J99" s="156">
        <f t="shared" si="113"/>
        <v>0</v>
      </c>
      <c r="K99" s="156"/>
      <c r="L99" s="153"/>
      <c r="M99" s="153"/>
      <c r="N99" s="156">
        <f t="shared" si="109"/>
        <v>0</v>
      </c>
      <c r="O99" s="156" t="e">
        <f>M99/L99</f>
        <v>#DIV/0!</v>
      </c>
      <c r="P99" s="153"/>
      <c r="Q99" s="153"/>
      <c r="R99" s="156">
        <f t="shared" si="110"/>
        <v>0</v>
      </c>
      <c r="S99" s="156"/>
      <c r="T99" s="153"/>
      <c r="U99" s="153"/>
      <c r="V99" s="156">
        <f t="shared" si="111"/>
        <v>0</v>
      </c>
      <c r="W99" s="156"/>
      <c r="X99" s="153">
        <f t="shared" si="107"/>
        <v>0</v>
      </c>
      <c r="Y99" s="153">
        <f t="shared" si="107"/>
        <v>0</v>
      </c>
      <c r="Z99" s="156">
        <f t="shared" si="114"/>
        <v>0</v>
      </c>
      <c r="AA99" s="156"/>
      <c r="AB99" s="153"/>
      <c r="AC99" s="153"/>
      <c r="AD99" s="156">
        <f t="shared" si="115"/>
        <v>0</v>
      </c>
      <c r="AE99" s="156"/>
      <c r="AF99" s="153"/>
      <c r="AG99" s="153"/>
      <c r="AH99" s="156"/>
      <c r="AI99" s="153"/>
      <c r="AJ99" s="153"/>
      <c r="AK99" s="156">
        <f t="shared" si="116"/>
        <v>0</v>
      </c>
      <c r="AL99" s="156"/>
      <c r="AM99" s="153"/>
      <c r="AN99" s="153"/>
      <c r="AO99" s="156">
        <f t="shared" si="112"/>
        <v>0</v>
      </c>
      <c r="AP99" s="156"/>
      <c r="AQ99" s="156"/>
      <c r="AR99" s="156"/>
      <c r="AS99" s="156"/>
      <c r="AT99" s="156"/>
      <c r="AU99" s="153"/>
      <c r="AV99" s="153"/>
      <c r="AW99" s="156">
        <f t="shared" si="117"/>
        <v>0</v>
      </c>
      <c r="AX99" s="156"/>
      <c r="AY99" s="153"/>
      <c r="AZ99" s="153"/>
      <c r="BA99" s="156">
        <v>0</v>
      </c>
      <c r="BB99" s="156"/>
      <c r="BC99" s="153"/>
      <c r="BD99" s="153"/>
      <c r="BE99" s="156">
        <f t="shared" si="118"/>
        <v>0</v>
      </c>
      <c r="BF99" s="156"/>
      <c r="BG99" s="153"/>
      <c r="BH99" s="153"/>
      <c r="BI99" s="156">
        <f t="shared" si="119"/>
        <v>0</v>
      </c>
      <c r="BJ99" s="156"/>
      <c r="BK99" s="153"/>
      <c r="BL99" s="153"/>
      <c r="BM99" s="156">
        <f t="shared" si="120"/>
        <v>0</v>
      </c>
      <c r="BN99" s="156"/>
      <c r="BO99" s="153"/>
      <c r="BP99" s="153"/>
      <c r="BQ99" s="156">
        <f t="shared" si="121"/>
        <v>0</v>
      </c>
      <c r="BR99" s="156"/>
      <c r="BS99" s="153"/>
      <c r="BT99" s="153"/>
      <c r="BU99" s="156">
        <f t="shared" si="122"/>
        <v>0</v>
      </c>
      <c r="BV99" s="156"/>
      <c r="BW99" s="153"/>
      <c r="BX99" s="153"/>
      <c r="BY99" s="156">
        <f t="shared" si="123"/>
        <v>0</v>
      </c>
      <c r="BZ99" s="156"/>
      <c r="CA99" s="153"/>
      <c r="CB99" s="153"/>
      <c r="CC99" s="156">
        <f t="shared" si="124"/>
        <v>0</v>
      </c>
      <c r="CD99" s="156"/>
      <c r="CE99" s="153"/>
      <c r="CF99" s="153"/>
      <c r="CG99" s="156">
        <f t="shared" si="125"/>
        <v>0</v>
      </c>
      <c r="CH99" s="156"/>
      <c r="CI99" s="153"/>
      <c r="CJ99" s="153"/>
      <c r="CK99" s="156">
        <f t="shared" si="126"/>
        <v>0</v>
      </c>
      <c r="CL99" s="222"/>
      <c r="CM99" s="222"/>
      <c r="CN99" s="222"/>
      <c r="CO99" s="222">
        <v>0</v>
      </c>
      <c r="CP99" s="222"/>
      <c r="CQ99" s="14"/>
      <c r="CR99" s="14"/>
      <c r="CS99" s="261"/>
      <c r="CT99" s="262"/>
      <c r="CU99" s="13"/>
      <c r="CV99" s="13"/>
      <c r="CW99" s="261"/>
      <c r="CX99" s="262"/>
      <c r="CY99" s="13"/>
      <c r="CZ99" s="13"/>
      <c r="DA99" s="261">
        <f t="shared" si="127"/>
        <v>0</v>
      </c>
      <c r="DB99" s="262"/>
    </row>
    <row r="100" spans="1:106" ht="14.25" hidden="1" customHeight="1">
      <c r="A100" s="334"/>
      <c r="B100" s="334" t="s">
        <v>702</v>
      </c>
      <c r="C100" s="221"/>
      <c r="D100" s="153">
        <f t="shared" si="106"/>
        <v>0</v>
      </c>
      <c r="E100" s="250">
        <f t="shared" si="106"/>
        <v>0</v>
      </c>
      <c r="F100" s="192">
        <f t="shared" si="108"/>
        <v>0</v>
      </c>
      <c r="G100" s="192" t="e">
        <f t="shared" si="96"/>
        <v>#DIV/0!</v>
      </c>
      <c r="H100" s="153"/>
      <c r="I100" s="153"/>
      <c r="J100" s="156">
        <f t="shared" si="113"/>
        <v>0</v>
      </c>
      <c r="K100" s="156"/>
      <c r="L100" s="153"/>
      <c r="M100" s="153"/>
      <c r="N100" s="156">
        <f t="shared" si="109"/>
        <v>0</v>
      </c>
      <c r="O100" s="156" t="e">
        <f>M100/L100</f>
        <v>#DIV/0!</v>
      </c>
      <c r="P100" s="153"/>
      <c r="Q100" s="153"/>
      <c r="R100" s="156">
        <f t="shared" si="110"/>
        <v>0</v>
      </c>
      <c r="S100" s="156"/>
      <c r="T100" s="153"/>
      <c r="U100" s="153"/>
      <c r="V100" s="156">
        <f t="shared" si="111"/>
        <v>0</v>
      </c>
      <c r="W100" s="156"/>
      <c r="X100" s="153">
        <f t="shared" si="107"/>
        <v>0</v>
      </c>
      <c r="Y100" s="153">
        <f t="shared" si="107"/>
        <v>0</v>
      </c>
      <c r="Z100" s="156">
        <f t="shared" si="114"/>
        <v>0</v>
      </c>
      <c r="AA100" s="156"/>
      <c r="AB100" s="153"/>
      <c r="AC100" s="153"/>
      <c r="AD100" s="156">
        <f t="shared" si="115"/>
        <v>0</v>
      </c>
      <c r="AE100" s="156"/>
      <c r="AF100" s="153"/>
      <c r="AG100" s="153"/>
      <c r="AH100" s="156"/>
      <c r="AI100" s="153"/>
      <c r="AJ100" s="153"/>
      <c r="AK100" s="156">
        <f t="shared" si="116"/>
        <v>0</v>
      </c>
      <c r="AL100" s="156"/>
      <c r="AM100" s="153"/>
      <c r="AN100" s="153"/>
      <c r="AO100" s="156">
        <f t="shared" si="112"/>
        <v>0</v>
      </c>
      <c r="AP100" s="156"/>
      <c r="AQ100" s="156"/>
      <c r="AR100" s="156"/>
      <c r="AS100" s="156"/>
      <c r="AT100" s="156"/>
      <c r="AU100" s="153"/>
      <c r="AV100" s="153"/>
      <c r="AW100" s="156">
        <f t="shared" si="117"/>
        <v>0</v>
      </c>
      <c r="AX100" s="156"/>
      <c r="AY100" s="153"/>
      <c r="AZ100" s="153"/>
      <c r="BA100" s="156">
        <v>0</v>
      </c>
      <c r="BB100" s="156"/>
      <c r="BC100" s="153"/>
      <c r="BD100" s="153"/>
      <c r="BE100" s="156">
        <f t="shared" si="118"/>
        <v>0</v>
      </c>
      <c r="BF100" s="156"/>
      <c r="BG100" s="153"/>
      <c r="BH100" s="153"/>
      <c r="BI100" s="156">
        <f t="shared" si="119"/>
        <v>0</v>
      </c>
      <c r="BJ100" s="156"/>
      <c r="BK100" s="153"/>
      <c r="BL100" s="153"/>
      <c r="BM100" s="156">
        <f t="shared" si="120"/>
        <v>0</v>
      </c>
      <c r="BN100" s="156"/>
      <c r="BO100" s="153"/>
      <c r="BP100" s="153"/>
      <c r="BQ100" s="156">
        <f t="shared" si="121"/>
        <v>0</v>
      </c>
      <c r="BR100" s="156"/>
      <c r="BS100" s="153"/>
      <c r="BT100" s="153"/>
      <c r="BU100" s="156">
        <f t="shared" si="122"/>
        <v>0</v>
      </c>
      <c r="BV100" s="156"/>
      <c r="BW100" s="153"/>
      <c r="BX100" s="153"/>
      <c r="BY100" s="156">
        <f t="shared" si="123"/>
        <v>0</v>
      </c>
      <c r="BZ100" s="156"/>
      <c r="CA100" s="153"/>
      <c r="CB100" s="153"/>
      <c r="CC100" s="156">
        <f t="shared" si="124"/>
        <v>0</v>
      </c>
      <c r="CD100" s="156"/>
      <c r="CE100" s="153"/>
      <c r="CF100" s="153"/>
      <c r="CG100" s="156">
        <f t="shared" si="125"/>
        <v>0</v>
      </c>
      <c r="CH100" s="156"/>
      <c r="CI100" s="153"/>
      <c r="CJ100" s="153"/>
      <c r="CK100" s="156">
        <f t="shared" si="126"/>
        <v>0</v>
      </c>
      <c r="CL100" s="222"/>
      <c r="CM100" s="222"/>
      <c r="CN100" s="222"/>
      <c r="CO100" s="222">
        <v>0</v>
      </c>
      <c r="CP100" s="222"/>
      <c r="CQ100" s="14"/>
      <c r="CR100" s="14"/>
      <c r="CS100" s="261"/>
      <c r="CT100" s="262"/>
      <c r="CU100" s="13"/>
      <c r="CV100" s="13"/>
      <c r="CW100" s="261"/>
      <c r="CX100" s="262"/>
      <c r="CY100" s="13"/>
      <c r="CZ100" s="13"/>
      <c r="DA100" s="261">
        <f t="shared" si="127"/>
        <v>0</v>
      </c>
      <c r="DB100" s="262"/>
    </row>
    <row r="101" spans="1:106" ht="14.25" hidden="1" customHeight="1">
      <c r="A101" s="334"/>
      <c r="B101" s="334" t="s">
        <v>703</v>
      </c>
      <c r="C101" s="221">
        <v>0</v>
      </c>
      <c r="D101" s="153">
        <f t="shared" si="106"/>
        <v>1.9550000000000001</v>
      </c>
      <c r="E101" s="250">
        <f>I101+M101+Q101+U101+Y101+AJ101+AN101+AR101+AV101+BD101+BH101+BX101+CF101+CJ101+CN101+CR101+CV101+CZ101+AZ101+BL101+BT101</f>
        <v>0</v>
      </c>
      <c r="F101" s="192">
        <f>E101-D101</f>
        <v>-1.9550000000000001</v>
      </c>
      <c r="G101" s="192">
        <f>E101/D101</f>
        <v>0</v>
      </c>
      <c r="H101" s="153">
        <v>1.9550000000000001</v>
      </c>
      <c r="I101" s="153"/>
      <c r="J101" s="156">
        <f>I101-H101</f>
        <v>-1.9550000000000001</v>
      </c>
      <c r="K101" s="156"/>
      <c r="L101" s="153"/>
      <c r="M101" s="153"/>
      <c r="N101" s="156">
        <f>M101-L101</f>
        <v>0</v>
      </c>
      <c r="O101" s="156" t="e">
        <f>M101/L101</f>
        <v>#DIV/0!</v>
      </c>
      <c r="P101" s="153"/>
      <c r="Q101" s="153"/>
      <c r="R101" s="156">
        <f>Q101-P101</f>
        <v>0</v>
      </c>
      <c r="S101" s="156"/>
      <c r="T101" s="153"/>
      <c r="U101" s="153"/>
      <c r="V101" s="156">
        <f>U101-T101</f>
        <v>0</v>
      </c>
      <c r="W101" s="156"/>
      <c r="X101" s="153">
        <f>AB101</f>
        <v>0</v>
      </c>
      <c r="Y101" s="153">
        <f>AC101</f>
        <v>0</v>
      </c>
      <c r="Z101" s="156">
        <f>Y101-X101</f>
        <v>0</v>
      </c>
      <c r="AA101" s="156"/>
      <c r="AB101" s="153"/>
      <c r="AC101" s="153"/>
      <c r="AD101" s="156">
        <f>AC101-AB101</f>
        <v>0</v>
      </c>
      <c r="AE101" s="156"/>
      <c r="AF101" s="153"/>
      <c r="AG101" s="153"/>
      <c r="AH101" s="156"/>
      <c r="AI101" s="153"/>
      <c r="AJ101" s="153"/>
      <c r="AK101" s="156">
        <f>AJ101-AI101</f>
        <v>0</v>
      </c>
      <c r="AL101" s="156"/>
      <c r="AM101" s="153"/>
      <c r="AN101" s="153"/>
      <c r="AO101" s="156">
        <f>AN101-AM101</f>
        <v>0</v>
      </c>
      <c r="AP101" s="156" t="e">
        <f>AN101/AM101</f>
        <v>#DIV/0!</v>
      </c>
      <c r="AQ101" s="156"/>
      <c r="AR101" s="156"/>
      <c r="AS101" s="156">
        <f>AR101-AQ101</f>
        <v>0</v>
      </c>
      <c r="AT101" s="156"/>
      <c r="AU101" s="153"/>
      <c r="AV101" s="153"/>
      <c r="AW101" s="156">
        <f>AV101-AU101</f>
        <v>0</v>
      </c>
      <c r="AX101" s="156"/>
      <c r="AY101" s="153"/>
      <c r="AZ101" s="153"/>
      <c r="BA101" s="156">
        <v>0</v>
      </c>
      <c r="BB101" s="156"/>
      <c r="BC101" s="153"/>
      <c r="BD101" s="153"/>
      <c r="BE101" s="156">
        <f>BD101-BC101</f>
        <v>0</v>
      </c>
      <c r="BF101" s="156"/>
      <c r="BG101" s="153"/>
      <c r="BH101" s="153"/>
      <c r="BI101" s="156">
        <f>BH101-BG101</f>
        <v>0</v>
      </c>
      <c r="BJ101" s="156"/>
      <c r="BK101" s="153"/>
      <c r="BL101" s="153"/>
      <c r="BM101" s="156">
        <f>BL101-BK101</f>
        <v>0</v>
      </c>
      <c r="BN101" s="156"/>
      <c r="BO101" s="153"/>
      <c r="BP101" s="153"/>
      <c r="BQ101" s="156">
        <f>BP101-BO101</f>
        <v>0</v>
      </c>
      <c r="BR101" s="156"/>
      <c r="BS101" s="153"/>
      <c r="BT101" s="153"/>
      <c r="BU101" s="156">
        <f>BT101-BS101</f>
        <v>0</v>
      </c>
      <c r="BV101" s="156"/>
      <c r="BW101" s="153"/>
      <c r="BX101" s="153"/>
      <c r="BY101" s="156">
        <f>BX101-BW101</f>
        <v>0</v>
      </c>
      <c r="BZ101" s="156"/>
      <c r="CA101" s="153"/>
      <c r="CB101" s="153"/>
      <c r="CC101" s="156">
        <f>CB101-CA101</f>
        <v>0</v>
      </c>
      <c r="CD101" s="156"/>
      <c r="CE101" s="153"/>
      <c r="CF101" s="153"/>
      <c r="CG101" s="156">
        <f>CF101-CE101</f>
        <v>0</v>
      </c>
      <c r="CH101" s="156"/>
      <c r="CI101" s="153"/>
      <c r="CJ101" s="153"/>
      <c r="CK101" s="156">
        <f>CJ101-CI101</f>
        <v>0</v>
      </c>
      <c r="CL101" s="222"/>
      <c r="CM101" s="222"/>
      <c r="CN101" s="222"/>
      <c r="CO101" s="222">
        <v>0</v>
      </c>
      <c r="CP101" s="222"/>
      <c r="CQ101" s="14"/>
      <c r="CR101" s="14"/>
      <c r="CS101" s="261"/>
      <c r="CT101" s="262"/>
      <c r="CU101" s="13"/>
      <c r="CV101" s="13"/>
      <c r="CW101" s="261"/>
      <c r="CX101" s="262"/>
      <c r="CY101" s="13"/>
      <c r="CZ101" s="13"/>
      <c r="DA101" s="261">
        <f>CZ101-CY101</f>
        <v>0</v>
      </c>
      <c r="DB101" s="262"/>
    </row>
    <row r="102" spans="1:106" ht="14.25" hidden="1" customHeight="1">
      <c r="A102" s="334"/>
      <c r="B102" s="334" t="s">
        <v>372</v>
      </c>
      <c r="C102" s="221"/>
      <c r="D102" s="153">
        <f t="shared" si="106"/>
        <v>0</v>
      </c>
      <c r="E102" s="250">
        <f t="shared" si="106"/>
        <v>0</v>
      </c>
      <c r="F102" s="192">
        <f t="shared" si="108"/>
        <v>0</v>
      </c>
      <c r="G102" s="192" t="e">
        <f t="shared" si="96"/>
        <v>#DIV/0!</v>
      </c>
      <c r="H102" s="153"/>
      <c r="I102" s="153"/>
      <c r="J102" s="156">
        <f t="shared" si="113"/>
        <v>0</v>
      </c>
      <c r="K102" s="156"/>
      <c r="L102" s="153"/>
      <c r="M102" s="153"/>
      <c r="N102" s="156">
        <f t="shared" si="109"/>
        <v>0</v>
      </c>
      <c r="O102" s="156" t="e">
        <f>M102/L102</f>
        <v>#DIV/0!</v>
      </c>
      <c r="P102" s="153"/>
      <c r="Q102" s="153"/>
      <c r="R102" s="156">
        <f t="shared" si="110"/>
        <v>0</v>
      </c>
      <c r="S102" s="156"/>
      <c r="T102" s="153"/>
      <c r="U102" s="153"/>
      <c r="V102" s="156">
        <f t="shared" si="111"/>
        <v>0</v>
      </c>
      <c r="W102" s="156"/>
      <c r="X102" s="153">
        <f t="shared" si="107"/>
        <v>0</v>
      </c>
      <c r="Y102" s="153">
        <f t="shared" si="107"/>
        <v>0</v>
      </c>
      <c r="Z102" s="156">
        <f t="shared" si="114"/>
        <v>0</v>
      </c>
      <c r="AA102" s="156"/>
      <c r="AB102" s="153"/>
      <c r="AC102" s="153"/>
      <c r="AD102" s="156">
        <f t="shared" si="115"/>
        <v>0</v>
      </c>
      <c r="AE102" s="156"/>
      <c r="AF102" s="153"/>
      <c r="AG102" s="153"/>
      <c r="AH102" s="156"/>
      <c r="AI102" s="153"/>
      <c r="AJ102" s="153"/>
      <c r="AK102" s="156">
        <f t="shared" si="116"/>
        <v>0</v>
      </c>
      <c r="AL102" s="156"/>
      <c r="AM102" s="153"/>
      <c r="AN102" s="153"/>
      <c r="AO102" s="156">
        <f t="shared" si="112"/>
        <v>0</v>
      </c>
      <c r="AP102" s="156" t="e">
        <f>AN102/AM102</f>
        <v>#DIV/0!</v>
      </c>
      <c r="AQ102" s="156"/>
      <c r="AR102" s="156"/>
      <c r="AS102" s="156">
        <f>AR102-AQ102</f>
        <v>0</v>
      </c>
      <c r="AT102" s="156"/>
      <c r="AU102" s="153"/>
      <c r="AV102" s="153"/>
      <c r="AW102" s="156">
        <f t="shared" si="117"/>
        <v>0</v>
      </c>
      <c r="AX102" s="156"/>
      <c r="AY102" s="153"/>
      <c r="AZ102" s="153"/>
      <c r="BA102" s="156">
        <v>0</v>
      </c>
      <c r="BB102" s="156"/>
      <c r="BC102" s="153"/>
      <c r="BD102" s="153"/>
      <c r="BE102" s="156">
        <f t="shared" si="118"/>
        <v>0</v>
      </c>
      <c r="BF102" s="156"/>
      <c r="BG102" s="153"/>
      <c r="BH102" s="153"/>
      <c r="BI102" s="156">
        <f t="shared" si="119"/>
        <v>0</v>
      </c>
      <c r="BJ102" s="156"/>
      <c r="BK102" s="153"/>
      <c r="BL102" s="153"/>
      <c r="BM102" s="156">
        <f t="shared" si="120"/>
        <v>0</v>
      </c>
      <c r="BN102" s="156"/>
      <c r="BO102" s="153"/>
      <c r="BP102" s="153"/>
      <c r="BQ102" s="156">
        <f t="shared" si="121"/>
        <v>0</v>
      </c>
      <c r="BR102" s="156"/>
      <c r="BS102" s="153"/>
      <c r="BT102" s="153"/>
      <c r="BU102" s="156">
        <f t="shared" si="122"/>
        <v>0</v>
      </c>
      <c r="BV102" s="156"/>
      <c r="BW102" s="153"/>
      <c r="BX102" s="153"/>
      <c r="BY102" s="156">
        <f t="shared" si="123"/>
        <v>0</v>
      </c>
      <c r="BZ102" s="156"/>
      <c r="CA102" s="153"/>
      <c r="CB102" s="153"/>
      <c r="CC102" s="156">
        <f t="shared" si="124"/>
        <v>0</v>
      </c>
      <c r="CD102" s="156"/>
      <c r="CE102" s="153"/>
      <c r="CF102" s="153"/>
      <c r="CG102" s="156">
        <f t="shared" si="125"/>
        <v>0</v>
      </c>
      <c r="CH102" s="156"/>
      <c r="CI102" s="153"/>
      <c r="CJ102" s="153"/>
      <c r="CK102" s="156">
        <f t="shared" si="126"/>
        <v>0</v>
      </c>
      <c r="CL102" s="222"/>
      <c r="CM102" s="222"/>
      <c r="CN102" s="222"/>
      <c r="CO102" s="222">
        <v>0</v>
      </c>
      <c r="CP102" s="222"/>
      <c r="CQ102" s="14"/>
      <c r="CR102" s="14"/>
      <c r="CS102" s="261"/>
      <c r="CT102" s="262"/>
      <c r="CU102" s="13"/>
      <c r="CV102" s="13"/>
      <c r="CW102" s="261"/>
      <c r="CX102" s="262"/>
      <c r="CY102" s="13"/>
      <c r="CZ102" s="13"/>
      <c r="DA102" s="261">
        <f t="shared" si="127"/>
        <v>0</v>
      </c>
      <c r="DB102" s="262"/>
    </row>
    <row r="103" spans="1:106" ht="14.25" hidden="1" customHeight="1">
      <c r="A103" s="334"/>
      <c r="B103" s="334" t="s">
        <v>373</v>
      </c>
      <c r="C103" s="221"/>
      <c r="D103" s="153">
        <f t="shared" si="106"/>
        <v>0</v>
      </c>
      <c r="E103" s="250">
        <f t="shared" si="106"/>
        <v>0</v>
      </c>
      <c r="F103" s="192">
        <f t="shared" si="108"/>
        <v>0</v>
      </c>
      <c r="G103" s="192" t="e">
        <f t="shared" si="96"/>
        <v>#DIV/0!</v>
      </c>
      <c r="H103" s="153"/>
      <c r="I103" s="153"/>
      <c r="J103" s="156">
        <f t="shared" si="113"/>
        <v>0</v>
      </c>
      <c r="K103" s="156"/>
      <c r="L103" s="153"/>
      <c r="M103" s="153"/>
      <c r="N103" s="156">
        <f t="shared" si="109"/>
        <v>0</v>
      </c>
      <c r="O103" s="156"/>
      <c r="P103" s="153"/>
      <c r="Q103" s="153"/>
      <c r="R103" s="156">
        <f t="shared" si="110"/>
        <v>0</v>
      </c>
      <c r="S103" s="156"/>
      <c r="T103" s="153"/>
      <c r="U103" s="153"/>
      <c r="V103" s="156">
        <f t="shared" si="111"/>
        <v>0</v>
      </c>
      <c r="W103" s="156"/>
      <c r="X103" s="153">
        <f t="shared" si="107"/>
        <v>0</v>
      </c>
      <c r="Y103" s="153">
        <f t="shared" si="107"/>
        <v>0</v>
      </c>
      <c r="Z103" s="156">
        <f t="shared" si="114"/>
        <v>0</v>
      </c>
      <c r="AA103" s="156"/>
      <c r="AB103" s="153"/>
      <c r="AC103" s="153"/>
      <c r="AD103" s="156">
        <f t="shared" si="115"/>
        <v>0</v>
      </c>
      <c r="AE103" s="156"/>
      <c r="AF103" s="153"/>
      <c r="AG103" s="153"/>
      <c r="AH103" s="156"/>
      <c r="AI103" s="153"/>
      <c r="AJ103" s="153"/>
      <c r="AK103" s="156">
        <f t="shared" si="116"/>
        <v>0</v>
      </c>
      <c r="AL103" s="156"/>
      <c r="AM103" s="153"/>
      <c r="AN103" s="153"/>
      <c r="AO103" s="156">
        <f t="shared" si="112"/>
        <v>0</v>
      </c>
      <c r="AP103" s="156"/>
      <c r="AQ103" s="156"/>
      <c r="AR103" s="156"/>
      <c r="AS103" s="156"/>
      <c r="AT103" s="156"/>
      <c r="AU103" s="153"/>
      <c r="AV103" s="153"/>
      <c r="AW103" s="156">
        <f t="shared" si="117"/>
        <v>0</v>
      </c>
      <c r="AX103" s="156"/>
      <c r="AY103" s="153"/>
      <c r="AZ103" s="153"/>
      <c r="BA103" s="156">
        <v>0</v>
      </c>
      <c r="BB103" s="156"/>
      <c r="BC103" s="153"/>
      <c r="BD103" s="153"/>
      <c r="BE103" s="156">
        <f t="shared" si="118"/>
        <v>0</v>
      </c>
      <c r="BF103" s="156"/>
      <c r="BG103" s="153"/>
      <c r="BH103" s="153"/>
      <c r="BI103" s="156">
        <f t="shared" si="119"/>
        <v>0</v>
      </c>
      <c r="BJ103" s="156"/>
      <c r="BK103" s="153"/>
      <c r="BL103" s="153"/>
      <c r="BM103" s="156">
        <f t="shared" si="120"/>
        <v>0</v>
      </c>
      <c r="BN103" s="156"/>
      <c r="BO103" s="153"/>
      <c r="BP103" s="153"/>
      <c r="BQ103" s="156">
        <f t="shared" si="121"/>
        <v>0</v>
      </c>
      <c r="BR103" s="156"/>
      <c r="BS103" s="153"/>
      <c r="BT103" s="153"/>
      <c r="BU103" s="156">
        <f t="shared" si="122"/>
        <v>0</v>
      </c>
      <c r="BV103" s="156"/>
      <c r="BW103" s="153"/>
      <c r="BX103" s="153"/>
      <c r="BY103" s="156">
        <f t="shared" si="123"/>
        <v>0</v>
      </c>
      <c r="BZ103" s="156"/>
      <c r="CA103" s="153"/>
      <c r="CB103" s="153"/>
      <c r="CC103" s="156">
        <f t="shared" si="124"/>
        <v>0</v>
      </c>
      <c r="CD103" s="156"/>
      <c r="CE103" s="153"/>
      <c r="CF103" s="153"/>
      <c r="CG103" s="156">
        <f t="shared" si="125"/>
        <v>0</v>
      </c>
      <c r="CH103" s="156"/>
      <c r="CI103" s="153"/>
      <c r="CJ103" s="153"/>
      <c r="CK103" s="156">
        <f t="shared" si="126"/>
        <v>0</v>
      </c>
      <c r="CL103" s="222"/>
      <c r="CM103" s="222"/>
      <c r="CN103" s="222"/>
      <c r="CO103" s="222">
        <v>0</v>
      </c>
      <c r="CP103" s="222"/>
      <c r="CQ103" s="14"/>
      <c r="CR103" s="14"/>
      <c r="CS103" s="261"/>
      <c r="CT103" s="262"/>
      <c r="CU103" s="13"/>
      <c r="CV103" s="13"/>
      <c r="CW103" s="261"/>
      <c r="CX103" s="262"/>
      <c r="CY103" s="13"/>
      <c r="CZ103" s="13"/>
      <c r="DA103" s="261">
        <f t="shared" si="127"/>
        <v>0</v>
      </c>
      <c r="DB103" s="262"/>
    </row>
    <row r="104" spans="1:106" ht="14.25" customHeight="1">
      <c r="A104" s="334"/>
      <c r="B104" s="334" t="s">
        <v>599</v>
      </c>
      <c r="C104" s="221">
        <v>113.3</v>
      </c>
      <c r="D104" s="153">
        <f t="shared" si="106"/>
        <v>123.706</v>
      </c>
      <c r="E104" s="153">
        <f t="shared" si="106"/>
        <v>128.733</v>
      </c>
      <c r="F104" s="192">
        <f t="shared" si="108"/>
        <v>5.027000000000001</v>
      </c>
      <c r="G104" s="192">
        <f t="shared" si="96"/>
        <v>1.0406366708162902</v>
      </c>
      <c r="H104" s="153"/>
      <c r="I104" s="153"/>
      <c r="J104" s="156">
        <f t="shared" si="113"/>
        <v>0</v>
      </c>
      <c r="K104" s="156"/>
      <c r="L104" s="153">
        <v>32.5</v>
      </c>
      <c r="M104" s="153">
        <v>37.527000000000001</v>
      </c>
      <c r="N104" s="156">
        <f t="shared" si="109"/>
        <v>5.027000000000001</v>
      </c>
      <c r="O104" s="156"/>
      <c r="P104" s="153"/>
      <c r="Q104" s="153"/>
      <c r="R104" s="156">
        <f t="shared" si="110"/>
        <v>0</v>
      </c>
      <c r="S104" s="156"/>
      <c r="T104" s="153">
        <v>91.206000000000003</v>
      </c>
      <c r="U104" s="153">
        <v>91.206000000000003</v>
      </c>
      <c r="V104" s="156">
        <f t="shared" si="111"/>
        <v>0</v>
      </c>
      <c r="W104" s="156"/>
      <c r="X104" s="153">
        <f t="shared" si="107"/>
        <v>0</v>
      </c>
      <c r="Y104" s="153">
        <f t="shared" si="107"/>
        <v>0</v>
      </c>
      <c r="Z104" s="156">
        <f t="shared" si="114"/>
        <v>0</v>
      </c>
      <c r="AA104" s="156"/>
      <c r="AB104" s="153"/>
      <c r="AC104" s="153"/>
      <c r="AD104" s="156">
        <f t="shared" si="115"/>
        <v>0</v>
      </c>
      <c r="AE104" s="156"/>
      <c r="AF104" s="153"/>
      <c r="AG104" s="153"/>
      <c r="AH104" s="156"/>
      <c r="AI104" s="153"/>
      <c r="AJ104" s="153"/>
      <c r="AK104" s="156">
        <f t="shared" si="116"/>
        <v>0</v>
      </c>
      <c r="AL104" s="156"/>
      <c r="AM104" s="153"/>
      <c r="AN104" s="153"/>
      <c r="AO104" s="156">
        <f t="shared" si="112"/>
        <v>0</v>
      </c>
      <c r="AP104" s="156"/>
      <c r="AQ104" s="156"/>
      <c r="AR104" s="156"/>
      <c r="AS104" s="156"/>
      <c r="AT104" s="156"/>
      <c r="AU104" s="153"/>
      <c r="AV104" s="153"/>
      <c r="AW104" s="156">
        <f t="shared" si="117"/>
        <v>0</v>
      </c>
      <c r="AX104" s="156"/>
      <c r="AY104" s="153"/>
      <c r="AZ104" s="153"/>
      <c r="BA104" s="156">
        <v>0</v>
      </c>
      <c r="BB104" s="156"/>
      <c r="BC104" s="153"/>
      <c r="BD104" s="153"/>
      <c r="BE104" s="156">
        <f t="shared" si="118"/>
        <v>0</v>
      </c>
      <c r="BF104" s="156"/>
      <c r="BG104" s="153"/>
      <c r="BH104" s="153"/>
      <c r="BI104" s="156">
        <f t="shared" si="119"/>
        <v>0</v>
      </c>
      <c r="BJ104" s="156"/>
      <c r="BK104" s="153"/>
      <c r="BL104" s="153"/>
      <c r="BM104" s="156">
        <f t="shared" si="120"/>
        <v>0</v>
      </c>
      <c r="BN104" s="156"/>
      <c r="BO104" s="153"/>
      <c r="BP104" s="153"/>
      <c r="BQ104" s="156">
        <f t="shared" si="121"/>
        <v>0</v>
      </c>
      <c r="BR104" s="156"/>
      <c r="BS104" s="153"/>
      <c r="BT104" s="153"/>
      <c r="BU104" s="156">
        <f t="shared" si="122"/>
        <v>0</v>
      </c>
      <c r="BV104" s="156"/>
      <c r="BW104" s="153"/>
      <c r="BX104" s="153"/>
      <c r="BY104" s="156">
        <f t="shared" si="123"/>
        <v>0</v>
      </c>
      <c r="BZ104" s="156"/>
      <c r="CA104" s="153"/>
      <c r="CB104" s="153"/>
      <c r="CC104" s="156">
        <f t="shared" si="124"/>
        <v>0</v>
      </c>
      <c r="CD104" s="156"/>
      <c r="CE104" s="153"/>
      <c r="CF104" s="153"/>
      <c r="CG104" s="156">
        <f t="shared" si="125"/>
        <v>0</v>
      </c>
      <c r="CH104" s="156"/>
      <c r="CI104" s="153"/>
      <c r="CJ104" s="153"/>
      <c r="CK104" s="156">
        <f t="shared" si="126"/>
        <v>0</v>
      </c>
      <c r="CL104" s="222"/>
      <c r="CM104" s="222"/>
      <c r="CN104" s="222"/>
      <c r="CO104" s="222">
        <v>0</v>
      </c>
      <c r="CP104" s="222"/>
      <c r="CQ104" s="14"/>
      <c r="CR104" s="14"/>
      <c r="CS104" s="261"/>
      <c r="CT104" s="262"/>
      <c r="CU104" s="13"/>
      <c r="CV104" s="13"/>
      <c r="CW104" s="261"/>
      <c r="CX104" s="262"/>
      <c r="CY104" s="13"/>
      <c r="CZ104" s="13"/>
      <c r="DA104" s="261">
        <f t="shared" si="127"/>
        <v>0</v>
      </c>
      <c r="DB104" s="262"/>
    </row>
    <row r="105" spans="1:106" ht="14.25" customHeight="1">
      <c r="A105" s="334"/>
      <c r="B105" s="334" t="s">
        <v>557</v>
      </c>
      <c r="C105" s="221">
        <v>3.01</v>
      </c>
      <c r="D105" s="153">
        <f>H105+L105+P105+T105+X105+AI105+AM105+AQ105+AU105+BC105+BG105+BW105+CE105+CI105+CM105+CQ105+CU105+CY105+AY105+BK105+BS105+BO105</f>
        <v>3</v>
      </c>
      <c r="E105" s="153">
        <f>I105+M105+Q105+U105+Y105+AJ105+AN105+AR105+AV105+BD105+BH105+BX105+CF105+CJ105+CN105+CR105+CV105+CZ105+AZ105+BL105+BT105+BP105</f>
        <v>3</v>
      </c>
      <c r="F105" s="192">
        <f t="shared" si="108"/>
        <v>0</v>
      </c>
      <c r="G105" s="192"/>
      <c r="H105" s="153"/>
      <c r="I105" s="153"/>
      <c r="J105" s="156">
        <f t="shared" si="113"/>
        <v>0</v>
      </c>
      <c r="K105" s="156"/>
      <c r="L105" s="153"/>
      <c r="M105" s="153"/>
      <c r="N105" s="156">
        <f t="shared" si="109"/>
        <v>0</v>
      </c>
      <c r="O105" s="156"/>
      <c r="P105" s="153"/>
      <c r="Q105" s="153"/>
      <c r="R105" s="156">
        <f t="shared" si="110"/>
        <v>0</v>
      </c>
      <c r="S105" s="156"/>
      <c r="T105" s="153"/>
      <c r="U105" s="153"/>
      <c r="V105" s="156">
        <f t="shared" si="111"/>
        <v>0</v>
      </c>
      <c r="W105" s="156"/>
      <c r="X105" s="153">
        <f t="shared" si="107"/>
        <v>0</v>
      </c>
      <c r="Y105" s="153">
        <f t="shared" si="107"/>
        <v>0</v>
      </c>
      <c r="Z105" s="156">
        <f t="shared" si="114"/>
        <v>0</v>
      </c>
      <c r="AA105" s="156"/>
      <c r="AB105" s="153"/>
      <c r="AC105" s="153"/>
      <c r="AD105" s="156">
        <f t="shared" si="115"/>
        <v>0</v>
      </c>
      <c r="AE105" s="156"/>
      <c r="AF105" s="153"/>
      <c r="AG105" s="153"/>
      <c r="AH105" s="156"/>
      <c r="AI105" s="153"/>
      <c r="AJ105" s="153"/>
      <c r="AK105" s="156">
        <f t="shared" si="116"/>
        <v>0</v>
      </c>
      <c r="AL105" s="156"/>
      <c r="AM105" s="153"/>
      <c r="AN105" s="153"/>
      <c r="AO105" s="156">
        <f t="shared" si="112"/>
        <v>0</v>
      </c>
      <c r="AP105" s="156"/>
      <c r="AQ105" s="156"/>
      <c r="AR105" s="156"/>
      <c r="AS105" s="156"/>
      <c r="AT105" s="156"/>
      <c r="AU105" s="153"/>
      <c r="AV105" s="153"/>
      <c r="AW105" s="156">
        <f t="shared" si="117"/>
        <v>0</v>
      </c>
      <c r="AX105" s="156"/>
      <c r="AY105" s="153"/>
      <c r="AZ105" s="153"/>
      <c r="BA105" s="156">
        <v>0</v>
      </c>
      <c r="BB105" s="156"/>
      <c r="BC105" s="153"/>
      <c r="BD105" s="153"/>
      <c r="BE105" s="156">
        <f t="shared" si="118"/>
        <v>0</v>
      </c>
      <c r="BF105" s="156"/>
      <c r="BG105" s="153"/>
      <c r="BH105" s="153"/>
      <c r="BI105" s="156">
        <f t="shared" si="119"/>
        <v>0</v>
      </c>
      <c r="BJ105" s="156"/>
      <c r="BK105" s="153"/>
      <c r="BL105" s="153"/>
      <c r="BM105" s="156">
        <f t="shared" si="120"/>
        <v>0</v>
      </c>
      <c r="BN105" s="156"/>
      <c r="BO105" s="153">
        <v>3</v>
      </c>
      <c r="BP105" s="153">
        <v>3</v>
      </c>
      <c r="BQ105" s="156">
        <f t="shared" si="121"/>
        <v>0</v>
      </c>
      <c r="BR105" s="156"/>
      <c r="BS105" s="153"/>
      <c r="BT105" s="153"/>
      <c r="BU105" s="156">
        <f t="shared" si="122"/>
        <v>0</v>
      </c>
      <c r="BV105" s="156"/>
      <c r="BW105" s="153"/>
      <c r="BX105" s="153"/>
      <c r="BY105" s="156">
        <f t="shared" si="123"/>
        <v>0</v>
      </c>
      <c r="BZ105" s="156"/>
      <c r="CA105" s="153"/>
      <c r="CB105" s="153"/>
      <c r="CC105" s="156">
        <f t="shared" si="124"/>
        <v>0</v>
      </c>
      <c r="CD105" s="156"/>
      <c r="CE105" s="153"/>
      <c r="CF105" s="153"/>
      <c r="CG105" s="156">
        <f t="shared" si="125"/>
        <v>0</v>
      </c>
      <c r="CH105" s="156"/>
      <c r="CI105" s="153"/>
      <c r="CJ105" s="153"/>
      <c r="CK105" s="156">
        <f t="shared" si="126"/>
        <v>0</v>
      </c>
      <c r="CL105" s="222"/>
      <c r="CM105" s="222"/>
      <c r="CN105" s="222"/>
      <c r="CO105" s="222">
        <v>0</v>
      </c>
      <c r="CP105" s="222"/>
      <c r="CQ105" s="14"/>
      <c r="CR105" s="14"/>
      <c r="CS105" s="261"/>
      <c r="CT105" s="262"/>
      <c r="CU105" s="13"/>
      <c r="CV105" s="13"/>
      <c r="CW105" s="261"/>
      <c r="CX105" s="262"/>
      <c r="CY105" s="13"/>
      <c r="CZ105" s="13"/>
      <c r="DA105" s="261">
        <f t="shared" si="127"/>
        <v>0</v>
      </c>
      <c r="DB105" s="262"/>
    </row>
    <row r="106" spans="1:106" ht="14.25" hidden="1" customHeight="1">
      <c r="A106" s="334"/>
      <c r="B106" s="334" t="s">
        <v>558</v>
      </c>
      <c r="C106" s="221">
        <v>3.5</v>
      </c>
      <c r="D106" s="153">
        <f t="shared" si="106"/>
        <v>0</v>
      </c>
      <c r="E106" s="153">
        <f t="shared" si="106"/>
        <v>0</v>
      </c>
      <c r="F106" s="192">
        <f t="shared" si="108"/>
        <v>0</v>
      </c>
      <c r="G106" s="192" t="e">
        <f t="shared" ref="G106:G128" si="128">E106/D106</f>
        <v>#DIV/0!</v>
      </c>
      <c r="H106" s="153"/>
      <c r="I106" s="153"/>
      <c r="J106" s="156">
        <f t="shared" si="113"/>
        <v>0</v>
      </c>
      <c r="K106" s="156" t="e">
        <f>I106/H106</f>
        <v>#DIV/0!</v>
      </c>
      <c r="L106" s="153"/>
      <c r="M106" s="153"/>
      <c r="N106" s="156">
        <f t="shared" si="109"/>
        <v>0</v>
      </c>
      <c r="O106" s="156"/>
      <c r="P106" s="153"/>
      <c r="Q106" s="153"/>
      <c r="R106" s="156">
        <f t="shared" si="110"/>
        <v>0</v>
      </c>
      <c r="S106" s="156"/>
      <c r="T106" s="153"/>
      <c r="U106" s="153"/>
      <c r="V106" s="156">
        <f t="shared" si="111"/>
        <v>0</v>
      </c>
      <c r="W106" s="156"/>
      <c r="X106" s="153">
        <f t="shared" si="107"/>
        <v>0</v>
      </c>
      <c r="Y106" s="153">
        <f t="shared" si="107"/>
        <v>0</v>
      </c>
      <c r="Z106" s="156">
        <f t="shared" si="114"/>
        <v>0</v>
      </c>
      <c r="AA106" s="156"/>
      <c r="AB106" s="153"/>
      <c r="AC106" s="153"/>
      <c r="AD106" s="156">
        <f t="shared" si="115"/>
        <v>0</v>
      </c>
      <c r="AE106" s="156"/>
      <c r="AF106" s="153"/>
      <c r="AG106" s="153"/>
      <c r="AH106" s="156"/>
      <c r="AI106" s="153"/>
      <c r="AJ106" s="153"/>
      <c r="AK106" s="156">
        <f t="shared" si="116"/>
        <v>0</v>
      </c>
      <c r="AL106" s="156"/>
      <c r="AM106" s="153"/>
      <c r="AN106" s="153"/>
      <c r="AO106" s="156">
        <f t="shared" si="112"/>
        <v>0</v>
      </c>
      <c r="AP106" s="156"/>
      <c r="AQ106" s="156"/>
      <c r="AR106" s="156"/>
      <c r="AS106" s="156">
        <f>AR106-AQ106</f>
        <v>0</v>
      </c>
      <c r="AT106" s="156"/>
      <c r="AU106" s="153"/>
      <c r="AV106" s="153"/>
      <c r="AW106" s="156">
        <f t="shared" si="117"/>
        <v>0</v>
      </c>
      <c r="AX106" s="156"/>
      <c r="AY106" s="153"/>
      <c r="AZ106" s="153"/>
      <c r="BA106" s="156">
        <v>0</v>
      </c>
      <c r="BB106" s="156"/>
      <c r="BC106" s="153"/>
      <c r="BD106" s="153"/>
      <c r="BE106" s="156">
        <f t="shared" si="118"/>
        <v>0</v>
      </c>
      <c r="BF106" s="156"/>
      <c r="BG106" s="153"/>
      <c r="BH106" s="153"/>
      <c r="BI106" s="156">
        <f t="shared" si="119"/>
        <v>0</v>
      </c>
      <c r="BJ106" s="156"/>
      <c r="BK106" s="153"/>
      <c r="BL106" s="153"/>
      <c r="BM106" s="156">
        <f t="shared" si="120"/>
        <v>0</v>
      </c>
      <c r="BN106" s="156"/>
      <c r="BO106" s="153"/>
      <c r="BP106" s="153"/>
      <c r="BQ106" s="156">
        <f t="shared" si="121"/>
        <v>0</v>
      </c>
      <c r="BR106" s="156"/>
      <c r="BS106" s="153"/>
      <c r="BT106" s="153"/>
      <c r="BU106" s="156">
        <f t="shared" si="122"/>
        <v>0</v>
      </c>
      <c r="BV106" s="156"/>
      <c r="BW106" s="153"/>
      <c r="BX106" s="153"/>
      <c r="BY106" s="156">
        <f t="shared" si="123"/>
        <v>0</v>
      </c>
      <c r="BZ106" s="156"/>
      <c r="CA106" s="153"/>
      <c r="CB106" s="153"/>
      <c r="CC106" s="156">
        <f t="shared" si="124"/>
        <v>0</v>
      </c>
      <c r="CD106" s="156"/>
      <c r="CE106" s="153"/>
      <c r="CF106" s="153"/>
      <c r="CG106" s="156">
        <f t="shared" si="125"/>
        <v>0</v>
      </c>
      <c r="CH106" s="156"/>
      <c r="CI106" s="153"/>
      <c r="CJ106" s="153"/>
      <c r="CK106" s="156">
        <f t="shared" si="126"/>
        <v>0</v>
      </c>
      <c r="CL106" s="222"/>
      <c r="CM106" s="222"/>
      <c r="CN106" s="222"/>
      <c r="CO106" s="222">
        <v>0</v>
      </c>
      <c r="CP106" s="222"/>
      <c r="CQ106" s="14"/>
      <c r="CR106" s="14"/>
      <c r="CS106" s="261"/>
      <c r="CT106" s="262"/>
      <c r="CU106" s="13"/>
      <c r="CV106" s="13"/>
      <c r="CW106" s="261"/>
      <c r="CX106" s="262"/>
      <c r="CY106" s="13"/>
      <c r="CZ106" s="13"/>
      <c r="DA106" s="261">
        <f t="shared" si="127"/>
        <v>0</v>
      </c>
      <c r="DB106" s="262"/>
    </row>
    <row r="107" spans="1:106" ht="14.25" hidden="1" customHeight="1">
      <c r="A107" s="334"/>
      <c r="B107" s="334" t="s">
        <v>374</v>
      </c>
      <c r="C107" s="221"/>
      <c r="D107" s="153">
        <f t="shared" si="106"/>
        <v>0</v>
      </c>
      <c r="E107" s="250">
        <f t="shared" si="106"/>
        <v>0</v>
      </c>
      <c r="F107" s="192">
        <f t="shared" si="108"/>
        <v>0</v>
      </c>
      <c r="G107" s="192" t="e">
        <f t="shared" si="128"/>
        <v>#DIV/0!</v>
      </c>
      <c r="H107" s="153"/>
      <c r="I107" s="153"/>
      <c r="J107" s="156">
        <f t="shared" si="113"/>
        <v>0</v>
      </c>
      <c r="K107" s="156"/>
      <c r="L107" s="153"/>
      <c r="M107" s="153"/>
      <c r="N107" s="156">
        <f t="shared" si="109"/>
        <v>0</v>
      </c>
      <c r="O107" s="156"/>
      <c r="P107" s="153"/>
      <c r="Q107" s="153"/>
      <c r="R107" s="156">
        <f t="shared" si="110"/>
        <v>0</v>
      </c>
      <c r="S107" s="156"/>
      <c r="T107" s="153"/>
      <c r="U107" s="153"/>
      <c r="V107" s="156">
        <f t="shared" si="111"/>
        <v>0</v>
      </c>
      <c r="W107" s="156"/>
      <c r="X107" s="153">
        <f t="shared" si="107"/>
        <v>0</v>
      </c>
      <c r="Y107" s="153">
        <f t="shared" si="107"/>
        <v>0</v>
      </c>
      <c r="Z107" s="156">
        <f t="shared" si="114"/>
        <v>0</v>
      </c>
      <c r="AA107" s="156"/>
      <c r="AB107" s="153"/>
      <c r="AC107" s="153"/>
      <c r="AD107" s="156">
        <f t="shared" si="115"/>
        <v>0</v>
      </c>
      <c r="AE107" s="156"/>
      <c r="AF107" s="153"/>
      <c r="AG107" s="153"/>
      <c r="AH107" s="156"/>
      <c r="AI107" s="153"/>
      <c r="AJ107" s="153"/>
      <c r="AK107" s="156">
        <f t="shared" si="116"/>
        <v>0</v>
      </c>
      <c r="AL107" s="156"/>
      <c r="AM107" s="153"/>
      <c r="AN107" s="153"/>
      <c r="AO107" s="156">
        <f t="shared" si="112"/>
        <v>0</v>
      </c>
      <c r="AP107" s="156"/>
      <c r="AQ107" s="156"/>
      <c r="AR107" s="156"/>
      <c r="AS107" s="156">
        <f>AR107-AQ107</f>
        <v>0</v>
      </c>
      <c r="AT107" s="156"/>
      <c r="AU107" s="153"/>
      <c r="AV107" s="153"/>
      <c r="AW107" s="156">
        <f t="shared" si="117"/>
        <v>0</v>
      </c>
      <c r="AX107" s="156"/>
      <c r="AY107" s="153"/>
      <c r="AZ107" s="153"/>
      <c r="BA107" s="156">
        <v>0</v>
      </c>
      <c r="BB107" s="156"/>
      <c r="BC107" s="153"/>
      <c r="BD107" s="153"/>
      <c r="BE107" s="156">
        <f t="shared" si="118"/>
        <v>0</v>
      </c>
      <c r="BF107" s="156"/>
      <c r="BG107" s="153"/>
      <c r="BH107" s="153"/>
      <c r="BI107" s="156">
        <f t="shared" si="119"/>
        <v>0</v>
      </c>
      <c r="BJ107" s="156"/>
      <c r="BK107" s="153"/>
      <c r="BL107" s="153"/>
      <c r="BM107" s="156">
        <f t="shared" si="120"/>
        <v>0</v>
      </c>
      <c r="BN107" s="156"/>
      <c r="BO107" s="153"/>
      <c r="BP107" s="153"/>
      <c r="BQ107" s="156">
        <f t="shared" si="121"/>
        <v>0</v>
      </c>
      <c r="BR107" s="156"/>
      <c r="BS107" s="153"/>
      <c r="BT107" s="153"/>
      <c r="BU107" s="156">
        <f t="shared" si="122"/>
        <v>0</v>
      </c>
      <c r="BV107" s="156"/>
      <c r="BW107" s="153"/>
      <c r="BX107" s="153"/>
      <c r="BY107" s="156">
        <f t="shared" si="123"/>
        <v>0</v>
      </c>
      <c r="BZ107" s="156"/>
      <c r="CA107" s="153"/>
      <c r="CB107" s="153"/>
      <c r="CC107" s="156">
        <f t="shared" si="124"/>
        <v>0</v>
      </c>
      <c r="CD107" s="156"/>
      <c r="CE107" s="153"/>
      <c r="CF107" s="153"/>
      <c r="CG107" s="156">
        <f t="shared" si="125"/>
        <v>0</v>
      </c>
      <c r="CH107" s="156"/>
      <c r="CI107" s="153"/>
      <c r="CJ107" s="153"/>
      <c r="CK107" s="156">
        <f t="shared" si="126"/>
        <v>0</v>
      </c>
      <c r="CL107" s="222"/>
      <c r="CM107" s="222"/>
      <c r="CN107" s="222"/>
      <c r="CO107" s="222">
        <v>0</v>
      </c>
      <c r="CP107" s="222"/>
      <c r="CQ107" s="14"/>
      <c r="CR107" s="14"/>
      <c r="CS107" s="261"/>
      <c r="CT107" s="262"/>
      <c r="CU107" s="13"/>
      <c r="CV107" s="13"/>
      <c r="CW107" s="261"/>
      <c r="CX107" s="262"/>
      <c r="CY107" s="13"/>
      <c r="CZ107" s="13"/>
      <c r="DA107" s="261">
        <f t="shared" si="127"/>
        <v>0</v>
      </c>
      <c r="DB107" s="262"/>
    </row>
    <row r="108" spans="1:106" ht="14.25" customHeight="1">
      <c r="A108" s="334"/>
      <c r="B108" s="334" t="s">
        <v>645</v>
      </c>
      <c r="C108" s="221"/>
      <c r="D108" s="153">
        <f>H108+L108+P108+T108+X108+AI108+AM108+AQ108+AU108+BC108+BG108+BW108+CE108+CI108+CM108+CQ108+CU108+CY108+AY108+BK108+BS108</f>
        <v>0</v>
      </c>
      <c r="E108" s="250">
        <f>I108+M108+Q108+U108+Y108+AJ108+AN108+AR108+AV108+BD108+BH108+BX108+CF108+CJ108+CN108+CR108+CV108+CZ108+AZ108+BL108+BT108</f>
        <v>0.11799999999999999</v>
      </c>
      <c r="F108" s="192">
        <f>E108-D108</f>
        <v>0.11799999999999999</v>
      </c>
      <c r="G108" s="192" t="e">
        <f>E108/D108</f>
        <v>#DIV/0!</v>
      </c>
      <c r="H108" s="153"/>
      <c r="I108" s="153">
        <v>0.11799999999999999</v>
      </c>
      <c r="J108" s="156">
        <f>I108-H108</f>
        <v>0.11799999999999999</v>
      </c>
      <c r="K108" s="156"/>
      <c r="L108" s="153"/>
      <c r="M108" s="153"/>
      <c r="N108" s="156">
        <f>M108-L108</f>
        <v>0</v>
      </c>
      <c r="O108" s="156"/>
      <c r="P108" s="153"/>
      <c r="Q108" s="153"/>
      <c r="R108" s="156">
        <f>Q108-P108</f>
        <v>0</v>
      </c>
      <c r="S108" s="156"/>
      <c r="T108" s="153"/>
      <c r="U108" s="153"/>
      <c r="V108" s="156">
        <f>U108-T108</f>
        <v>0</v>
      </c>
      <c r="W108" s="156"/>
      <c r="X108" s="153">
        <f>AB108</f>
        <v>0</v>
      </c>
      <c r="Y108" s="153">
        <f>AC108</f>
        <v>0</v>
      </c>
      <c r="Z108" s="156">
        <f>Y108-X108</f>
        <v>0</v>
      </c>
      <c r="AA108" s="156"/>
      <c r="AB108" s="153"/>
      <c r="AC108" s="153"/>
      <c r="AD108" s="156">
        <f>AC108-AB108</f>
        <v>0</v>
      </c>
      <c r="AE108" s="156"/>
      <c r="AF108" s="153"/>
      <c r="AG108" s="153"/>
      <c r="AH108" s="156"/>
      <c r="AI108" s="153"/>
      <c r="AJ108" s="153"/>
      <c r="AK108" s="156">
        <f>AJ108-AI108</f>
        <v>0</v>
      </c>
      <c r="AL108" s="156"/>
      <c r="AM108" s="153"/>
      <c r="AN108" s="153"/>
      <c r="AO108" s="156">
        <f>AN108-AM108</f>
        <v>0</v>
      </c>
      <c r="AP108" s="156"/>
      <c r="AQ108" s="156"/>
      <c r="AR108" s="156"/>
      <c r="AS108" s="156">
        <f>AR108-AQ108</f>
        <v>0</v>
      </c>
      <c r="AT108" s="156"/>
      <c r="AU108" s="153"/>
      <c r="AV108" s="153"/>
      <c r="AW108" s="156">
        <f>AV108-AU108</f>
        <v>0</v>
      </c>
      <c r="AX108" s="156"/>
      <c r="AY108" s="153"/>
      <c r="AZ108" s="153"/>
      <c r="BA108" s="156">
        <v>0</v>
      </c>
      <c r="BB108" s="156"/>
      <c r="BC108" s="153"/>
      <c r="BD108" s="153"/>
      <c r="BE108" s="156">
        <f>BD108-BC108</f>
        <v>0</v>
      </c>
      <c r="BF108" s="156"/>
      <c r="BG108" s="153"/>
      <c r="BH108" s="153"/>
      <c r="BI108" s="156">
        <f>BH108-BG108</f>
        <v>0</v>
      </c>
      <c r="BJ108" s="156"/>
      <c r="BK108" s="153"/>
      <c r="BL108" s="153"/>
      <c r="BM108" s="156">
        <f>BL108-BK108</f>
        <v>0</v>
      </c>
      <c r="BN108" s="156"/>
      <c r="BO108" s="153"/>
      <c r="BP108" s="153"/>
      <c r="BQ108" s="156">
        <f>BP108-BO108</f>
        <v>0</v>
      </c>
      <c r="BR108" s="156"/>
      <c r="BS108" s="153"/>
      <c r="BT108" s="153"/>
      <c r="BU108" s="156">
        <f>BT108-BS108</f>
        <v>0</v>
      </c>
      <c r="BV108" s="156"/>
      <c r="BW108" s="153"/>
      <c r="BX108" s="153"/>
      <c r="BY108" s="156">
        <f>BX108-BW108</f>
        <v>0</v>
      </c>
      <c r="BZ108" s="156"/>
      <c r="CA108" s="153"/>
      <c r="CB108" s="153"/>
      <c r="CC108" s="156">
        <f>CB108-CA108</f>
        <v>0</v>
      </c>
      <c r="CD108" s="156"/>
      <c r="CE108" s="153"/>
      <c r="CF108" s="153"/>
      <c r="CG108" s="156">
        <f>CF108-CE108</f>
        <v>0</v>
      </c>
      <c r="CH108" s="156"/>
      <c r="CI108" s="153"/>
      <c r="CJ108" s="153"/>
      <c r="CK108" s="156">
        <f>CJ108-CI108</f>
        <v>0</v>
      </c>
      <c r="CL108" s="222"/>
      <c r="CM108" s="222"/>
      <c r="CN108" s="222"/>
      <c r="CO108" s="222">
        <v>0</v>
      </c>
      <c r="CP108" s="222"/>
      <c r="CQ108" s="14"/>
      <c r="CR108" s="14"/>
      <c r="CS108" s="261"/>
      <c r="CT108" s="262"/>
      <c r="CU108" s="13"/>
      <c r="CV108" s="13"/>
      <c r="CW108" s="261"/>
      <c r="CX108" s="262"/>
      <c r="CY108" s="13"/>
      <c r="CZ108" s="13"/>
      <c r="DA108" s="261">
        <f>CZ108-CY108</f>
        <v>0</v>
      </c>
      <c r="DB108" s="262"/>
    </row>
    <row r="109" spans="1:106" ht="14.25" customHeight="1">
      <c r="A109" s="334"/>
      <c r="B109" s="334" t="s">
        <v>604</v>
      </c>
      <c r="C109" s="221"/>
      <c r="D109" s="153">
        <f t="shared" si="106"/>
        <v>2.23</v>
      </c>
      <c r="E109" s="250">
        <f>I109+M109+Q109+U109+Y109+AJ109+AN109+AR109+AV109+BD109+BH109+BX109+CF109+CJ109+CN109+CR109+CV109+CZ109+AZ109+BL109+BT109</f>
        <v>0</v>
      </c>
      <c r="F109" s="192">
        <f>E109-D109</f>
        <v>-2.23</v>
      </c>
      <c r="G109" s="192">
        <f>E109/D109</f>
        <v>0</v>
      </c>
      <c r="H109" s="153">
        <v>2.23</v>
      </c>
      <c r="I109" s="153"/>
      <c r="J109" s="156">
        <f>I109-H109</f>
        <v>-2.23</v>
      </c>
      <c r="K109" s="156"/>
      <c r="L109" s="153"/>
      <c r="M109" s="153"/>
      <c r="N109" s="156">
        <f>M109-L109</f>
        <v>0</v>
      </c>
      <c r="O109" s="156"/>
      <c r="P109" s="153"/>
      <c r="Q109" s="153"/>
      <c r="R109" s="156">
        <f>Q109-P109</f>
        <v>0</v>
      </c>
      <c r="S109" s="156"/>
      <c r="T109" s="153"/>
      <c r="U109" s="153"/>
      <c r="V109" s="156">
        <f>U109-T109</f>
        <v>0</v>
      </c>
      <c r="W109" s="156"/>
      <c r="X109" s="153">
        <f>AB109</f>
        <v>0</v>
      </c>
      <c r="Y109" s="153">
        <f>AC109</f>
        <v>0</v>
      </c>
      <c r="Z109" s="156">
        <f>Y109-X109</f>
        <v>0</v>
      </c>
      <c r="AA109" s="156"/>
      <c r="AB109" s="153"/>
      <c r="AC109" s="153"/>
      <c r="AD109" s="156">
        <f>AC109-AB109</f>
        <v>0</v>
      </c>
      <c r="AE109" s="156"/>
      <c r="AF109" s="153"/>
      <c r="AG109" s="153"/>
      <c r="AH109" s="156"/>
      <c r="AI109" s="153"/>
      <c r="AJ109" s="153"/>
      <c r="AK109" s="156">
        <f>AJ109-AI109</f>
        <v>0</v>
      </c>
      <c r="AL109" s="156"/>
      <c r="AM109" s="153"/>
      <c r="AN109" s="153"/>
      <c r="AO109" s="156">
        <f>AN109-AM109</f>
        <v>0</v>
      </c>
      <c r="AP109" s="156"/>
      <c r="AQ109" s="156"/>
      <c r="AR109" s="156"/>
      <c r="AS109" s="156">
        <f>AR109-AQ109</f>
        <v>0</v>
      </c>
      <c r="AT109" s="156"/>
      <c r="AU109" s="153"/>
      <c r="AV109" s="153"/>
      <c r="AW109" s="156">
        <f>AV109-AU109</f>
        <v>0</v>
      </c>
      <c r="AX109" s="156"/>
      <c r="AY109" s="153"/>
      <c r="AZ109" s="153"/>
      <c r="BA109" s="156">
        <v>0</v>
      </c>
      <c r="BB109" s="156"/>
      <c r="BC109" s="153"/>
      <c r="BD109" s="153"/>
      <c r="BE109" s="156">
        <f>BD109-BC109</f>
        <v>0</v>
      </c>
      <c r="BF109" s="156"/>
      <c r="BG109" s="153"/>
      <c r="BH109" s="153"/>
      <c r="BI109" s="156">
        <f>BH109-BG109</f>
        <v>0</v>
      </c>
      <c r="BJ109" s="156"/>
      <c r="BK109" s="153"/>
      <c r="BL109" s="153"/>
      <c r="BM109" s="156">
        <f>BL109-BK109</f>
        <v>0</v>
      </c>
      <c r="BN109" s="156"/>
      <c r="BO109" s="153"/>
      <c r="BP109" s="153">
        <v>15.329000000000001</v>
      </c>
      <c r="BQ109" s="156">
        <f>BP109-BO109</f>
        <v>15.329000000000001</v>
      </c>
      <c r="BR109" s="156"/>
      <c r="BS109" s="153"/>
      <c r="BT109" s="153"/>
      <c r="BU109" s="156">
        <f>BT109-BS109</f>
        <v>0</v>
      </c>
      <c r="BV109" s="156"/>
      <c r="BW109" s="153"/>
      <c r="BX109" s="153"/>
      <c r="BY109" s="156">
        <f>BX109-BW109</f>
        <v>0</v>
      </c>
      <c r="BZ109" s="156"/>
      <c r="CA109" s="153"/>
      <c r="CB109" s="153"/>
      <c r="CC109" s="156">
        <f>CB109-CA109</f>
        <v>0</v>
      </c>
      <c r="CD109" s="156"/>
      <c r="CE109" s="153"/>
      <c r="CF109" s="153"/>
      <c r="CG109" s="156">
        <f>CF109-CE109</f>
        <v>0</v>
      </c>
      <c r="CH109" s="156"/>
      <c r="CI109" s="153"/>
      <c r="CJ109" s="153"/>
      <c r="CK109" s="156">
        <f>CJ109-CI109</f>
        <v>0</v>
      </c>
      <c r="CL109" s="222"/>
      <c r="CM109" s="222"/>
      <c r="CN109" s="222"/>
      <c r="CO109" s="222">
        <v>0</v>
      </c>
      <c r="CP109" s="222"/>
      <c r="CQ109" s="14"/>
      <c r="CR109" s="14"/>
      <c r="CS109" s="261"/>
      <c r="CT109" s="262"/>
      <c r="CU109" s="13"/>
      <c r="CV109" s="13"/>
      <c r="CW109" s="261"/>
      <c r="CX109" s="262"/>
      <c r="CY109" s="13"/>
      <c r="CZ109" s="13"/>
      <c r="DA109" s="261">
        <f>CZ109-CY109</f>
        <v>0</v>
      </c>
      <c r="DB109" s="262"/>
    </row>
    <row r="110" spans="1:106" ht="14.25" customHeight="1">
      <c r="A110" s="334"/>
      <c r="B110" s="334" t="s">
        <v>375</v>
      </c>
      <c r="C110" s="221"/>
      <c r="D110" s="153">
        <f t="shared" si="106"/>
        <v>1.677</v>
      </c>
      <c r="E110" s="250">
        <f t="shared" si="106"/>
        <v>3.2989999999999999</v>
      </c>
      <c r="F110" s="192">
        <f t="shared" si="108"/>
        <v>1.6219999999999999</v>
      </c>
      <c r="G110" s="192">
        <f t="shared" si="128"/>
        <v>1.9672033392963624</v>
      </c>
      <c r="H110" s="153">
        <v>1.677</v>
      </c>
      <c r="I110" s="153"/>
      <c r="J110" s="156">
        <f t="shared" si="113"/>
        <v>-1.677</v>
      </c>
      <c r="K110" s="156">
        <f t="shared" ref="K110:K115" si="129">I110/H110</f>
        <v>0</v>
      </c>
      <c r="L110" s="153"/>
      <c r="M110" s="153"/>
      <c r="N110" s="156">
        <f t="shared" si="109"/>
        <v>0</v>
      </c>
      <c r="O110" s="156"/>
      <c r="P110" s="153"/>
      <c r="Q110" s="153">
        <v>3.2989999999999999</v>
      </c>
      <c r="R110" s="156">
        <f t="shared" si="110"/>
        <v>3.2989999999999999</v>
      </c>
      <c r="S110" s="156"/>
      <c r="T110" s="153"/>
      <c r="U110" s="153"/>
      <c r="V110" s="156">
        <f t="shared" si="111"/>
        <v>0</v>
      </c>
      <c r="W110" s="156"/>
      <c r="X110" s="153">
        <f t="shared" si="107"/>
        <v>0</v>
      </c>
      <c r="Y110" s="153">
        <f t="shared" si="107"/>
        <v>0</v>
      </c>
      <c r="Z110" s="156">
        <f t="shared" si="114"/>
        <v>0</v>
      </c>
      <c r="AA110" s="156"/>
      <c r="AB110" s="153"/>
      <c r="AC110" s="153"/>
      <c r="AD110" s="156">
        <f t="shared" si="115"/>
        <v>0</v>
      </c>
      <c r="AE110" s="156"/>
      <c r="AF110" s="153"/>
      <c r="AG110" s="153"/>
      <c r="AH110" s="156"/>
      <c r="AI110" s="153"/>
      <c r="AJ110" s="153"/>
      <c r="AK110" s="156">
        <f t="shared" si="116"/>
        <v>0</v>
      </c>
      <c r="AL110" s="156"/>
      <c r="AM110" s="153"/>
      <c r="AN110" s="153"/>
      <c r="AO110" s="156">
        <f t="shared" si="112"/>
        <v>0</v>
      </c>
      <c r="AP110" s="156"/>
      <c r="AQ110" s="156"/>
      <c r="AR110" s="156"/>
      <c r="AS110" s="156"/>
      <c r="AT110" s="156"/>
      <c r="AU110" s="153"/>
      <c r="AV110" s="153"/>
      <c r="AW110" s="156">
        <f t="shared" si="117"/>
        <v>0</v>
      </c>
      <c r="AX110" s="156"/>
      <c r="AY110" s="153"/>
      <c r="AZ110" s="153"/>
      <c r="BA110" s="156">
        <v>0</v>
      </c>
      <c r="BB110" s="156"/>
      <c r="BC110" s="153"/>
      <c r="BD110" s="153"/>
      <c r="BE110" s="156">
        <f t="shared" si="118"/>
        <v>0</v>
      </c>
      <c r="BF110" s="156"/>
      <c r="BG110" s="153"/>
      <c r="BH110" s="153"/>
      <c r="BI110" s="156">
        <f t="shared" si="119"/>
        <v>0</v>
      </c>
      <c r="BJ110" s="156"/>
      <c r="BK110" s="153"/>
      <c r="BL110" s="153"/>
      <c r="BM110" s="156">
        <f t="shared" si="120"/>
        <v>0</v>
      </c>
      <c r="BN110" s="156"/>
      <c r="BO110" s="153"/>
      <c r="BP110" s="153"/>
      <c r="BQ110" s="156">
        <f t="shared" si="121"/>
        <v>0</v>
      </c>
      <c r="BR110" s="156"/>
      <c r="BS110" s="153"/>
      <c r="BT110" s="153"/>
      <c r="BU110" s="156">
        <f t="shared" si="122"/>
        <v>0</v>
      </c>
      <c r="BV110" s="156"/>
      <c r="BW110" s="153"/>
      <c r="BX110" s="153"/>
      <c r="BY110" s="156">
        <f t="shared" si="123"/>
        <v>0</v>
      </c>
      <c r="BZ110" s="156"/>
      <c r="CA110" s="153"/>
      <c r="CB110" s="153"/>
      <c r="CC110" s="156">
        <f t="shared" si="124"/>
        <v>0</v>
      </c>
      <c r="CD110" s="156"/>
      <c r="CE110" s="153"/>
      <c r="CF110" s="153"/>
      <c r="CG110" s="156">
        <f t="shared" si="125"/>
        <v>0</v>
      </c>
      <c r="CH110" s="156"/>
      <c r="CI110" s="153"/>
      <c r="CJ110" s="153"/>
      <c r="CK110" s="156">
        <f t="shared" si="126"/>
        <v>0</v>
      </c>
      <c r="CL110" s="222"/>
      <c r="CM110" s="222"/>
      <c r="CN110" s="222"/>
      <c r="CO110" s="222">
        <v>0</v>
      </c>
      <c r="CP110" s="222"/>
      <c r="CQ110" s="14"/>
      <c r="CR110" s="14"/>
      <c r="CS110" s="261"/>
      <c r="CT110" s="262"/>
      <c r="CU110" s="13"/>
      <c r="CV110" s="13"/>
      <c r="CW110" s="261"/>
      <c r="CX110" s="262"/>
      <c r="CY110" s="13"/>
      <c r="CZ110" s="13"/>
      <c r="DA110" s="261">
        <f t="shared" si="127"/>
        <v>0</v>
      </c>
      <c r="DB110" s="262"/>
    </row>
    <row r="111" spans="1:106" ht="14.25" hidden="1" customHeight="1">
      <c r="A111" s="334"/>
      <c r="B111" s="334" t="s">
        <v>704</v>
      </c>
      <c r="C111" s="221"/>
      <c r="D111" s="153">
        <f>H111+L111+P111+T111+X111+AI111+AM111+AQ111+AU111+BC111+BG111+BW111+CE111+CI111+CM111+CQ111+CU111+CY111+AY111+BK111+BS111</f>
        <v>0</v>
      </c>
      <c r="E111" s="250">
        <f>I111+M111+Q111+U111+Y111+AJ111+AN111+AR111+AV111+BD111+BH111+BX111+CF111+CJ111+CN111+CR111+CV111+CZ111+AZ111+BL111+BT111</f>
        <v>0</v>
      </c>
      <c r="F111" s="192">
        <f>E111-D111</f>
        <v>0</v>
      </c>
      <c r="G111" s="192" t="e">
        <f>E111/D111</f>
        <v>#DIV/0!</v>
      </c>
      <c r="H111" s="153"/>
      <c r="I111" s="153"/>
      <c r="J111" s="156">
        <f>I111-H111</f>
        <v>0</v>
      </c>
      <c r="K111" s="156" t="e">
        <f t="shared" si="129"/>
        <v>#DIV/0!</v>
      </c>
      <c r="L111" s="153"/>
      <c r="M111" s="153"/>
      <c r="N111" s="156">
        <f>M111-L111</f>
        <v>0</v>
      </c>
      <c r="O111" s="156"/>
      <c r="P111" s="153"/>
      <c r="Q111" s="153"/>
      <c r="R111" s="156">
        <f>Q111-P111</f>
        <v>0</v>
      </c>
      <c r="S111" s="156"/>
      <c r="T111" s="153"/>
      <c r="U111" s="153"/>
      <c r="V111" s="156">
        <f>U111-T111</f>
        <v>0</v>
      </c>
      <c r="W111" s="156"/>
      <c r="X111" s="153">
        <f>AB111</f>
        <v>0</v>
      </c>
      <c r="Y111" s="153">
        <f>AC111</f>
        <v>0</v>
      </c>
      <c r="Z111" s="156">
        <f>Y111-X111</f>
        <v>0</v>
      </c>
      <c r="AA111" s="156"/>
      <c r="AB111" s="153"/>
      <c r="AC111" s="153"/>
      <c r="AD111" s="156">
        <f>AC111-AB111</f>
        <v>0</v>
      </c>
      <c r="AE111" s="156"/>
      <c r="AF111" s="153"/>
      <c r="AG111" s="153"/>
      <c r="AH111" s="156"/>
      <c r="AI111" s="153"/>
      <c r="AJ111" s="153"/>
      <c r="AK111" s="156">
        <f>AJ111-AI111</f>
        <v>0</v>
      </c>
      <c r="AL111" s="156"/>
      <c r="AM111" s="153"/>
      <c r="AN111" s="153"/>
      <c r="AO111" s="156">
        <f>AN111-AM111</f>
        <v>0</v>
      </c>
      <c r="AP111" s="156"/>
      <c r="AQ111" s="156"/>
      <c r="AR111" s="156"/>
      <c r="AS111" s="156"/>
      <c r="AT111" s="156"/>
      <c r="AU111" s="153"/>
      <c r="AV111" s="153"/>
      <c r="AW111" s="156">
        <f>AV111-AU111</f>
        <v>0</v>
      </c>
      <c r="AX111" s="156"/>
      <c r="AY111" s="153"/>
      <c r="AZ111" s="153"/>
      <c r="BA111" s="156">
        <v>0</v>
      </c>
      <c r="BB111" s="156"/>
      <c r="BC111" s="153"/>
      <c r="BD111" s="153"/>
      <c r="BE111" s="156">
        <f>BD111-BC111</f>
        <v>0</v>
      </c>
      <c r="BF111" s="156"/>
      <c r="BG111" s="153"/>
      <c r="BH111" s="153"/>
      <c r="BI111" s="156">
        <f>BH111-BG111</f>
        <v>0</v>
      </c>
      <c r="BJ111" s="156"/>
      <c r="BK111" s="153"/>
      <c r="BL111" s="153"/>
      <c r="BM111" s="156">
        <f>BL111-BK111</f>
        <v>0</v>
      </c>
      <c r="BN111" s="156"/>
      <c r="BO111" s="153"/>
      <c r="BP111" s="153"/>
      <c r="BQ111" s="156">
        <f>BP111-BO111</f>
        <v>0</v>
      </c>
      <c r="BR111" s="156"/>
      <c r="BS111" s="153"/>
      <c r="BT111" s="153"/>
      <c r="BU111" s="156">
        <f>BT111-BS111</f>
        <v>0</v>
      </c>
      <c r="BV111" s="156"/>
      <c r="BW111" s="153"/>
      <c r="BX111" s="153"/>
      <c r="BY111" s="156">
        <f>BX111-BW111</f>
        <v>0</v>
      </c>
      <c r="BZ111" s="156"/>
      <c r="CA111" s="153"/>
      <c r="CB111" s="153"/>
      <c r="CC111" s="156">
        <f>CB111-CA111</f>
        <v>0</v>
      </c>
      <c r="CD111" s="156"/>
      <c r="CE111" s="153"/>
      <c r="CF111" s="153"/>
      <c r="CG111" s="156">
        <f>CF111-CE111</f>
        <v>0</v>
      </c>
      <c r="CH111" s="156"/>
      <c r="CI111" s="153"/>
      <c r="CJ111" s="153"/>
      <c r="CK111" s="156">
        <f>CJ111-CI111</f>
        <v>0</v>
      </c>
      <c r="CL111" s="222"/>
      <c r="CM111" s="222"/>
      <c r="CN111" s="222"/>
      <c r="CO111" s="222">
        <v>0</v>
      </c>
      <c r="CP111" s="222"/>
      <c r="CQ111" s="14"/>
      <c r="CR111" s="14"/>
      <c r="CS111" s="261"/>
      <c r="CT111" s="262"/>
      <c r="CU111" s="13"/>
      <c r="CV111" s="13"/>
      <c r="CW111" s="261"/>
      <c r="CX111" s="262"/>
      <c r="CY111" s="13"/>
      <c r="CZ111" s="13"/>
      <c r="DA111" s="261">
        <f>CZ111-CY111</f>
        <v>0</v>
      </c>
      <c r="DB111" s="262"/>
    </row>
    <row r="112" spans="1:106" ht="14.25" hidden="1" customHeight="1">
      <c r="A112" s="334"/>
      <c r="B112" s="334" t="s">
        <v>569</v>
      </c>
      <c r="C112" s="221">
        <v>0</v>
      </c>
      <c r="D112" s="153">
        <f t="shared" si="106"/>
        <v>0</v>
      </c>
      <c r="E112" s="250">
        <f t="shared" si="106"/>
        <v>0</v>
      </c>
      <c r="F112" s="192">
        <f t="shared" si="108"/>
        <v>0</v>
      </c>
      <c r="G112" s="192" t="e">
        <f t="shared" si="128"/>
        <v>#DIV/0!</v>
      </c>
      <c r="H112" s="153"/>
      <c r="I112" s="153"/>
      <c r="J112" s="156">
        <f t="shared" si="113"/>
        <v>0</v>
      </c>
      <c r="K112" s="156" t="e">
        <f t="shared" si="129"/>
        <v>#DIV/0!</v>
      </c>
      <c r="L112" s="153"/>
      <c r="M112" s="153"/>
      <c r="N112" s="156">
        <f t="shared" si="109"/>
        <v>0</v>
      </c>
      <c r="O112" s="156"/>
      <c r="P112" s="153"/>
      <c r="Q112" s="153"/>
      <c r="R112" s="156">
        <f t="shared" si="110"/>
        <v>0</v>
      </c>
      <c r="S112" s="156"/>
      <c r="T112" s="153"/>
      <c r="U112" s="153"/>
      <c r="V112" s="156">
        <f t="shared" si="111"/>
        <v>0</v>
      </c>
      <c r="W112" s="156"/>
      <c r="X112" s="153">
        <f t="shared" si="107"/>
        <v>0</v>
      </c>
      <c r="Y112" s="153">
        <f t="shared" si="107"/>
        <v>0</v>
      </c>
      <c r="Z112" s="156">
        <f t="shared" si="114"/>
        <v>0</v>
      </c>
      <c r="AA112" s="156"/>
      <c r="AB112" s="153"/>
      <c r="AC112" s="153"/>
      <c r="AD112" s="156">
        <f t="shared" si="115"/>
        <v>0</v>
      </c>
      <c r="AE112" s="156"/>
      <c r="AF112" s="153"/>
      <c r="AG112" s="153"/>
      <c r="AH112" s="156"/>
      <c r="AI112" s="153"/>
      <c r="AJ112" s="153"/>
      <c r="AK112" s="156">
        <f t="shared" si="116"/>
        <v>0</v>
      </c>
      <c r="AL112" s="156"/>
      <c r="AM112" s="153"/>
      <c r="AN112" s="153"/>
      <c r="AO112" s="156">
        <f t="shared" si="112"/>
        <v>0</v>
      </c>
      <c r="AP112" s="156"/>
      <c r="AQ112" s="156"/>
      <c r="AR112" s="156"/>
      <c r="AS112" s="156"/>
      <c r="AT112" s="156"/>
      <c r="AU112" s="153"/>
      <c r="AV112" s="153"/>
      <c r="AW112" s="156">
        <f t="shared" si="117"/>
        <v>0</v>
      </c>
      <c r="AX112" s="156"/>
      <c r="AY112" s="153"/>
      <c r="AZ112" s="153"/>
      <c r="BA112" s="156">
        <v>0</v>
      </c>
      <c r="BB112" s="156"/>
      <c r="BC112" s="153"/>
      <c r="BD112" s="153"/>
      <c r="BE112" s="156">
        <f t="shared" si="118"/>
        <v>0</v>
      </c>
      <c r="BF112" s="156"/>
      <c r="BG112" s="153"/>
      <c r="BH112" s="153"/>
      <c r="BI112" s="156">
        <f t="shared" si="119"/>
        <v>0</v>
      </c>
      <c r="BJ112" s="156"/>
      <c r="BK112" s="153"/>
      <c r="BL112" s="153"/>
      <c r="BM112" s="156">
        <f t="shared" si="120"/>
        <v>0</v>
      </c>
      <c r="BN112" s="156"/>
      <c r="BO112" s="153"/>
      <c r="BP112" s="153"/>
      <c r="BQ112" s="156">
        <f t="shared" si="121"/>
        <v>0</v>
      </c>
      <c r="BR112" s="156"/>
      <c r="BS112" s="153"/>
      <c r="BT112" s="153"/>
      <c r="BU112" s="156">
        <f t="shared" si="122"/>
        <v>0</v>
      </c>
      <c r="BV112" s="156"/>
      <c r="BW112" s="153"/>
      <c r="BX112" s="153"/>
      <c r="BY112" s="156">
        <f t="shared" si="123"/>
        <v>0</v>
      </c>
      <c r="BZ112" s="156"/>
      <c r="CA112" s="153"/>
      <c r="CB112" s="153"/>
      <c r="CC112" s="156">
        <f t="shared" si="124"/>
        <v>0</v>
      </c>
      <c r="CD112" s="156"/>
      <c r="CE112" s="153"/>
      <c r="CF112" s="153"/>
      <c r="CG112" s="156">
        <f t="shared" si="125"/>
        <v>0</v>
      </c>
      <c r="CH112" s="156"/>
      <c r="CI112" s="153"/>
      <c r="CJ112" s="153"/>
      <c r="CK112" s="156">
        <f t="shared" si="126"/>
        <v>0</v>
      </c>
      <c r="CL112" s="222"/>
      <c r="CM112" s="222"/>
      <c r="CN112" s="222"/>
      <c r="CO112" s="222">
        <v>0</v>
      </c>
      <c r="CP112" s="222"/>
      <c r="CQ112" s="14"/>
      <c r="CR112" s="14"/>
      <c r="CS112" s="261"/>
      <c r="CT112" s="262"/>
      <c r="CU112" s="13"/>
      <c r="CV112" s="13"/>
      <c r="CW112" s="261"/>
      <c r="CX112" s="262"/>
      <c r="CY112" s="13"/>
      <c r="CZ112" s="13"/>
      <c r="DA112" s="261">
        <f t="shared" si="127"/>
        <v>0</v>
      </c>
      <c r="DB112" s="262"/>
    </row>
    <row r="113" spans="1:106" ht="14.25" hidden="1" customHeight="1">
      <c r="A113" s="334"/>
      <c r="B113" s="334" t="s">
        <v>705</v>
      </c>
      <c r="C113" s="221">
        <v>107.4</v>
      </c>
      <c r="D113" s="153">
        <f t="shared" si="106"/>
        <v>0</v>
      </c>
      <c r="E113" s="153">
        <f t="shared" si="106"/>
        <v>0</v>
      </c>
      <c r="F113" s="192">
        <f t="shared" si="108"/>
        <v>0</v>
      </c>
      <c r="G113" s="192" t="e">
        <f t="shared" si="128"/>
        <v>#DIV/0!</v>
      </c>
      <c r="H113" s="153"/>
      <c r="I113" s="153"/>
      <c r="J113" s="156">
        <f t="shared" si="113"/>
        <v>0</v>
      </c>
      <c r="K113" s="156" t="e">
        <f t="shared" si="129"/>
        <v>#DIV/0!</v>
      </c>
      <c r="L113" s="153"/>
      <c r="M113" s="153"/>
      <c r="N113" s="156">
        <f t="shared" si="109"/>
        <v>0</v>
      </c>
      <c r="O113" s="156"/>
      <c r="P113" s="153"/>
      <c r="Q113" s="153"/>
      <c r="R113" s="156">
        <f t="shared" si="110"/>
        <v>0</v>
      </c>
      <c r="S113" s="156"/>
      <c r="T113" s="153"/>
      <c r="U113" s="153"/>
      <c r="V113" s="156">
        <f t="shared" si="111"/>
        <v>0</v>
      </c>
      <c r="W113" s="156"/>
      <c r="X113" s="153">
        <f t="shared" si="107"/>
        <v>0</v>
      </c>
      <c r="Y113" s="153">
        <f t="shared" si="107"/>
        <v>0</v>
      </c>
      <c r="Z113" s="156">
        <f t="shared" si="114"/>
        <v>0</v>
      </c>
      <c r="AA113" s="156"/>
      <c r="AB113" s="153"/>
      <c r="AC113" s="153"/>
      <c r="AD113" s="156">
        <f t="shared" si="115"/>
        <v>0</v>
      </c>
      <c r="AE113" s="156"/>
      <c r="AF113" s="153"/>
      <c r="AG113" s="153"/>
      <c r="AH113" s="156"/>
      <c r="AI113" s="153"/>
      <c r="AJ113" s="153"/>
      <c r="AK113" s="156">
        <f t="shared" si="116"/>
        <v>0</v>
      </c>
      <c r="AL113" s="156"/>
      <c r="AM113" s="153"/>
      <c r="AN113" s="153"/>
      <c r="AO113" s="156">
        <f t="shared" si="112"/>
        <v>0</v>
      </c>
      <c r="AP113" s="156"/>
      <c r="AQ113" s="156"/>
      <c r="AR113" s="156"/>
      <c r="AS113" s="156"/>
      <c r="AT113" s="156"/>
      <c r="AU113" s="153"/>
      <c r="AV113" s="153"/>
      <c r="AW113" s="156">
        <f t="shared" si="117"/>
        <v>0</v>
      </c>
      <c r="AX113" s="156"/>
      <c r="AY113" s="153"/>
      <c r="AZ113" s="153"/>
      <c r="BA113" s="156">
        <v>0</v>
      </c>
      <c r="BB113" s="156"/>
      <c r="BC113" s="153"/>
      <c r="BD113" s="153"/>
      <c r="BE113" s="156">
        <f t="shared" si="118"/>
        <v>0</v>
      </c>
      <c r="BF113" s="156"/>
      <c r="BG113" s="153"/>
      <c r="BH113" s="153"/>
      <c r="BI113" s="156">
        <f t="shared" si="119"/>
        <v>0</v>
      </c>
      <c r="BJ113" s="156"/>
      <c r="BK113" s="153"/>
      <c r="BL113" s="153"/>
      <c r="BM113" s="156">
        <f t="shared" si="120"/>
        <v>0</v>
      </c>
      <c r="BN113" s="156"/>
      <c r="BO113" s="153"/>
      <c r="BP113" s="153"/>
      <c r="BQ113" s="156">
        <f t="shared" si="121"/>
        <v>0</v>
      </c>
      <c r="BR113" s="156"/>
      <c r="BS113" s="153"/>
      <c r="BT113" s="153"/>
      <c r="BU113" s="156">
        <f t="shared" si="122"/>
        <v>0</v>
      </c>
      <c r="BV113" s="156"/>
      <c r="BW113" s="153"/>
      <c r="BX113" s="153"/>
      <c r="BY113" s="156">
        <f t="shared" si="123"/>
        <v>0</v>
      </c>
      <c r="BZ113" s="156"/>
      <c r="CA113" s="153"/>
      <c r="CB113" s="153"/>
      <c r="CC113" s="156">
        <f t="shared" si="124"/>
        <v>0</v>
      </c>
      <c r="CD113" s="156"/>
      <c r="CE113" s="153"/>
      <c r="CF113" s="153"/>
      <c r="CG113" s="156">
        <f t="shared" si="125"/>
        <v>0</v>
      </c>
      <c r="CH113" s="156"/>
      <c r="CI113" s="153"/>
      <c r="CJ113" s="153"/>
      <c r="CK113" s="156">
        <f t="shared" si="126"/>
        <v>0</v>
      </c>
      <c r="CL113" s="222"/>
      <c r="CM113" s="222"/>
      <c r="CN113" s="222"/>
      <c r="CO113" s="222">
        <v>0</v>
      </c>
      <c r="CP113" s="222"/>
      <c r="CQ113" s="14"/>
      <c r="CR113" s="14"/>
      <c r="CS113" s="261"/>
      <c r="CT113" s="262"/>
      <c r="CU113" s="13"/>
      <c r="CV113" s="13"/>
      <c r="CW113" s="261"/>
      <c r="CX113" s="262"/>
      <c r="CY113" s="13"/>
      <c r="CZ113" s="13"/>
      <c r="DA113" s="261">
        <f t="shared" si="127"/>
        <v>0</v>
      </c>
      <c r="DB113" s="262"/>
    </row>
    <row r="114" spans="1:106" ht="14.25" hidden="1" customHeight="1">
      <c r="A114" s="334"/>
      <c r="B114" s="334" t="s">
        <v>644</v>
      </c>
      <c r="C114" s="221"/>
      <c r="D114" s="153">
        <f t="shared" si="106"/>
        <v>0</v>
      </c>
      <c r="E114" s="250">
        <f>I114+M114+Q114+U114+Y114+AJ114+AN114+AR114+AV114+BD114+BH114+BX114+CF114+CJ114+CN114+CR114+CV114+CZ114+AZ114+BL114+BT114+BP114</f>
        <v>0</v>
      </c>
      <c r="F114" s="192">
        <f t="shared" si="108"/>
        <v>0</v>
      </c>
      <c r="G114" s="192" t="e">
        <f t="shared" si="128"/>
        <v>#DIV/0!</v>
      </c>
      <c r="H114" s="153"/>
      <c r="I114" s="153"/>
      <c r="J114" s="156">
        <f t="shared" si="113"/>
        <v>0</v>
      </c>
      <c r="K114" s="156" t="e">
        <f t="shared" si="129"/>
        <v>#DIV/0!</v>
      </c>
      <c r="L114" s="153"/>
      <c r="M114" s="153"/>
      <c r="N114" s="156">
        <f t="shared" si="109"/>
        <v>0</v>
      </c>
      <c r="O114" s="156"/>
      <c r="P114" s="153"/>
      <c r="Q114" s="153"/>
      <c r="R114" s="156">
        <f t="shared" si="110"/>
        <v>0</v>
      </c>
      <c r="S114" s="156"/>
      <c r="T114" s="153"/>
      <c r="U114" s="153"/>
      <c r="V114" s="156">
        <f t="shared" si="111"/>
        <v>0</v>
      </c>
      <c r="W114" s="156"/>
      <c r="X114" s="153">
        <f t="shared" si="107"/>
        <v>0</v>
      </c>
      <c r="Y114" s="153">
        <f t="shared" si="107"/>
        <v>0</v>
      </c>
      <c r="Z114" s="156">
        <f t="shared" si="114"/>
        <v>0</v>
      </c>
      <c r="AA114" s="156"/>
      <c r="AB114" s="153"/>
      <c r="AC114" s="153"/>
      <c r="AD114" s="156">
        <f t="shared" si="115"/>
        <v>0</v>
      </c>
      <c r="AE114" s="156"/>
      <c r="AF114" s="153"/>
      <c r="AG114" s="153"/>
      <c r="AH114" s="156"/>
      <c r="AI114" s="153"/>
      <c r="AJ114" s="153"/>
      <c r="AK114" s="156">
        <f t="shared" si="116"/>
        <v>0</v>
      </c>
      <c r="AL114" s="156"/>
      <c r="AM114" s="153"/>
      <c r="AN114" s="153"/>
      <c r="AO114" s="156">
        <f t="shared" si="112"/>
        <v>0</v>
      </c>
      <c r="AP114" s="156"/>
      <c r="AQ114" s="156"/>
      <c r="AR114" s="156"/>
      <c r="AS114" s="156">
        <f>AR114-AQ114</f>
        <v>0</v>
      </c>
      <c r="AT114" s="156"/>
      <c r="AU114" s="153"/>
      <c r="AV114" s="153"/>
      <c r="AW114" s="156">
        <f t="shared" si="117"/>
        <v>0</v>
      </c>
      <c r="AX114" s="156"/>
      <c r="AY114" s="153"/>
      <c r="AZ114" s="153"/>
      <c r="BA114" s="156">
        <v>0</v>
      </c>
      <c r="BB114" s="156"/>
      <c r="BC114" s="153"/>
      <c r="BD114" s="153"/>
      <c r="BE114" s="156">
        <f t="shared" si="118"/>
        <v>0</v>
      </c>
      <c r="BF114" s="156"/>
      <c r="BG114" s="153"/>
      <c r="BH114" s="153"/>
      <c r="BI114" s="156">
        <f t="shared" si="119"/>
        <v>0</v>
      </c>
      <c r="BJ114" s="156"/>
      <c r="BK114" s="153"/>
      <c r="BL114" s="153"/>
      <c r="BM114" s="156">
        <f t="shared" si="120"/>
        <v>0</v>
      </c>
      <c r="BN114" s="156"/>
      <c r="BO114" s="153"/>
      <c r="BP114" s="153"/>
      <c r="BQ114" s="156">
        <f t="shared" si="121"/>
        <v>0</v>
      </c>
      <c r="BR114" s="156"/>
      <c r="BS114" s="153"/>
      <c r="BT114" s="153"/>
      <c r="BU114" s="156">
        <f t="shared" si="122"/>
        <v>0</v>
      </c>
      <c r="BV114" s="156" t="e">
        <f>BT114/BS114</f>
        <v>#DIV/0!</v>
      </c>
      <c r="BW114" s="153"/>
      <c r="BX114" s="153"/>
      <c r="BY114" s="156">
        <f t="shared" si="123"/>
        <v>0</v>
      </c>
      <c r="BZ114" s="156"/>
      <c r="CA114" s="153"/>
      <c r="CB114" s="153"/>
      <c r="CC114" s="156">
        <f t="shared" si="124"/>
        <v>0</v>
      </c>
      <c r="CD114" s="156"/>
      <c r="CE114" s="153"/>
      <c r="CF114" s="153"/>
      <c r="CG114" s="156">
        <f t="shared" si="125"/>
        <v>0</v>
      </c>
      <c r="CH114" s="156"/>
      <c r="CI114" s="153"/>
      <c r="CJ114" s="153"/>
      <c r="CK114" s="156">
        <f t="shared" si="126"/>
        <v>0</v>
      </c>
      <c r="CL114" s="222"/>
      <c r="CM114" s="222"/>
      <c r="CN114" s="222"/>
      <c r="CO114" s="222">
        <v>0</v>
      </c>
      <c r="CP114" s="222"/>
      <c r="CQ114" s="14"/>
      <c r="CR114" s="14"/>
      <c r="CS114" s="261"/>
      <c r="CT114" s="262"/>
      <c r="CU114" s="13"/>
      <c r="CV114" s="13"/>
      <c r="CW114" s="261"/>
      <c r="CX114" s="262"/>
      <c r="CY114" s="13"/>
      <c r="CZ114" s="13"/>
      <c r="DA114" s="261">
        <f t="shared" si="127"/>
        <v>0</v>
      </c>
      <c r="DB114" s="262"/>
    </row>
    <row r="115" spans="1:106" ht="14.25" hidden="1" customHeight="1">
      <c r="A115" s="334"/>
      <c r="B115" s="334" t="s">
        <v>559</v>
      </c>
      <c r="C115" s="221"/>
      <c r="D115" s="153">
        <f>H115+L115+P115+T115+X115+AI115+AM115+AQ115+AU115+BC115+BG115+BW115+CE115+CI115+CM115+CQ115+CU115+CY115+AY115+BK115+BS115</f>
        <v>0</v>
      </c>
      <c r="E115" s="250">
        <f>I115+M115+Q115+U115+Y115+AJ115+AN115+AR115+AV115+BD115+BH115+BX115+CF115+CJ115+CN115+CR115+CV115+CZ115+AZ115+BL115+BT115+BP115</f>
        <v>0</v>
      </c>
      <c r="F115" s="192">
        <f>E115-D115</f>
        <v>0</v>
      </c>
      <c r="G115" s="192" t="e">
        <f>E115/D115</f>
        <v>#DIV/0!</v>
      </c>
      <c r="H115" s="153"/>
      <c r="I115" s="153"/>
      <c r="J115" s="156">
        <f>I115-H115</f>
        <v>0</v>
      </c>
      <c r="K115" s="156" t="e">
        <f t="shared" si="129"/>
        <v>#DIV/0!</v>
      </c>
      <c r="L115" s="153"/>
      <c r="M115" s="153"/>
      <c r="N115" s="156">
        <f>M115-L115</f>
        <v>0</v>
      </c>
      <c r="O115" s="156"/>
      <c r="P115" s="153"/>
      <c r="Q115" s="153"/>
      <c r="R115" s="156">
        <f>Q115-P115</f>
        <v>0</v>
      </c>
      <c r="S115" s="156"/>
      <c r="T115" s="153"/>
      <c r="U115" s="153"/>
      <c r="V115" s="156">
        <f>U115-T115</f>
        <v>0</v>
      </c>
      <c r="W115" s="156"/>
      <c r="X115" s="153">
        <f>AB115</f>
        <v>0</v>
      </c>
      <c r="Y115" s="153">
        <f>AC115</f>
        <v>0</v>
      </c>
      <c r="Z115" s="156">
        <f>Y115-X115</f>
        <v>0</v>
      </c>
      <c r="AA115" s="156"/>
      <c r="AB115" s="153"/>
      <c r="AC115" s="153"/>
      <c r="AD115" s="156">
        <f>AC115-AB115</f>
        <v>0</v>
      </c>
      <c r="AE115" s="156"/>
      <c r="AF115" s="153"/>
      <c r="AG115" s="153"/>
      <c r="AH115" s="156"/>
      <c r="AI115" s="153"/>
      <c r="AJ115" s="153"/>
      <c r="AK115" s="156">
        <f>AJ115-AI115</f>
        <v>0</v>
      </c>
      <c r="AL115" s="156"/>
      <c r="AM115" s="153"/>
      <c r="AN115" s="153"/>
      <c r="AO115" s="156">
        <f>AN115-AM115</f>
        <v>0</v>
      </c>
      <c r="AP115" s="156"/>
      <c r="AQ115" s="156"/>
      <c r="AR115" s="156"/>
      <c r="AS115" s="156">
        <f>AR115-AQ115</f>
        <v>0</v>
      </c>
      <c r="AT115" s="156"/>
      <c r="AU115" s="153"/>
      <c r="AV115" s="153"/>
      <c r="AW115" s="156">
        <f>AV115-AU115</f>
        <v>0</v>
      </c>
      <c r="AX115" s="156"/>
      <c r="AY115" s="153"/>
      <c r="AZ115" s="153"/>
      <c r="BA115" s="156">
        <v>0</v>
      </c>
      <c r="BB115" s="156"/>
      <c r="BC115" s="153"/>
      <c r="BD115" s="153"/>
      <c r="BE115" s="156">
        <f>BD115-BC115</f>
        <v>0</v>
      </c>
      <c r="BF115" s="156"/>
      <c r="BG115" s="153"/>
      <c r="BH115" s="153"/>
      <c r="BI115" s="156">
        <f>BH115-BG115</f>
        <v>0</v>
      </c>
      <c r="BJ115" s="156"/>
      <c r="BK115" s="153"/>
      <c r="BL115" s="153"/>
      <c r="BM115" s="156">
        <f>BL115-BK115</f>
        <v>0</v>
      </c>
      <c r="BN115" s="156"/>
      <c r="BO115" s="153"/>
      <c r="BP115" s="153"/>
      <c r="BQ115" s="156">
        <f>BP115-BO115</f>
        <v>0</v>
      </c>
      <c r="BR115" s="156"/>
      <c r="BS115" s="153"/>
      <c r="BT115" s="153"/>
      <c r="BU115" s="156">
        <f>BT115-BS115</f>
        <v>0</v>
      </c>
      <c r="BV115" s="156" t="e">
        <f>BT115/BS115</f>
        <v>#DIV/0!</v>
      </c>
      <c r="BW115" s="153"/>
      <c r="BX115" s="153"/>
      <c r="BY115" s="156">
        <f>BX115-BW115</f>
        <v>0</v>
      </c>
      <c r="BZ115" s="156"/>
      <c r="CA115" s="153"/>
      <c r="CB115" s="153"/>
      <c r="CC115" s="156">
        <f>CB115-CA115</f>
        <v>0</v>
      </c>
      <c r="CD115" s="156"/>
      <c r="CE115" s="153"/>
      <c r="CF115" s="153"/>
      <c r="CG115" s="156">
        <f>CF115-CE115</f>
        <v>0</v>
      </c>
      <c r="CH115" s="156"/>
      <c r="CI115" s="153"/>
      <c r="CJ115" s="153"/>
      <c r="CK115" s="156">
        <f>CJ115-CI115</f>
        <v>0</v>
      </c>
      <c r="CL115" s="222"/>
      <c r="CM115" s="222"/>
      <c r="CN115" s="222"/>
      <c r="CO115" s="222">
        <v>0</v>
      </c>
      <c r="CP115" s="222"/>
      <c r="CQ115" s="14"/>
      <c r="CR115" s="14"/>
      <c r="CS115" s="261"/>
      <c r="CT115" s="262"/>
      <c r="CU115" s="13"/>
      <c r="CV115" s="13"/>
      <c r="CW115" s="261"/>
      <c r="CX115" s="262"/>
      <c r="CY115" s="13"/>
      <c r="CZ115" s="13"/>
      <c r="DA115" s="261">
        <f>CZ115-CY115</f>
        <v>0</v>
      </c>
      <c r="DB115" s="262"/>
    </row>
    <row r="116" spans="1:106" ht="14.25" hidden="1" customHeight="1">
      <c r="A116" s="334"/>
      <c r="B116" s="334" t="s">
        <v>560</v>
      </c>
      <c r="C116" s="221">
        <v>2.9</v>
      </c>
      <c r="D116" s="153">
        <f t="shared" si="106"/>
        <v>0</v>
      </c>
      <c r="E116" s="153">
        <f t="shared" si="106"/>
        <v>0</v>
      </c>
      <c r="F116" s="192">
        <f t="shared" si="108"/>
        <v>0</v>
      </c>
      <c r="G116" s="192" t="e">
        <f t="shared" si="128"/>
        <v>#DIV/0!</v>
      </c>
      <c r="H116" s="153"/>
      <c r="I116" s="153"/>
      <c r="J116" s="156">
        <f t="shared" si="113"/>
        <v>0</v>
      </c>
      <c r="K116" s="156"/>
      <c r="L116" s="153"/>
      <c r="M116" s="153"/>
      <c r="N116" s="156">
        <f t="shared" si="109"/>
        <v>0</v>
      </c>
      <c r="O116" s="156"/>
      <c r="P116" s="153"/>
      <c r="Q116" s="153"/>
      <c r="R116" s="156">
        <f t="shared" si="110"/>
        <v>0</v>
      </c>
      <c r="S116" s="156"/>
      <c r="T116" s="153"/>
      <c r="U116" s="153"/>
      <c r="V116" s="156">
        <f t="shared" si="111"/>
        <v>0</v>
      </c>
      <c r="W116" s="156"/>
      <c r="X116" s="153">
        <f t="shared" si="107"/>
        <v>0</v>
      </c>
      <c r="Y116" s="153">
        <f t="shared" si="107"/>
        <v>0</v>
      </c>
      <c r="Z116" s="156">
        <f t="shared" si="114"/>
        <v>0</v>
      </c>
      <c r="AA116" s="156"/>
      <c r="AB116" s="153"/>
      <c r="AC116" s="153"/>
      <c r="AD116" s="156">
        <f t="shared" si="115"/>
        <v>0</v>
      </c>
      <c r="AE116" s="156"/>
      <c r="AF116" s="153"/>
      <c r="AG116" s="153"/>
      <c r="AH116" s="156"/>
      <c r="AI116" s="153"/>
      <c r="AJ116" s="153"/>
      <c r="AK116" s="156">
        <f t="shared" si="116"/>
        <v>0</v>
      </c>
      <c r="AL116" s="156"/>
      <c r="AM116" s="153"/>
      <c r="AN116" s="153"/>
      <c r="AO116" s="156">
        <f t="shared" si="112"/>
        <v>0</v>
      </c>
      <c r="AP116" s="156"/>
      <c r="AQ116" s="156"/>
      <c r="AR116" s="156"/>
      <c r="AS116" s="156">
        <f>AR116-AQ116</f>
        <v>0</v>
      </c>
      <c r="AT116" s="156"/>
      <c r="AU116" s="153"/>
      <c r="AV116" s="153"/>
      <c r="AW116" s="156">
        <f t="shared" si="117"/>
        <v>0</v>
      </c>
      <c r="AX116" s="156"/>
      <c r="AY116" s="153"/>
      <c r="AZ116" s="153"/>
      <c r="BA116" s="156">
        <v>0</v>
      </c>
      <c r="BB116" s="156"/>
      <c r="BC116" s="153"/>
      <c r="BD116" s="153"/>
      <c r="BE116" s="156">
        <f t="shared" si="118"/>
        <v>0</v>
      </c>
      <c r="BF116" s="156"/>
      <c r="BG116" s="153"/>
      <c r="BH116" s="153"/>
      <c r="BI116" s="156">
        <f t="shared" si="119"/>
        <v>0</v>
      </c>
      <c r="BJ116" s="156"/>
      <c r="BK116" s="153"/>
      <c r="BL116" s="153"/>
      <c r="BM116" s="156">
        <f t="shared" si="120"/>
        <v>0</v>
      </c>
      <c r="BN116" s="156"/>
      <c r="BO116" s="153"/>
      <c r="BP116" s="153"/>
      <c r="BQ116" s="156">
        <f t="shared" si="121"/>
        <v>0</v>
      </c>
      <c r="BR116" s="156"/>
      <c r="BS116" s="153"/>
      <c r="BT116" s="153"/>
      <c r="BU116" s="156">
        <f t="shared" si="122"/>
        <v>0</v>
      </c>
      <c r="BV116" s="156" t="e">
        <f t="shared" ref="BV116:BV127" si="130">BT116/BS116</f>
        <v>#DIV/0!</v>
      </c>
      <c r="BW116" s="153"/>
      <c r="BX116" s="153"/>
      <c r="BY116" s="156">
        <f t="shared" si="123"/>
        <v>0</v>
      </c>
      <c r="BZ116" s="156"/>
      <c r="CA116" s="153"/>
      <c r="CB116" s="153"/>
      <c r="CC116" s="156">
        <f t="shared" si="124"/>
        <v>0</v>
      </c>
      <c r="CD116" s="156"/>
      <c r="CE116" s="153"/>
      <c r="CF116" s="153"/>
      <c r="CG116" s="156">
        <f t="shared" si="125"/>
        <v>0</v>
      </c>
      <c r="CH116" s="156"/>
      <c r="CI116" s="153"/>
      <c r="CJ116" s="153"/>
      <c r="CK116" s="156">
        <f t="shared" si="126"/>
        <v>0</v>
      </c>
      <c r="CL116" s="222"/>
      <c r="CM116" s="222"/>
      <c r="CN116" s="222"/>
      <c r="CO116" s="222">
        <v>0</v>
      </c>
      <c r="CP116" s="222"/>
      <c r="CQ116" s="14"/>
      <c r="CR116" s="14"/>
      <c r="CS116" s="261"/>
      <c r="CT116" s="262"/>
      <c r="CU116" s="13"/>
      <c r="CV116" s="13"/>
      <c r="CW116" s="261"/>
      <c r="CX116" s="262"/>
      <c r="CY116" s="13"/>
      <c r="CZ116" s="13"/>
      <c r="DA116" s="261">
        <f t="shared" si="127"/>
        <v>0</v>
      </c>
      <c r="DB116" s="262"/>
    </row>
    <row r="117" spans="1:106" ht="14.25" customHeight="1">
      <c r="A117" s="334"/>
      <c r="B117" s="334" t="s">
        <v>561</v>
      </c>
      <c r="C117" s="221"/>
      <c r="D117" s="153">
        <f t="shared" si="106"/>
        <v>0</v>
      </c>
      <c r="E117" s="250">
        <f t="shared" si="106"/>
        <v>151.904</v>
      </c>
      <c r="F117" s="192">
        <f t="shared" si="108"/>
        <v>151.904</v>
      </c>
      <c r="G117" s="192" t="e">
        <f t="shared" si="128"/>
        <v>#DIV/0!</v>
      </c>
      <c r="H117" s="153"/>
      <c r="I117" s="153">
        <v>151.904</v>
      </c>
      <c r="J117" s="156">
        <f t="shared" si="113"/>
        <v>151.904</v>
      </c>
      <c r="K117" s="156"/>
      <c r="L117" s="153"/>
      <c r="M117" s="153"/>
      <c r="N117" s="156">
        <f t="shared" si="109"/>
        <v>0</v>
      </c>
      <c r="O117" s="156"/>
      <c r="P117" s="153"/>
      <c r="Q117" s="153"/>
      <c r="R117" s="156">
        <f t="shared" si="110"/>
        <v>0</v>
      </c>
      <c r="S117" s="156"/>
      <c r="T117" s="153"/>
      <c r="U117" s="153"/>
      <c r="V117" s="156">
        <f t="shared" si="111"/>
        <v>0</v>
      </c>
      <c r="W117" s="156"/>
      <c r="X117" s="153">
        <f t="shared" si="107"/>
        <v>0</v>
      </c>
      <c r="Y117" s="153">
        <f t="shared" si="107"/>
        <v>0</v>
      </c>
      <c r="Z117" s="156">
        <f t="shared" si="114"/>
        <v>0</v>
      </c>
      <c r="AA117" s="156"/>
      <c r="AB117" s="153"/>
      <c r="AC117" s="153"/>
      <c r="AD117" s="156">
        <f t="shared" si="115"/>
        <v>0</v>
      </c>
      <c r="AE117" s="156"/>
      <c r="AF117" s="153"/>
      <c r="AG117" s="153"/>
      <c r="AH117" s="156"/>
      <c r="AI117" s="153"/>
      <c r="AJ117" s="153"/>
      <c r="AK117" s="156">
        <f t="shared" si="116"/>
        <v>0</v>
      </c>
      <c r="AL117" s="156"/>
      <c r="AM117" s="153"/>
      <c r="AN117" s="153"/>
      <c r="AO117" s="156">
        <f t="shared" si="112"/>
        <v>0</v>
      </c>
      <c r="AP117" s="156"/>
      <c r="AQ117" s="156"/>
      <c r="AR117" s="156"/>
      <c r="AS117" s="156"/>
      <c r="AT117" s="156"/>
      <c r="AU117" s="153"/>
      <c r="AV117" s="153"/>
      <c r="AW117" s="156">
        <f t="shared" si="117"/>
        <v>0</v>
      </c>
      <c r="AX117" s="156"/>
      <c r="AY117" s="153"/>
      <c r="AZ117" s="153"/>
      <c r="BA117" s="156">
        <v>0</v>
      </c>
      <c r="BB117" s="156"/>
      <c r="BC117" s="153"/>
      <c r="BD117" s="153"/>
      <c r="BE117" s="156">
        <f t="shared" si="118"/>
        <v>0</v>
      </c>
      <c r="BF117" s="156"/>
      <c r="BG117" s="153"/>
      <c r="BH117" s="153"/>
      <c r="BI117" s="156">
        <f t="shared" si="119"/>
        <v>0</v>
      </c>
      <c r="BJ117" s="156"/>
      <c r="BK117" s="153"/>
      <c r="BL117" s="153"/>
      <c r="BM117" s="156">
        <f t="shared" si="120"/>
        <v>0</v>
      </c>
      <c r="BN117" s="156"/>
      <c r="BO117" s="153"/>
      <c r="BP117" s="153"/>
      <c r="BQ117" s="156">
        <f t="shared" si="121"/>
        <v>0</v>
      </c>
      <c r="BR117" s="156"/>
      <c r="BS117" s="153"/>
      <c r="BT117" s="153"/>
      <c r="BU117" s="156">
        <f t="shared" si="122"/>
        <v>0</v>
      </c>
      <c r="BV117" s="156"/>
      <c r="BW117" s="153"/>
      <c r="BX117" s="153"/>
      <c r="BY117" s="156">
        <f t="shared" si="123"/>
        <v>0</v>
      </c>
      <c r="BZ117" s="156"/>
      <c r="CA117" s="153"/>
      <c r="CB117" s="153"/>
      <c r="CC117" s="156">
        <f t="shared" si="124"/>
        <v>0</v>
      </c>
      <c r="CD117" s="156"/>
      <c r="CE117" s="153"/>
      <c r="CF117" s="153"/>
      <c r="CG117" s="156">
        <f t="shared" si="125"/>
        <v>0</v>
      </c>
      <c r="CH117" s="156"/>
      <c r="CI117" s="153"/>
      <c r="CJ117" s="153"/>
      <c r="CK117" s="156">
        <f t="shared" si="126"/>
        <v>0</v>
      </c>
      <c r="CL117" s="222"/>
      <c r="CM117" s="222"/>
      <c r="CN117" s="222"/>
      <c r="CO117" s="222">
        <v>0</v>
      </c>
      <c r="CP117" s="222"/>
      <c r="CQ117" s="14"/>
      <c r="CR117" s="14"/>
      <c r="CS117" s="261"/>
      <c r="CT117" s="262"/>
      <c r="CU117" s="13"/>
      <c r="CV117" s="13"/>
      <c r="CW117" s="261"/>
      <c r="CX117" s="262"/>
      <c r="CY117" s="13"/>
      <c r="CZ117" s="13"/>
      <c r="DA117" s="261">
        <f t="shared" si="127"/>
        <v>0</v>
      </c>
      <c r="DB117" s="262"/>
    </row>
    <row r="118" spans="1:106" ht="14.25" customHeight="1">
      <c r="A118" s="334"/>
      <c r="B118" s="334" t="s">
        <v>562</v>
      </c>
      <c r="C118" s="221">
        <v>0.5</v>
      </c>
      <c r="D118" s="153">
        <f>H118+L118+P118+T118+X118+AI118+AM118+AQ118+AU118+BC118+BG118+BW118+CE118+CI118+CM118+CQ118+CU118+CY118+AY118+BK118+BS118+BO118</f>
        <v>9.5948000000000011</v>
      </c>
      <c r="E118" s="153">
        <f>I118+M118+Q118+U118+Y118+AJ118+AN118+AR118+AV118+BD118+BH118+BX118+CF118+CJ118+CN118+CR118+CV118+CZ118+AZ118+BL118+BT118+BP118</f>
        <v>72.766469999999998</v>
      </c>
      <c r="F118" s="192">
        <f t="shared" si="108"/>
        <v>63.171669999999999</v>
      </c>
      <c r="G118" s="192">
        <f t="shared" si="128"/>
        <v>7.5839485971567919</v>
      </c>
      <c r="H118" s="153">
        <v>9.1948000000000008</v>
      </c>
      <c r="I118" s="153">
        <v>9.1948000000000008</v>
      </c>
      <c r="J118" s="156">
        <f t="shared" si="113"/>
        <v>0</v>
      </c>
      <c r="K118" s="156"/>
      <c r="L118" s="153"/>
      <c r="M118" s="153"/>
      <c r="N118" s="156">
        <f t="shared" si="109"/>
        <v>0</v>
      </c>
      <c r="O118" s="156"/>
      <c r="P118" s="153"/>
      <c r="Q118" s="153"/>
      <c r="R118" s="156">
        <f t="shared" si="110"/>
        <v>0</v>
      </c>
      <c r="S118" s="156"/>
      <c r="T118" s="153"/>
      <c r="U118" s="153"/>
      <c r="V118" s="156">
        <f t="shared" si="111"/>
        <v>0</v>
      </c>
      <c r="W118" s="156"/>
      <c r="X118" s="153">
        <f t="shared" si="107"/>
        <v>0</v>
      </c>
      <c r="Y118" s="153">
        <f t="shared" si="107"/>
        <v>0</v>
      </c>
      <c r="Z118" s="156">
        <f t="shared" si="114"/>
        <v>0</v>
      </c>
      <c r="AA118" s="156"/>
      <c r="AB118" s="153"/>
      <c r="AC118" s="153"/>
      <c r="AD118" s="156">
        <f t="shared" si="115"/>
        <v>0</v>
      </c>
      <c r="AE118" s="156" t="e">
        <f>AC118/AB118</f>
        <v>#DIV/0!</v>
      </c>
      <c r="AF118" s="153"/>
      <c r="AG118" s="153"/>
      <c r="AH118" s="156"/>
      <c r="AI118" s="153"/>
      <c r="AJ118" s="153"/>
      <c r="AK118" s="156">
        <f t="shared" si="116"/>
        <v>0</v>
      </c>
      <c r="AL118" s="156"/>
      <c r="AM118" s="153"/>
      <c r="AN118" s="153"/>
      <c r="AO118" s="156">
        <f t="shared" si="112"/>
        <v>0</v>
      </c>
      <c r="AP118" s="156"/>
      <c r="AQ118" s="156"/>
      <c r="AR118" s="156"/>
      <c r="AS118" s="156">
        <f>AR118-AQ118</f>
        <v>0</v>
      </c>
      <c r="AT118" s="156"/>
      <c r="AU118" s="153"/>
      <c r="AV118" s="153"/>
      <c r="AW118" s="156">
        <f t="shared" si="117"/>
        <v>0</v>
      </c>
      <c r="AX118" s="156"/>
      <c r="AY118" s="153"/>
      <c r="AZ118" s="153"/>
      <c r="BA118" s="156">
        <v>0</v>
      </c>
      <c r="BB118" s="156"/>
      <c r="BC118" s="153"/>
      <c r="BD118" s="153"/>
      <c r="BE118" s="156">
        <f t="shared" si="118"/>
        <v>0</v>
      </c>
      <c r="BF118" s="156"/>
      <c r="BG118" s="153"/>
      <c r="BH118" s="153"/>
      <c r="BI118" s="156">
        <f t="shared" si="119"/>
        <v>0</v>
      </c>
      <c r="BJ118" s="156"/>
      <c r="BK118" s="153"/>
      <c r="BL118" s="153">
        <v>63.171669999999999</v>
      </c>
      <c r="BM118" s="156">
        <f t="shared" si="120"/>
        <v>63.171669999999999</v>
      </c>
      <c r="BN118" s="156"/>
      <c r="BO118" s="153">
        <v>0.4</v>
      </c>
      <c r="BP118" s="153">
        <v>0.4</v>
      </c>
      <c r="BQ118" s="156">
        <f t="shared" si="121"/>
        <v>0</v>
      </c>
      <c r="BR118" s="156"/>
      <c r="BS118" s="153"/>
      <c r="BT118" s="153"/>
      <c r="BU118" s="156">
        <f t="shared" si="122"/>
        <v>0</v>
      </c>
      <c r="BV118" s="156" t="e">
        <f t="shared" si="130"/>
        <v>#DIV/0!</v>
      </c>
      <c r="BW118" s="153"/>
      <c r="BX118" s="153"/>
      <c r="BY118" s="156">
        <f t="shared" si="123"/>
        <v>0</v>
      </c>
      <c r="BZ118" s="156"/>
      <c r="CA118" s="153"/>
      <c r="CB118" s="153"/>
      <c r="CC118" s="156">
        <f t="shared" si="124"/>
        <v>0</v>
      </c>
      <c r="CD118" s="156"/>
      <c r="CE118" s="153"/>
      <c r="CF118" s="153"/>
      <c r="CG118" s="156">
        <f t="shared" si="125"/>
        <v>0</v>
      </c>
      <c r="CH118" s="156"/>
      <c r="CI118" s="153"/>
      <c r="CJ118" s="153"/>
      <c r="CK118" s="156">
        <f t="shared" si="126"/>
        <v>0</v>
      </c>
      <c r="CL118" s="222"/>
      <c r="CM118" s="222"/>
      <c r="CN118" s="222"/>
      <c r="CO118" s="222">
        <v>0</v>
      </c>
      <c r="CP118" s="222"/>
      <c r="CQ118" s="14"/>
      <c r="CR118" s="14"/>
      <c r="CS118" s="261">
        <f>CR118-CQ118</f>
        <v>0</v>
      </c>
      <c r="CT118" s="262"/>
      <c r="CU118" s="13"/>
      <c r="CV118" s="13"/>
      <c r="CW118" s="261"/>
      <c r="CX118" s="262"/>
      <c r="CY118" s="13"/>
      <c r="CZ118" s="13"/>
      <c r="DA118" s="261">
        <f t="shared" si="127"/>
        <v>0</v>
      </c>
      <c r="DB118" s="262"/>
    </row>
    <row r="119" spans="1:106" ht="14.25" customHeight="1">
      <c r="A119" s="334"/>
      <c r="B119" s="334" t="s">
        <v>706</v>
      </c>
      <c r="C119" s="221"/>
      <c r="D119" s="153">
        <f>H119+L119+P119+T119+X119+AI119+AM119+AQ119+AU119+BC119+BG119+BW119+CE119+CI119+CM119+CQ119+CU119+CY119+AY119+BK119+BS119</f>
        <v>0</v>
      </c>
      <c r="E119" s="250">
        <f>I119+M119+Q119+U119+Y119+AJ119+AN119+AR119+AV119+BD119+BH119+BX119+CF119+CJ119+CN119+CR119+CV119+CZ119+AZ119+BL119+BT119</f>
        <v>2.528</v>
      </c>
      <c r="F119" s="192">
        <f t="shared" si="108"/>
        <v>2.528</v>
      </c>
      <c r="G119" s="192" t="e">
        <f>E119/D119</f>
        <v>#DIV/0!</v>
      </c>
      <c r="H119" s="153"/>
      <c r="I119" s="153"/>
      <c r="J119" s="156">
        <f>I119-H119</f>
        <v>0</v>
      </c>
      <c r="K119" s="156"/>
      <c r="L119" s="153"/>
      <c r="M119" s="153">
        <v>2.528</v>
      </c>
      <c r="N119" s="156">
        <f>M119-L119</f>
        <v>2.528</v>
      </c>
      <c r="O119" s="156"/>
      <c r="P119" s="153"/>
      <c r="Q119" s="153"/>
      <c r="R119" s="156">
        <f>Q119-P119</f>
        <v>0</v>
      </c>
      <c r="S119" s="156"/>
      <c r="T119" s="153"/>
      <c r="U119" s="153"/>
      <c r="V119" s="156">
        <f>U119-T119</f>
        <v>0</v>
      </c>
      <c r="W119" s="156"/>
      <c r="X119" s="153">
        <f>AB119</f>
        <v>0</v>
      </c>
      <c r="Y119" s="153">
        <f>AC119</f>
        <v>0</v>
      </c>
      <c r="Z119" s="156">
        <f>Y119-X119</f>
        <v>0</v>
      </c>
      <c r="AA119" s="156"/>
      <c r="AB119" s="153"/>
      <c r="AC119" s="153"/>
      <c r="AD119" s="156">
        <f>AC119-AB119</f>
        <v>0</v>
      </c>
      <c r="AE119" s="156" t="e">
        <f>AC119/AB119</f>
        <v>#DIV/0!</v>
      </c>
      <c r="AF119" s="153"/>
      <c r="AG119" s="153"/>
      <c r="AH119" s="156"/>
      <c r="AI119" s="153"/>
      <c r="AJ119" s="153"/>
      <c r="AK119" s="156">
        <f>AJ119-AI119</f>
        <v>0</v>
      </c>
      <c r="AL119" s="156"/>
      <c r="AM119" s="153"/>
      <c r="AN119" s="153"/>
      <c r="AO119" s="156">
        <f>AN119-AM119</f>
        <v>0</v>
      </c>
      <c r="AP119" s="156"/>
      <c r="AQ119" s="156"/>
      <c r="AR119" s="156"/>
      <c r="AS119" s="156"/>
      <c r="AT119" s="156"/>
      <c r="AU119" s="153"/>
      <c r="AV119" s="153"/>
      <c r="AW119" s="156">
        <f>AV119-AU119</f>
        <v>0</v>
      </c>
      <c r="AX119" s="156"/>
      <c r="AY119" s="153"/>
      <c r="AZ119" s="153"/>
      <c r="BA119" s="156">
        <v>0</v>
      </c>
      <c r="BB119" s="156"/>
      <c r="BC119" s="153"/>
      <c r="BD119" s="153"/>
      <c r="BE119" s="156">
        <f>BD119-BC119</f>
        <v>0</v>
      </c>
      <c r="BF119" s="156"/>
      <c r="BG119" s="153"/>
      <c r="BH119" s="153"/>
      <c r="BI119" s="156">
        <f>BH119-BG119</f>
        <v>0</v>
      </c>
      <c r="BJ119" s="156"/>
      <c r="BK119" s="153"/>
      <c r="BL119" s="153"/>
      <c r="BM119" s="156">
        <f>BL119-BK119</f>
        <v>0</v>
      </c>
      <c r="BN119" s="156"/>
      <c r="BO119" s="153"/>
      <c r="BP119" s="153"/>
      <c r="BQ119" s="156">
        <f>BP119-BO119</f>
        <v>0</v>
      </c>
      <c r="BR119" s="156"/>
      <c r="BS119" s="153"/>
      <c r="BT119" s="153"/>
      <c r="BU119" s="156">
        <f>BT119-BS119</f>
        <v>0</v>
      </c>
      <c r="BV119" s="156" t="e">
        <f>BT119/BS119</f>
        <v>#DIV/0!</v>
      </c>
      <c r="BW119" s="153"/>
      <c r="BX119" s="153"/>
      <c r="BY119" s="156">
        <f>BX119-BW119</f>
        <v>0</v>
      </c>
      <c r="BZ119" s="156"/>
      <c r="CA119" s="153"/>
      <c r="CB119" s="153"/>
      <c r="CC119" s="156">
        <f>CB119-CA119</f>
        <v>0</v>
      </c>
      <c r="CD119" s="156"/>
      <c r="CE119" s="153"/>
      <c r="CF119" s="153"/>
      <c r="CG119" s="156">
        <f>CF119-CE119</f>
        <v>0</v>
      </c>
      <c r="CH119" s="156"/>
      <c r="CI119" s="153"/>
      <c r="CJ119" s="153"/>
      <c r="CK119" s="156">
        <f>CJ119-CI119</f>
        <v>0</v>
      </c>
      <c r="CL119" s="222"/>
      <c r="CM119" s="222"/>
      <c r="CN119" s="222"/>
      <c r="CO119" s="222">
        <v>0</v>
      </c>
      <c r="CP119" s="222"/>
      <c r="CQ119" s="14"/>
      <c r="CR119" s="14"/>
      <c r="CS119" s="261"/>
      <c r="CT119" s="262"/>
      <c r="CU119" s="13"/>
      <c r="CV119" s="13"/>
      <c r="CW119" s="261"/>
      <c r="CX119" s="262"/>
      <c r="CY119" s="13"/>
      <c r="CZ119" s="13"/>
      <c r="DA119" s="261">
        <f>CZ119-CY119</f>
        <v>0</v>
      </c>
      <c r="DB119" s="262"/>
    </row>
    <row r="120" spans="1:106" ht="14.25" customHeight="1">
      <c r="A120" s="334"/>
      <c r="B120" s="334" t="s">
        <v>707</v>
      </c>
      <c r="C120" s="221"/>
      <c r="D120" s="153">
        <f>H120+L120+P120+T120+X120+AI120+AM120+AQ120+AU120+BC120+BG120+BW120+CE120+CI120+CM120+CQ120+CU120+CY120+AY120+BK120+BS120</f>
        <v>0</v>
      </c>
      <c r="E120" s="250">
        <f>I120+M120+Q120+U120+Y120+AJ120+AN120+AR120+AV120+BD120+BH120+BX120+CF120+CJ120+CN120+CR120+CV120+CZ120+AZ120+BL120+BT120</f>
        <v>6.4349999999999996</v>
      </c>
      <c r="F120" s="192">
        <f t="shared" si="108"/>
        <v>6.4349999999999996</v>
      </c>
      <c r="G120" s="192" t="e">
        <f>E120/D120</f>
        <v>#DIV/0!</v>
      </c>
      <c r="H120" s="153"/>
      <c r="I120" s="153">
        <v>6.4349999999999996</v>
      </c>
      <c r="J120" s="156">
        <f>I120-H120</f>
        <v>6.4349999999999996</v>
      </c>
      <c r="K120" s="156"/>
      <c r="L120" s="153"/>
      <c r="M120" s="153"/>
      <c r="N120" s="156">
        <f>M120-L120</f>
        <v>0</v>
      </c>
      <c r="O120" s="156"/>
      <c r="P120" s="153"/>
      <c r="Q120" s="153"/>
      <c r="R120" s="156">
        <f>Q120-P120</f>
        <v>0</v>
      </c>
      <c r="S120" s="156"/>
      <c r="T120" s="153"/>
      <c r="U120" s="153"/>
      <c r="V120" s="156">
        <f>U120-T120</f>
        <v>0</v>
      </c>
      <c r="W120" s="156"/>
      <c r="X120" s="153">
        <f>AB120</f>
        <v>0</v>
      </c>
      <c r="Y120" s="153">
        <f>AC120</f>
        <v>0</v>
      </c>
      <c r="Z120" s="156">
        <f>Y120-X120</f>
        <v>0</v>
      </c>
      <c r="AA120" s="156"/>
      <c r="AB120" s="153"/>
      <c r="AC120" s="153"/>
      <c r="AD120" s="156">
        <f>AC120-AB120</f>
        <v>0</v>
      </c>
      <c r="AE120" s="156" t="e">
        <f>AC120/AB120</f>
        <v>#DIV/0!</v>
      </c>
      <c r="AF120" s="153"/>
      <c r="AG120" s="153"/>
      <c r="AH120" s="156"/>
      <c r="AI120" s="153"/>
      <c r="AJ120" s="153"/>
      <c r="AK120" s="156">
        <f>AJ120-AI120</f>
        <v>0</v>
      </c>
      <c r="AL120" s="156"/>
      <c r="AM120" s="153"/>
      <c r="AN120" s="153"/>
      <c r="AO120" s="156">
        <f>AN120-AM120</f>
        <v>0</v>
      </c>
      <c r="AP120" s="156"/>
      <c r="AQ120" s="156"/>
      <c r="AR120" s="156"/>
      <c r="AS120" s="156"/>
      <c r="AT120" s="156"/>
      <c r="AU120" s="153"/>
      <c r="AV120" s="153"/>
      <c r="AW120" s="156">
        <f>AV120-AU120</f>
        <v>0</v>
      </c>
      <c r="AX120" s="156"/>
      <c r="AY120" s="153"/>
      <c r="AZ120" s="153"/>
      <c r="BA120" s="156">
        <v>0</v>
      </c>
      <c r="BB120" s="156"/>
      <c r="BC120" s="153"/>
      <c r="BD120" s="153"/>
      <c r="BE120" s="156">
        <f>BD120-BC120</f>
        <v>0</v>
      </c>
      <c r="BF120" s="156"/>
      <c r="BG120" s="153"/>
      <c r="BH120" s="153"/>
      <c r="BI120" s="156">
        <f>BH120-BG120</f>
        <v>0</v>
      </c>
      <c r="BJ120" s="156"/>
      <c r="BK120" s="153"/>
      <c r="BL120" s="153"/>
      <c r="BM120" s="156">
        <f>BL120-BK120</f>
        <v>0</v>
      </c>
      <c r="BN120" s="156"/>
      <c r="BO120" s="153"/>
      <c r="BP120" s="153"/>
      <c r="BQ120" s="156">
        <f>BP120-BO120</f>
        <v>0</v>
      </c>
      <c r="BR120" s="156"/>
      <c r="BS120" s="153"/>
      <c r="BT120" s="153"/>
      <c r="BU120" s="156">
        <f>BT120-BS120</f>
        <v>0</v>
      </c>
      <c r="BV120" s="156" t="e">
        <f>BT120/BS120</f>
        <v>#DIV/0!</v>
      </c>
      <c r="BW120" s="153"/>
      <c r="BX120" s="153"/>
      <c r="BY120" s="156">
        <f>BX120-BW120</f>
        <v>0</v>
      </c>
      <c r="BZ120" s="156"/>
      <c r="CA120" s="153"/>
      <c r="CB120" s="153"/>
      <c r="CC120" s="156">
        <f>CB120-CA120</f>
        <v>0</v>
      </c>
      <c r="CD120" s="156"/>
      <c r="CE120" s="153"/>
      <c r="CF120" s="153"/>
      <c r="CG120" s="156">
        <f>CF120-CE120</f>
        <v>0</v>
      </c>
      <c r="CH120" s="156"/>
      <c r="CI120" s="153"/>
      <c r="CJ120" s="153"/>
      <c r="CK120" s="156">
        <f>CJ120-CI120</f>
        <v>0</v>
      </c>
      <c r="CL120" s="222"/>
      <c r="CM120" s="222"/>
      <c r="CN120" s="222"/>
      <c r="CO120" s="222">
        <v>0</v>
      </c>
      <c r="CP120" s="222"/>
      <c r="CQ120" s="14"/>
      <c r="CR120" s="14"/>
      <c r="CS120" s="261"/>
      <c r="CT120" s="262"/>
      <c r="CU120" s="13"/>
      <c r="CV120" s="13"/>
      <c r="CW120" s="261"/>
      <c r="CX120" s="262"/>
      <c r="CY120" s="13"/>
      <c r="CZ120" s="13"/>
      <c r="DA120" s="261">
        <f>CZ120-CY120</f>
        <v>0</v>
      </c>
      <c r="DB120" s="262"/>
    </row>
    <row r="121" spans="1:106" ht="14.25" hidden="1" customHeight="1">
      <c r="A121" s="334"/>
      <c r="B121" s="334" t="s">
        <v>563</v>
      </c>
      <c r="C121" s="221"/>
      <c r="D121" s="153">
        <f t="shared" si="106"/>
        <v>0</v>
      </c>
      <c r="E121" s="250">
        <f t="shared" si="106"/>
        <v>0</v>
      </c>
      <c r="F121" s="192">
        <f t="shared" si="108"/>
        <v>0</v>
      </c>
      <c r="G121" s="192" t="e">
        <f t="shared" si="128"/>
        <v>#DIV/0!</v>
      </c>
      <c r="H121" s="153"/>
      <c r="I121" s="153"/>
      <c r="J121" s="156">
        <f t="shared" si="113"/>
        <v>0</v>
      </c>
      <c r="K121" s="156"/>
      <c r="L121" s="153"/>
      <c r="M121" s="153"/>
      <c r="N121" s="156">
        <f t="shared" si="109"/>
        <v>0</v>
      </c>
      <c r="O121" s="156"/>
      <c r="P121" s="153"/>
      <c r="Q121" s="153"/>
      <c r="R121" s="156">
        <f t="shared" si="110"/>
        <v>0</v>
      </c>
      <c r="S121" s="156"/>
      <c r="T121" s="153"/>
      <c r="U121" s="153"/>
      <c r="V121" s="156">
        <f t="shared" si="111"/>
        <v>0</v>
      </c>
      <c r="W121" s="156"/>
      <c r="X121" s="153">
        <f t="shared" si="107"/>
        <v>0</v>
      </c>
      <c r="Y121" s="153">
        <f t="shared" si="107"/>
        <v>0</v>
      </c>
      <c r="Z121" s="156">
        <f t="shared" si="114"/>
        <v>0</v>
      </c>
      <c r="AA121" s="156"/>
      <c r="AB121" s="153"/>
      <c r="AC121" s="153"/>
      <c r="AD121" s="156">
        <f t="shared" si="115"/>
        <v>0</v>
      </c>
      <c r="AE121" s="156" t="e">
        <f>AC121/AB121</f>
        <v>#DIV/0!</v>
      </c>
      <c r="AF121" s="153"/>
      <c r="AG121" s="153"/>
      <c r="AH121" s="156"/>
      <c r="AI121" s="153"/>
      <c r="AJ121" s="153"/>
      <c r="AK121" s="156">
        <f t="shared" si="116"/>
        <v>0</v>
      </c>
      <c r="AL121" s="156"/>
      <c r="AM121" s="153"/>
      <c r="AN121" s="153"/>
      <c r="AO121" s="156">
        <f t="shared" si="112"/>
        <v>0</v>
      </c>
      <c r="AP121" s="156"/>
      <c r="AQ121" s="156"/>
      <c r="AR121" s="156"/>
      <c r="AS121" s="156"/>
      <c r="AT121" s="156"/>
      <c r="AU121" s="153"/>
      <c r="AV121" s="153"/>
      <c r="AW121" s="156">
        <f t="shared" si="117"/>
        <v>0</v>
      </c>
      <c r="AX121" s="156"/>
      <c r="AY121" s="153"/>
      <c r="AZ121" s="153"/>
      <c r="BA121" s="156">
        <v>0</v>
      </c>
      <c r="BB121" s="156"/>
      <c r="BC121" s="153"/>
      <c r="BD121" s="153"/>
      <c r="BE121" s="156">
        <f t="shared" si="118"/>
        <v>0</v>
      </c>
      <c r="BF121" s="156"/>
      <c r="BG121" s="153"/>
      <c r="BH121" s="153"/>
      <c r="BI121" s="156">
        <f t="shared" si="119"/>
        <v>0</v>
      </c>
      <c r="BJ121" s="156"/>
      <c r="BK121" s="153"/>
      <c r="BL121" s="153"/>
      <c r="BM121" s="156">
        <f t="shared" si="120"/>
        <v>0</v>
      </c>
      <c r="BN121" s="156"/>
      <c r="BO121" s="153"/>
      <c r="BP121" s="153"/>
      <c r="BQ121" s="156">
        <f t="shared" si="121"/>
        <v>0</v>
      </c>
      <c r="BR121" s="156"/>
      <c r="BS121" s="153"/>
      <c r="BT121" s="153"/>
      <c r="BU121" s="156">
        <f t="shared" si="122"/>
        <v>0</v>
      </c>
      <c r="BV121" s="156" t="e">
        <f t="shared" si="130"/>
        <v>#DIV/0!</v>
      </c>
      <c r="BW121" s="153"/>
      <c r="BX121" s="153"/>
      <c r="BY121" s="156">
        <f t="shared" si="123"/>
        <v>0</v>
      </c>
      <c r="BZ121" s="156"/>
      <c r="CA121" s="153"/>
      <c r="CB121" s="153"/>
      <c r="CC121" s="156">
        <f t="shared" si="124"/>
        <v>0</v>
      </c>
      <c r="CD121" s="156"/>
      <c r="CE121" s="153"/>
      <c r="CF121" s="153"/>
      <c r="CG121" s="156">
        <f t="shared" si="125"/>
        <v>0</v>
      </c>
      <c r="CH121" s="156"/>
      <c r="CI121" s="153"/>
      <c r="CJ121" s="153"/>
      <c r="CK121" s="156">
        <f t="shared" si="126"/>
        <v>0</v>
      </c>
      <c r="CL121" s="222"/>
      <c r="CM121" s="222"/>
      <c r="CN121" s="222"/>
      <c r="CO121" s="222">
        <v>0</v>
      </c>
      <c r="CP121" s="222"/>
      <c r="CQ121" s="14"/>
      <c r="CR121" s="14"/>
      <c r="CS121" s="261"/>
      <c r="CT121" s="262"/>
      <c r="CU121" s="13"/>
      <c r="CV121" s="13"/>
      <c r="CW121" s="261"/>
      <c r="CX121" s="262"/>
      <c r="CY121" s="13"/>
      <c r="CZ121" s="13"/>
      <c r="DA121" s="261">
        <f t="shared" si="127"/>
        <v>0</v>
      </c>
      <c r="DB121" s="262"/>
    </row>
    <row r="122" spans="1:106" ht="14.25" hidden="1" customHeight="1">
      <c r="A122" s="334"/>
      <c r="B122" s="334" t="s">
        <v>564</v>
      </c>
      <c r="C122" s="221"/>
      <c r="D122" s="153">
        <f t="shared" si="106"/>
        <v>0</v>
      </c>
      <c r="E122" s="250">
        <f t="shared" si="106"/>
        <v>0</v>
      </c>
      <c r="F122" s="192">
        <f t="shared" si="108"/>
        <v>0</v>
      </c>
      <c r="G122" s="192" t="e">
        <f t="shared" si="128"/>
        <v>#DIV/0!</v>
      </c>
      <c r="H122" s="153"/>
      <c r="I122" s="153"/>
      <c r="J122" s="156">
        <f t="shared" si="113"/>
        <v>0</v>
      </c>
      <c r="K122" s="156" t="e">
        <f t="shared" ref="K122:K128" si="131">I122/H122</f>
        <v>#DIV/0!</v>
      </c>
      <c r="L122" s="153"/>
      <c r="M122" s="153"/>
      <c r="N122" s="156">
        <f t="shared" si="109"/>
        <v>0</v>
      </c>
      <c r="O122" s="156"/>
      <c r="P122" s="153"/>
      <c r="Q122" s="153"/>
      <c r="R122" s="156">
        <f t="shared" si="110"/>
        <v>0</v>
      </c>
      <c r="S122" s="156"/>
      <c r="T122" s="153"/>
      <c r="U122" s="153"/>
      <c r="V122" s="156">
        <f t="shared" si="111"/>
        <v>0</v>
      </c>
      <c r="W122" s="156"/>
      <c r="X122" s="153">
        <f t="shared" si="107"/>
        <v>0</v>
      </c>
      <c r="Y122" s="153">
        <f t="shared" si="107"/>
        <v>0</v>
      </c>
      <c r="Z122" s="156">
        <f t="shared" si="114"/>
        <v>0</v>
      </c>
      <c r="AA122" s="156"/>
      <c r="AB122" s="153"/>
      <c r="AC122" s="153"/>
      <c r="AD122" s="156">
        <f t="shared" si="115"/>
        <v>0</v>
      </c>
      <c r="AE122" s="156"/>
      <c r="AF122" s="153"/>
      <c r="AG122" s="153"/>
      <c r="AH122" s="156"/>
      <c r="AI122" s="153"/>
      <c r="AJ122" s="153"/>
      <c r="AK122" s="156">
        <f t="shared" si="116"/>
        <v>0</v>
      </c>
      <c r="AL122" s="156"/>
      <c r="AM122" s="153"/>
      <c r="AN122" s="153"/>
      <c r="AO122" s="156">
        <f t="shared" si="112"/>
        <v>0</v>
      </c>
      <c r="AP122" s="156"/>
      <c r="AQ122" s="156"/>
      <c r="AR122" s="156"/>
      <c r="AS122" s="156">
        <f>AR122-AQ122</f>
        <v>0</v>
      </c>
      <c r="AT122" s="156"/>
      <c r="AU122" s="153"/>
      <c r="AV122" s="153"/>
      <c r="AW122" s="156">
        <f t="shared" si="117"/>
        <v>0</v>
      </c>
      <c r="AX122" s="156"/>
      <c r="AY122" s="153"/>
      <c r="AZ122" s="153"/>
      <c r="BA122" s="156">
        <v>0</v>
      </c>
      <c r="BB122" s="156"/>
      <c r="BC122" s="153"/>
      <c r="BD122" s="153"/>
      <c r="BE122" s="156">
        <f t="shared" si="118"/>
        <v>0</v>
      </c>
      <c r="BF122" s="156"/>
      <c r="BG122" s="153"/>
      <c r="BH122" s="153"/>
      <c r="BI122" s="156">
        <f t="shared" si="119"/>
        <v>0</v>
      </c>
      <c r="BJ122" s="156"/>
      <c r="BK122" s="153"/>
      <c r="BL122" s="153"/>
      <c r="BM122" s="156">
        <f t="shared" si="120"/>
        <v>0</v>
      </c>
      <c r="BN122" s="156"/>
      <c r="BO122" s="153"/>
      <c r="BP122" s="153"/>
      <c r="BQ122" s="156">
        <f t="shared" si="121"/>
        <v>0</v>
      </c>
      <c r="BR122" s="156"/>
      <c r="BS122" s="153"/>
      <c r="BT122" s="153"/>
      <c r="BU122" s="156">
        <f t="shared" si="122"/>
        <v>0</v>
      </c>
      <c r="BV122" s="156" t="e">
        <f t="shared" si="130"/>
        <v>#DIV/0!</v>
      </c>
      <c r="BW122" s="153"/>
      <c r="BX122" s="153"/>
      <c r="BY122" s="156">
        <f t="shared" si="123"/>
        <v>0</v>
      </c>
      <c r="BZ122" s="156"/>
      <c r="CA122" s="153"/>
      <c r="CB122" s="153"/>
      <c r="CC122" s="156">
        <f t="shared" si="124"/>
        <v>0</v>
      </c>
      <c r="CD122" s="156"/>
      <c r="CE122" s="153"/>
      <c r="CF122" s="153"/>
      <c r="CG122" s="156">
        <f t="shared" si="125"/>
        <v>0</v>
      </c>
      <c r="CH122" s="156"/>
      <c r="CI122" s="153"/>
      <c r="CJ122" s="153"/>
      <c r="CK122" s="156">
        <f t="shared" si="126"/>
        <v>0</v>
      </c>
      <c r="CL122" s="222"/>
      <c r="CM122" s="222"/>
      <c r="CN122" s="222"/>
      <c r="CO122" s="222">
        <v>0</v>
      </c>
      <c r="CP122" s="222"/>
      <c r="CQ122" s="14"/>
      <c r="CR122" s="14"/>
      <c r="CS122" s="261">
        <f>CR122-CQ122</f>
        <v>0</v>
      </c>
      <c r="CT122" s="262"/>
      <c r="CU122" s="13"/>
      <c r="CV122" s="13"/>
      <c r="CW122" s="261"/>
      <c r="CX122" s="262"/>
      <c r="CY122" s="13"/>
      <c r="CZ122" s="13"/>
      <c r="DA122" s="261">
        <f t="shared" si="127"/>
        <v>0</v>
      </c>
      <c r="DB122" s="262"/>
    </row>
    <row r="123" spans="1:106" ht="14.25" hidden="1" customHeight="1">
      <c r="A123" s="334"/>
      <c r="B123" s="334" t="s">
        <v>378</v>
      </c>
      <c r="C123" s="221"/>
      <c r="D123" s="153">
        <f t="shared" si="106"/>
        <v>0</v>
      </c>
      <c r="E123" s="250">
        <f>I123+M123+Q123+U123+Y123+AJ123+AN123+AR123+AV123+BD123+BH123+BX123+CF123+CJ123+CN123+CR123+CV123+CZ123+AZ123+BL123+BT123+BP123</f>
        <v>0</v>
      </c>
      <c r="F123" s="192">
        <f t="shared" si="108"/>
        <v>0</v>
      </c>
      <c r="G123" s="192" t="e">
        <f t="shared" si="128"/>
        <v>#DIV/0!</v>
      </c>
      <c r="H123" s="153"/>
      <c r="I123" s="153"/>
      <c r="J123" s="156">
        <f t="shared" si="113"/>
        <v>0</v>
      </c>
      <c r="K123" s="156" t="e">
        <f t="shared" si="131"/>
        <v>#DIV/0!</v>
      </c>
      <c r="L123" s="153"/>
      <c r="M123" s="153"/>
      <c r="N123" s="156">
        <f t="shared" si="109"/>
        <v>0</v>
      </c>
      <c r="O123" s="156"/>
      <c r="P123" s="153"/>
      <c r="Q123" s="153"/>
      <c r="R123" s="156">
        <f t="shared" si="110"/>
        <v>0</v>
      </c>
      <c r="S123" s="156"/>
      <c r="T123" s="153"/>
      <c r="U123" s="153"/>
      <c r="V123" s="156">
        <f t="shared" si="111"/>
        <v>0</v>
      </c>
      <c r="W123" s="156"/>
      <c r="X123" s="153">
        <f t="shared" si="107"/>
        <v>0</v>
      </c>
      <c r="Y123" s="153">
        <f t="shared" si="107"/>
        <v>0</v>
      </c>
      <c r="Z123" s="156">
        <f t="shared" si="114"/>
        <v>0</v>
      </c>
      <c r="AA123" s="156"/>
      <c r="AB123" s="153"/>
      <c r="AC123" s="153"/>
      <c r="AD123" s="156">
        <f t="shared" si="115"/>
        <v>0</v>
      </c>
      <c r="AE123" s="156"/>
      <c r="AF123" s="153"/>
      <c r="AG123" s="153"/>
      <c r="AH123" s="156"/>
      <c r="AI123" s="153"/>
      <c r="AJ123" s="153"/>
      <c r="AK123" s="156">
        <f t="shared" si="116"/>
        <v>0</v>
      </c>
      <c r="AL123" s="156"/>
      <c r="AM123" s="153"/>
      <c r="AN123" s="153"/>
      <c r="AO123" s="156">
        <f t="shared" si="112"/>
        <v>0</v>
      </c>
      <c r="AP123" s="156"/>
      <c r="AQ123" s="156"/>
      <c r="AR123" s="156"/>
      <c r="AS123" s="156">
        <f>AR123-AQ123</f>
        <v>0</v>
      </c>
      <c r="AT123" s="156"/>
      <c r="AU123" s="153"/>
      <c r="AV123" s="153"/>
      <c r="AW123" s="156">
        <f t="shared" si="117"/>
        <v>0</v>
      </c>
      <c r="AX123" s="156"/>
      <c r="AY123" s="153"/>
      <c r="AZ123" s="153"/>
      <c r="BA123" s="156">
        <v>0</v>
      </c>
      <c r="BB123" s="156"/>
      <c r="BC123" s="153"/>
      <c r="BD123" s="153"/>
      <c r="BE123" s="156">
        <f t="shared" si="118"/>
        <v>0</v>
      </c>
      <c r="BF123" s="156"/>
      <c r="BG123" s="153"/>
      <c r="BH123" s="153"/>
      <c r="BI123" s="156">
        <f t="shared" si="119"/>
        <v>0</v>
      </c>
      <c r="BJ123" s="156"/>
      <c r="BK123" s="153"/>
      <c r="BL123" s="153"/>
      <c r="BM123" s="156">
        <f t="shared" si="120"/>
        <v>0</v>
      </c>
      <c r="BN123" s="156"/>
      <c r="BO123" s="153"/>
      <c r="BP123" s="153"/>
      <c r="BQ123" s="156">
        <f t="shared" si="121"/>
        <v>0</v>
      </c>
      <c r="BR123" s="156"/>
      <c r="BS123" s="153"/>
      <c r="BT123" s="153"/>
      <c r="BU123" s="156">
        <f t="shared" si="122"/>
        <v>0</v>
      </c>
      <c r="BV123" s="156" t="e">
        <f t="shared" si="130"/>
        <v>#DIV/0!</v>
      </c>
      <c r="BW123" s="153"/>
      <c r="BX123" s="153"/>
      <c r="BY123" s="156">
        <f t="shared" si="123"/>
        <v>0</v>
      </c>
      <c r="BZ123" s="156"/>
      <c r="CA123" s="153"/>
      <c r="CB123" s="153"/>
      <c r="CC123" s="156">
        <f t="shared" si="124"/>
        <v>0</v>
      </c>
      <c r="CD123" s="156"/>
      <c r="CE123" s="153"/>
      <c r="CF123" s="153"/>
      <c r="CG123" s="156">
        <f t="shared" si="125"/>
        <v>0</v>
      </c>
      <c r="CH123" s="156"/>
      <c r="CI123" s="153"/>
      <c r="CJ123" s="153"/>
      <c r="CK123" s="156">
        <f t="shared" si="126"/>
        <v>0</v>
      </c>
      <c r="CL123" s="222"/>
      <c r="CM123" s="222"/>
      <c r="CN123" s="222"/>
      <c r="CO123" s="222">
        <v>0</v>
      </c>
      <c r="CP123" s="222"/>
      <c r="CQ123" s="14"/>
      <c r="CR123" s="14"/>
      <c r="CS123" s="261">
        <f>CR123-CQ123</f>
        <v>0</v>
      </c>
      <c r="CT123" s="262"/>
      <c r="CU123" s="13"/>
      <c r="CV123" s="13"/>
      <c r="CW123" s="261"/>
      <c r="CX123" s="262"/>
      <c r="CY123" s="13"/>
      <c r="CZ123" s="13"/>
      <c r="DA123" s="261">
        <f t="shared" si="127"/>
        <v>0</v>
      </c>
      <c r="DB123" s="262"/>
    </row>
    <row r="124" spans="1:106" ht="14.25" hidden="1" customHeight="1">
      <c r="A124" s="334"/>
      <c r="B124" s="334" t="s">
        <v>708</v>
      </c>
      <c r="C124" s="221"/>
      <c r="D124" s="153">
        <f t="shared" si="106"/>
        <v>0</v>
      </c>
      <c r="E124" s="250">
        <f t="shared" si="106"/>
        <v>0</v>
      </c>
      <c r="F124" s="192"/>
      <c r="G124" s="192" t="e">
        <f t="shared" si="128"/>
        <v>#DIV/0!</v>
      </c>
      <c r="H124" s="153"/>
      <c r="I124" s="153"/>
      <c r="J124" s="156">
        <f t="shared" si="113"/>
        <v>0</v>
      </c>
      <c r="K124" s="156" t="e">
        <f t="shared" si="131"/>
        <v>#DIV/0!</v>
      </c>
      <c r="L124" s="153"/>
      <c r="M124" s="153"/>
      <c r="N124" s="156">
        <f t="shared" si="109"/>
        <v>0</v>
      </c>
      <c r="O124" s="156"/>
      <c r="P124" s="153"/>
      <c r="Q124" s="153"/>
      <c r="R124" s="156">
        <f t="shared" si="110"/>
        <v>0</v>
      </c>
      <c r="S124" s="156"/>
      <c r="T124" s="153"/>
      <c r="U124" s="153"/>
      <c r="V124" s="156">
        <f t="shared" si="111"/>
        <v>0</v>
      </c>
      <c r="W124" s="156"/>
      <c r="X124" s="153">
        <f t="shared" si="107"/>
        <v>0</v>
      </c>
      <c r="Y124" s="153">
        <f t="shared" si="107"/>
        <v>0</v>
      </c>
      <c r="Z124" s="156">
        <f t="shared" si="114"/>
        <v>0</v>
      </c>
      <c r="AA124" s="156"/>
      <c r="AB124" s="153"/>
      <c r="AC124" s="153"/>
      <c r="AD124" s="156">
        <f t="shared" si="115"/>
        <v>0</v>
      </c>
      <c r="AE124" s="156"/>
      <c r="AF124" s="153"/>
      <c r="AG124" s="153"/>
      <c r="AH124" s="156"/>
      <c r="AI124" s="153"/>
      <c r="AJ124" s="153"/>
      <c r="AK124" s="156">
        <f t="shared" si="116"/>
        <v>0</v>
      </c>
      <c r="AL124" s="156"/>
      <c r="AM124" s="153"/>
      <c r="AN124" s="153"/>
      <c r="AO124" s="156">
        <f t="shared" si="112"/>
        <v>0</v>
      </c>
      <c r="AP124" s="156"/>
      <c r="AQ124" s="156"/>
      <c r="AR124" s="156"/>
      <c r="AS124" s="156"/>
      <c r="AT124" s="156"/>
      <c r="AU124" s="153"/>
      <c r="AV124" s="153"/>
      <c r="AW124" s="156">
        <f t="shared" si="117"/>
        <v>0</v>
      </c>
      <c r="AX124" s="156"/>
      <c r="AY124" s="153"/>
      <c r="AZ124" s="153"/>
      <c r="BA124" s="156">
        <v>0</v>
      </c>
      <c r="BB124" s="156"/>
      <c r="BC124" s="153"/>
      <c r="BD124" s="153"/>
      <c r="BE124" s="156">
        <f t="shared" si="118"/>
        <v>0</v>
      </c>
      <c r="BF124" s="156"/>
      <c r="BG124" s="153"/>
      <c r="BH124" s="153"/>
      <c r="BI124" s="156">
        <f t="shared" si="119"/>
        <v>0</v>
      </c>
      <c r="BJ124" s="156"/>
      <c r="BK124" s="153"/>
      <c r="BL124" s="153"/>
      <c r="BM124" s="156">
        <f t="shared" si="120"/>
        <v>0</v>
      </c>
      <c r="BN124" s="156"/>
      <c r="BO124" s="153"/>
      <c r="BP124" s="153"/>
      <c r="BQ124" s="156">
        <f t="shared" si="121"/>
        <v>0</v>
      </c>
      <c r="BR124" s="156"/>
      <c r="BS124" s="153"/>
      <c r="BT124" s="153"/>
      <c r="BU124" s="156">
        <f t="shared" si="122"/>
        <v>0</v>
      </c>
      <c r="BV124" s="156" t="e">
        <f t="shared" si="130"/>
        <v>#DIV/0!</v>
      </c>
      <c r="BW124" s="153"/>
      <c r="BX124" s="153"/>
      <c r="BY124" s="156">
        <f t="shared" si="123"/>
        <v>0</v>
      </c>
      <c r="BZ124" s="156"/>
      <c r="CA124" s="153"/>
      <c r="CB124" s="153"/>
      <c r="CC124" s="156">
        <f t="shared" si="124"/>
        <v>0</v>
      </c>
      <c r="CD124" s="156"/>
      <c r="CE124" s="153"/>
      <c r="CF124" s="153"/>
      <c r="CG124" s="156">
        <f t="shared" si="125"/>
        <v>0</v>
      </c>
      <c r="CH124" s="156"/>
      <c r="CI124" s="153"/>
      <c r="CJ124" s="153"/>
      <c r="CK124" s="156">
        <f t="shared" si="126"/>
        <v>0</v>
      </c>
      <c r="CL124" s="222"/>
      <c r="CM124" s="222"/>
      <c r="CN124" s="222"/>
      <c r="CO124" s="222">
        <v>0</v>
      </c>
      <c r="CP124" s="222"/>
      <c r="CQ124" s="14"/>
      <c r="CR124" s="14"/>
      <c r="CS124" s="261">
        <f>CR124-CQ124</f>
        <v>0</v>
      </c>
      <c r="CT124" s="262"/>
      <c r="CU124" s="13"/>
      <c r="CV124" s="13"/>
      <c r="CW124" s="261"/>
      <c r="CX124" s="262"/>
      <c r="CY124" s="13"/>
      <c r="CZ124" s="13"/>
      <c r="DA124" s="261">
        <f t="shared" si="127"/>
        <v>0</v>
      </c>
      <c r="DB124" s="262"/>
    </row>
    <row r="125" spans="1:106" ht="14.25" hidden="1" customHeight="1">
      <c r="A125" s="334"/>
      <c r="B125" s="334" t="s">
        <v>379</v>
      </c>
      <c r="C125" s="221"/>
      <c r="D125" s="153">
        <f t="shared" si="106"/>
        <v>0</v>
      </c>
      <c r="E125" s="250">
        <f>I125+M125+Q125+U125+Y125+AJ125+AN125+AR125+AV125+BD125+BH125+BX125+CF125+CJ125+CN125+CR125+CV125+CZ125+AZ125+BL125+BT125+BP125</f>
        <v>0</v>
      </c>
      <c r="F125" s="192">
        <f t="shared" ref="F125:F140" si="132">E125-D125</f>
        <v>0</v>
      </c>
      <c r="G125" s="192" t="e">
        <f t="shared" si="128"/>
        <v>#DIV/0!</v>
      </c>
      <c r="H125" s="153"/>
      <c r="I125" s="153"/>
      <c r="J125" s="156">
        <f t="shared" si="113"/>
        <v>0</v>
      </c>
      <c r="K125" s="156" t="e">
        <f t="shared" si="131"/>
        <v>#DIV/0!</v>
      </c>
      <c r="L125" s="153"/>
      <c r="M125" s="153"/>
      <c r="N125" s="156">
        <f t="shared" si="109"/>
        <v>0</v>
      </c>
      <c r="O125" s="156"/>
      <c r="P125" s="153"/>
      <c r="Q125" s="153"/>
      <c r="R125" s="156">
        <f t="shared" si="110"/>
        <v>0</v>
      </c>
      <c r="S125" s="156"/>
      <c r="T125" s="153"/>
      <c r="U125" s="153"/>
      <c r="V125" s="156">
        <f t="shared" si="111"/>
        <v>0</v>
      </c>
      <c r="W125" s="156"/>
      <c r="X125" s="153">
        <f t="shared" si="107"/>
        <v>0</v>
      </c>
      <c r="Y125" s="153">
        <f t="shared" si="107"/>
        <v>0</v>
      </c>
      <c r="Z125" s="156">
        <f t="shared" si="114"/>
        <v>0</v>
      </c>
      <c r="AA125" s="156"/>
      <c r="AB125" s="153"/>
      <c r="AC125" s="153"/>
      <c r="AD125" s="156">
        <f t="shared" si="115"/>
        <v>0</v>
      </c>
      <c r="AE125" s="156"/>
      <c r="AF125" s="153"/>
      <c r="AG125" s="153"/>
      <c r="AH125" s="156"/>
      <c r="AI125" s="153"/>
      <c r="AJ125" s="153"/>
      <c r="AK125" s="156">
        <f t="shared" si="116"/>
        <v>0</v>
      </c>
      <c r="AL125" s="156"/>
      <c r="AM125" s="153"/>
      <c r="AN125" s="153"/>
      <c r="AO125" s="156">
        <f t="shared" si="112"/>
        <v>0</v>
      </c>
      <c r="AP125" s="156"/>
      <c r="AQ125" s="156"/>
      <c r="AR125" s="156"/>
      <c r="AS125" s="156">
        <f>AR125-AQ125</f>
        <v>0</v>
      </c>
      <c r="AT125" s="156"/>
      <c r="AU125" s="153"/>
      <c r="AV125" s="153"/>
      <c r="AW125" s="156">
        <f t="shared" si="117"/>
        <v>0</v>
      </c>
      <c r="AX125" s="156"/>
      <c r="AY125" s="153"/>
      <c r="AZ125" s="153"/>
      <c r="BA125" s="156">
        <v>0</v>
      </c>
      <c r="BB125" s="156"/>
      <c r="BC125" s="153"/>
      <c r="BD125" s="153"/>
      <c r="BE125" s="156">
        <f t="shared" si="118"/>
        <v>0</v>
      </c>
      <c r="BF125" s="156"/>
      <c r="BG125" s="153"/>
      <c r="BH125" s="153"/>
      <c r="BI125" s="156">
        <f t="shared" si="119"/>
        <v>0</v>
      </c>
      <c r="BJ125" s="156"/>
      <c r="BK125" s="153"/>
      <c r="BL125" s="153"/>
      <c r="BM125" s="156">
        <f t="shared" si="120"/>
        <v>0</v>
      </c>
      <c r="BN125" s="156"/>
      <c r="BO125" s="153">
        <v>51.61</v>
      </c>
      <c r="BP125" s="153"/>
      <c r="BQ125" s="156">
        <f t="shared" si="121"/>
        <v>-51.61</v>
      </c>
      <c r="BR125" s="156"/>
      <c r="BS125" s="153"/>
      <c r="BT125" s="153"/>
      <c r="BU125" s="156">
        <f t="shared" si="122"/>
        <v>0</v>
      </c>
      <c r="BV125" s="156" t="e">
        <f t="shared" si="130"/>
        <v>#DIV/0!</v>
      </c>
      <c r="BW125" s="153"/>
      <c r="BX125" s="153"/>
      <c r="BY125" s="156">
        <f t="shared" si="123"/>
        <v>0</v>
      </c>
      <c r="BZ125" s="156"/>
      <c r="CA125" s="153"/>
      <c r="CB125" s="153"/>
      <c r="CC125" s="156">
        <f t="shared" si="124"/>
        <v>0</v>
      </c>
      <c r="CD125" s="156"/>
      <c r="CE125" s="153"/>
      <c r="CF125" s="153"/>
      <c r="CG125" s="156">
        <f t="shared" si="125"/>
        <v>0</v>
      </c>
      <c r="CH125" s="156"/>
      <c r="CI125" s="153"/>
      <c r="CJ125" s="153"/>
      <c r="CK125" s="156">
        <f t="shared" si="126"/>
        <v>0</v>
      </c>
      <c r="CL125" s="222"/>
      <c r="CM125" s="222"/>
      <c r="CN125" s="222"/>
      <c r="CO125" s="222">
        <v>0</v>
      </c>
      <c r="CP125" s="222"/>
      <c r="CQ125" s="14"/>
      <c r="CR125" s="14"/>
      <c r="CS125" s="261">
        <f>CR125-CQ125</f>
        <v>0</v>
      </c>
      <c r="CT125" s="262"/>
      <c r="CU125" s="13"/>
      <c r="CV125" s="13"/>
      <c r="CW125" s="261"/>
      <c r="CX125" s="262"/>
      <c r="CY125" s="13"/>
      <c r="CZ125" s="13"/>
      <c r="DA125" s="261">
        <f t="shared" si="127"/>
        <v>0</v>
      </c>
      <c r="DB125" s="262"/>
    </row>
    <row r="126" spans="1:106" ht="14.25" customHeight="1">
      <c r="A126" s="334"/>
      <c r="B126" s="334" t="s">
        <v>380</v>
      </c>
      <c r="C126" s="221">
        <v>0</v>
      </c>
      <c r="D126" s="153">
        <f t="shared" si="106"/>
        <v>1197.2359999999999</v>
      </c>
      <c r="E126" s="153">
        <f t="shared" si="106"/>
        <v>499.90800000000002</v>
      </c>
      <c r="F126" s="192">
        <f t="shared" si="132"/>
        <v>-697.32799999999986</v>
      </c>
      <c r="G126" s="192">
        <f t="shared" si="128"/>
        <v>0.41755176088924828</v>
      </c>
      <c r="H126" s="153">
        <v>0.93600000000000005</v>
      </c>
      <c r="I126" s="153"/>
      <c r="J126" s="156">
        <f t="shared" si="113"/>
        <v>-0.93600000000000005</v>
      </c>
      <c r="K126" s="156">
        <f t="shared" si="131"/>
        <v>0</v>
      </c>
      <c r="L126" s="153"/>
      <c r="M126" s="153"/>
      <c r="N126" s="156">
        <f t="shared" si="109"/>
        <v>0</v>
      </c>
      <c r="O126" s="156"/>
      <c r="P126" s="153"/>
      <c r="Q126" s="153"/>
      <c r="R126" s="156">
        <f t="shared" si="110"/>
        <v>0</v>
      </c>
      <c r="S126" s="156"/>
      <c r="T126" s="153"/>
      <c r="U126" s="153"/>
      <c r="V126" s="156">
        <f t="shared" si="111"/>
        <v>0</v>
      </c>
      <c r="W126" s="156"/>
      <c r="X126" s="153">
        <f t="shared" si="107"/>
        <v>0</v>
      </c>
      <c r="Y126" s="153">
        <f t="shared" si="107"/>
        <v>0</v>
      </c>
      <c r="Z126" s="156">
        <f t="shared" si="114"/>
        <v>0</v>
      </c>
      <c r="AA126" s="156"/>
      <c r="AB126" s="153"/>
      <c r="AC126" s="153"/>
      <c r="AD126" s="156"/>
      <c r="AE126" s="156"/>
      <c r="AF126" s="153"/>
      <c r="AG126" s="153"/>
      <c r="AH126" s="156"/>
      <c r="AI126" s="153"/>
      <c r="AJ126" s="153"/>
      <c r="AK126" s="156">
        <f t="shared" si="116"/>
        <v>0</v>
      </c>
      <c r="AL126" s="156"/>
      <c r="AM126" s="153"/>
      <c r="AN126" s="153"/>
      <c r="AO126" s="156">
        <f t="shared" si="112"/>
        <v>0</v>
      </c>
      <c r="AP126" s="156"/>
      <c r="AQ126" s="156"/>
      <c r="AR126" s="156"/>
      <c r="AS126" s="156"/>
      <c r="AT126" s="156"/>
      <c r="AU126" s="153"/>
      <c r="AV126" s="153"/>
      <c r="AW126" s="156">
        <f t="shared" si="117"/>
        <v>0</v>
      </c>
      <c r="AX126" s="156"/>
      <c r="AY126" s="153"/>
      <c r="AZ126" s="153"/>
      <c r="BA126" s="156">
        <v>0</v>
      </c>
      <c r="BB126" s="156"/>
      <c r="BC126" s="153"/>
      <c r="BD126" s="153"/>
      <c r="BE126" s="156">
        <f t="shared" si="118"/>
        <v>0</v>
      </c>
      <c r="BF126" s="156"/>
      <c r="BG126" s="153"/>
      <c r="BH126" s="153"/>
      <c r="BI126" s="156">
        <f t="shared" si="119"/>
        <v>0</v>
      </c>
      <c r="BJ126" s="156"/>
      <c r="BK126" s="153"/>
      <c r="BL126" s="153"/>
      <c r="BM126" s="156">
        <f t="shared" si="120"/>
        <v>0</v>
      </c>
      <c r="BN126" s="156"/>
      <c r="BO126" s="153"/>
      <c r="BP126" s="153"/>
      <c r="BQ126" s="156">
        <f t="shared" si="121"/>
        <v>0</v>
      </c>
      <c r="BR126" s="156"/>
      <c r="BS126" s="153"/>
      <c r="BT126" s="153"/>
      <c r="BU126" s="156">
        <f t="shared" si="122"/>
        <v>0</v>
      </c>
      <c r="BV126" s="156" t="e">
        <f t="shared" si="130"/>
        <v>#DIV/0!</v>
      </c>
      <c r="BW126" s="153"/>
      <c r="BX126" s="153"/>
      <c r="BY126" s="156">
        <f t="shared" si="123"/>
        <v>0</v>
      </c>
      <c r="BZ126" s="156"/>
      <c r="CA126" s="153"/>
      <c r="CB126" s="153"/>
      <c r="CC126" s="156">
        <f t="shared" si="124"/>
        <v>0</v>
      </c>
      <c r="CD126" s="156"/>
      <c r="CE126" s="153">
        <v>1196.3</v>
      </c>
      <c r="CF126" s="153">
        <v>499.90800000000002</v>
      </c>
      <c r="CG126" s="156">
        <f t="shared" si="125"/>
        <v>-696.39199999999994</v>
      </c>
      <c r="CH126" s="156"/>
      <c r="CI126" s="153"/>
      <c r="CJ126" s="153"/>
      <c r="CK126" s="156">
        <f t="shared" si="126"/>
        <v>0</v>
      </c>
      <c r="CL126" s="222"/>
      <c r="CM126" s="222"/>
      <c r="CN126" s="222"/>
      <c r="CO126" s="222">
        <v>0</v>
      </c>
      <c r="CP126" s="222"/>
      <c r="CQ126" s="14"/>
      <c r="CR126" s="14"/>
      <c r="CS126" s="261"/>
      <c r="CT126" s="262"/>
      <c r="CU126" s="13"/>
      <c r="CV126" s="13"/>
      <c r="CW126" s="261"/>
      <c r="CX126" s="262"/>
      <c r="CY126" s="13"/>
      <c r="CZ126" s="13"/>
      <c r="DA126" s="261">
        <f t="shared" si="127"/>
        <v>0</v>
      </c>
      <c r="DB126" s="262"/>
    </row>
    <row r="127" spans="1:106" ht="14.25" hidden="1" customHeight="1">
      <c r="A127" s="334"/>
      <c r="B127" s="340" t="s">
        <v>381</v>
      </c>
      <c r="C127" s="221"/>
      <c r="D127" s="153">
        <f t="shared" si="106"/>
        <v>0</v>
      </c>
      <c r="E127" s="250">
        <f t="shared" si="106"/>
        <v>0</v>
      </c>
      <c r="F127" s="192">
        <f t="shared" si="132"/>
        <v>0</v>
      </c>
      <c r="G127" s="192" t="e">
        <f t="shared" si="128"/>
        <v>#DIV/0!</v>
      </c>
      <c r="H127" s="153"/>
      <c r="I127" s="153"/>
      <c r="J127" s="156">
        <f t="shared" si="113"/>
        <v>0</v>
      </c>
      <c r="K127" s="156" t="e">
        <f t="shared" si="131"/>
        <v>#DIV/0!</v>
      </c>
      <c r="L127" s="153"/>
      <c r="M127" s="153"/>
      <c r="N127" s="156">
        <f t="shared" si="109"/>
        <v>0</v>
      </c>
      <c r="O127" s="156"/>
      <c r="P127" s="153"/>
      <c r="Q127" s="153"/>
      <c r="R127" s="156">
        <f t="shared" si="110"/>
        <v>0</v>
      </c>
      <c r="S127" s="156" t="e">
        <f>Q127/P127</f>
        <v>#DIV/0!</v>
      </c>
      <c r="T127" s="153"/>
      <c r="U127" s="153"/>
      <c r="V127" s="156">
        <f t="shared" si="111"/>
        <v>0</v>
      </c>
      <c r="W127" s="156"/>
      <c r="X127" s="153">
        <f t="shared" si="107"/>
        <v>0</v>
      </c>
      <c r="Y127" s="153">
        <f t="shared" si="107"/>
        <v>0</v>
      </c>
      <c r="Z127" s="156">
        <f t="shared" si="114"/>
        <v>0</v>
      </c>
      <c r="AA127" s="156"/>
      <c r="AB127" s="153"/>
      <c r="AC127" s="153"/>
      <c r="AD127" s="156">
        <f t="shared" ref="AD127:AD137" si="133">AC127-AB127</f>
        <v>0</v>
      </c>
      <c r="AE127" s="156"/>
      <c r="AF127" s="153"/>
      <c r="AG127" s="153"/>
      <c r="AH127" s="156"/>
      <c r="AI127" s="153"/>
      <c r="AJ127" s="153"/>
      <c r="AK127" s="156">
        <f t="shared" si="116"/>
        <v>0</v>
      </c>
      <c r="AL127" s="156"/>
      <c r="AM127" s="153"/>
      <c r="AN127" s="153"/>
      <c r="AO127" s="156">
        <f t="shared" si="112"/>
        <v>0</v>
      </c>
      <c r="AP127" s="156"/>
      <c r="AQ127" s="156"/>
      <c r="AR127" s="156"/>
      <c r="AS127" s="156"/>
      <c r="AT127" s="156"/>
      <c r="AU127" s="153"/>
      <c r="AV127" s="153"/>
      <c r="AW127" s="156">
        <f t="shared" si="117"/>
        <v>0</v>
      </c>
      <c r="AX127" s="156"/>
      <c r="AY127" s="153"/>
      <c r="AZ127" s="153"/>
      <c r="BA127" s="156">
        <v>0</v>
      </c>
      <c r="BB127" s="156"/>
      <c r="BC127" s="153"/>
      <c r="BD127" s="153"/>
      <c r="BE127" s="156">
        <f t="shared" si="118"/>
        <v>0</v>
      </c>
      <c r="BF127" s="156"/>
      <c r="BG127" s="153"/>
      <c r="BH127" s="153"/>
      <c r="BI127" s="156">
        <f t="shared" si="119"/>
        <v>0</v>
      </c>
      <c r="BJ127" s="156"/>
      <c r="BK127" s="153"/>
      <c r="BL127" s="153"/>
      <c r="BM127" s="156">
        <f t="shared" si="120"/>
        <v>0</v>
      </c>
      <c r="BN127" s="156"/>
      <c r="BO127" s="153"/>
      <c r="BP127" s="153"/>
      <c r="BQ127" s="156">
        <f t="shared" si="121"/>
        <v>0</v>
      </c>
      <c r="BR127" s="156"/>
      <c r="BS127" s="153"/>
      <c r="BT127" s="153"/>
      <c r="BU127" s="156">
        <f t="shared" si="122"/>
        <v>0</v>
      </c>
      <c r="BV127" s="156" t="e">
        <f t="shared" si="130"/>
        <v>#DIV/0!</v>
      </c>
      <c r="BW127" s="153"/>
      <c r="BX127" s="153"/>
      <c r="BY127" s="156">
        <f t="shared" si="123"/>
        <v>0</v>
      </c>
      <c r="BZ127" s="156"/>
      <c r="CA127" s="153"/>
      <c r="CB127" s="153"/>
      <c r="CC127" s="156">
        <f t="shared" si="124"/>
        <v>0</v>
      </c>
      <c r="CD127" s="156"/>
      <c r="CE127" s="153"/>
      <c r="CF127" s="153"/>
      <c r="CG127" s="156">
        <f t="shared" si="125"/>
        <v>0</v>
      </c>
      <c r="CH127" s="156"/>
      <c r="CI127" s="153"/>
      <c r="CJ127" s="153"/>
      <c r="CK127" s="156">
        <f t="shared" si="126"/>
        <v>0</v>
      </c>
      <c r="CL127" s="222"/>
      <c r="CM127" s="222"/>
      <c r="CN127" s="222"/>
      <c r="CO127" s="222">
        <v>0</v>
      </c>
      <c r="CP127" s="222"/>
      <c r="CQ127" s="14"/>
      <c r="CR127" s="14"/>
      <c r="CS127" s="261">
        <f t="shared" ref="CS127:CS139" si="134">CR127-CQ127</f>
        <v>0</v>
      </c>
      <c r="CT127" s="262"/>
      <c r="CU127" s="13"/>
      <c r="CV127" s="13"/>
      <c r="CW127" s="261"/>
      <c r="CX127" s="262"/>
      <c r="CY127" s="13"/>
      <c r="CZ127" s="13"/>
      <c r="DA127" s="261">
        <f t="shared" si="127"/>
        <v>0</v>
      </c>
      <c r="DB127" s="262"/>
    </row>
    <row r="128" spans="1:106" ht="14.25" customHeight="1">
      <c r="A128" s="334"/>
      <c r="B128" s="340" t="s">
        <v>566</v>
      </c>
      <c r="C128" s="221"/>
      <c r="D128" s="153">
        <f t="shared" si="106"/>
        <v>0</v>
      </c>
      <c r="E128" s="250">
        <f t="shared" si="106"/>
        <v>43.155999999999999</v>
      </c>
      <c r="F128" s="192">
        <f t="shared" si="132"/>
        <v>43.155999999999999</v>
      </c>
      <c r="G128" s="192" t="e">
        <f t="shared" si="128"/>
        <v>#DIV/0!</v>
      </c>
      <c r="H128" s="153"/>
      <c r="I128" s="153"/>
      <c r="J128" s="156">
        <f t="shared" si="113"/>
        <v>0</v>
      </c>
      <c r="K128" s="156" t="e">
        <f t="shared" si="131"/>
        <v>#DIV/0!</v>
      </c>
      <c r="L128" s="153"/>
      <c r="M128" s="153"/>
      <c r="N128" s="156">
        <f t="shared" si="109"/>
        <v>0</v>
      </c>
      <c r="O128" s="156"/>
      <c r="P128" s="153"/>
      <c r="Q128" s="153"/>
      <c r="R128" s="156">
        <f t="shared" si="110"/>
        <v>0</v>
      </c>
      <c r="S128" s="156" t="e">
        <f>Q128/P128</f>
        <v>#DIV/0!</v>
      </c>
      <c r="T128" s="153"/>
      <c r="U128" s="153"/>
      <c r="V128" s="156">
        <f t="shared" si="111"/>
        <v>0</v>
      </c>
      <c r="W128" s="156" t="e">
        <f>U128/T128</f>
        <v>#DIV/0!</v>
      </c>
      <c r="X128" s="153">
        <f t="shared" si="107"/>
        <v>0</v>
      </c>
      <c r="Y128" s="153">
        <f t="shared" si="107"/>
        <v>0</v>
      </c>
      <c r="Z128" s="156">
        <f t="shared" si="114"/>
        <v>0</v>
      </c>
      <c r="AA128" s="156" t="e">
        <f>Y128/X128</f>
        <v>#DIV/0!</v>
      </c>
      <c r="AB128" s="153"/>
      <c r="AC128" s="153"/>
      <c r="AD128" s="156">
        <f t="shared" si="133"/>
        <v>0</v>
      </c>
      <c r="AE128" s="156" t="e">
        <f>AC128/AB128</f>
        <v>#DIV/0!</v>
      </c>
      <c r="AF128" s="153"/>
      <c r="AG128" s="153"/>
      <c r="AH128" s="156">
        <f>AG128-AF128</f>
        <v>0</v>
      </c>
      <c r="AI128" s="153"/>
      <c r="AJ128" s="153"/>
      <c r="AK128" s="156">
        <f t="shared" si="116"/>
        <v>0</v>
      </c>
      <c r="AL128" s="156" t="e">
        <f>AJ128/AI128</f>
        <v>#DIV/0!</v>
      </c>
      <c r="AM128" s="153"/>
      <c r="AN128" s="153"/>
      <c r="AO128" s="156">
        <f t="shared" si="112"/>
        <v>0</v>
      </c>
      <c r="AP128" s="156"/>
      <c r="AQ128" s="156"/>
      <c r="AR128" s="156"/>
      <c r="AS128" s="156"/>
      <c r="AT128" s="156"/>
      <c r="AU128" s="153"/>
      <c r="AV128" s="153"/>
      <c r="AW128" s="156">
        <f t="shared" si="117"/>
        <v>0</v>
      </c>
      <c r="AX128" s="156"/>
      <c r="AY128" s="153"/>
      <c r="AZ128" s="153"/>
      <c r="BA128" s="156">
        <v>0</v>
      </c>
      <c r="BB128" s="156"/>
      <c r="BC128" s="153"/>
      <c r="BD128" s="153"/>
      <c r="BE128" s="156">
        <f t="shared" si="118"/>
        <v>0</v>
      </c>
      <c r="BF128" s="156"/>
      <c r="BG128" s="153"/>
      <c r="BH128" s="153"/>
      <c r="BI128" s="156">
        <f t="shared" si="119"/>
        <v>0</v>
      </c>
      <c r="BJ128" s="156"/>
      <c r="BK128" s="153"/>
      <c r="BL128" s="153">
        <v>43.155999999999999</v>
      </c>
      <c r="BM128" s="156">
        <f t="shared" si="120"/>
        <v>43.155999999999999</v>
      </c>
      <c r="BN128" s="156"/>
      <c r="BO128" s="153"/>
      <c r="BP128" s="153"/>
      <c r="BQ128" s="156">
        <f t="shared" si="121"/>
        <v>0</v>
      </c>
      <c r="BR128" s="156"/>
      <c r="BS128" s="153"/>
      <c r="BT128" s="153"/>
      <c r="BU128" s="156">
        <f t="shared" si="122"/>
        <v>0</v>
      </c>
      <c r="BV128" s="156"/>
      <c r="BW128" s="153"/>
      <c r="BX128" s="153"/>
      <c r="BY128" s="156">
        <f t="shared" si="123"/>
        <v>0</v>
      </c>
      <c r="BZ128" s="156" t="e">
        <f>BX128/BW128</f>
        <v>#DIV/0!</v>
      </c>
      <c r="CA128" s="153"/>
      <c r="CB128" s="153"/>
      <c r="CC128" s="156">
        <f t="shared" si="124"/>
        <v>0</v>
      </c>
      <c r="CD128" s="156"/>
      <c r="CE128" s="153"/>
      <c r="CF128" s="153"/>
      <c r="CG128" s="156">
        <f t="shared" si="125"/>
        <v>0</v>
      </c>
      <c r="CH128" s="156"/>
      <c r="CI128" s="153"/>
      <c r="CJ128" s="153"/>
      <c r="CK128" s="156">
        <f t="shared" si="126"/>
        <v>0</v>
      </c>
      <c r="CL128" s="222"/>
      <c r="CM128" s="222"/>
      <c r="CN128" s="222"/>
      <c r="CO128" s="222">
        <v>0</v>
      </c>
      <c r="CP128" s="222"/>
      <c r="CQ128" s="14"/>
      <c r="CR128" s="14"/>
      <c r="CS128" s="261">
        <f t="shared" si="134"/>
        <v>0</v>
      </c>
      <c r="CT128" s="262" t="e">
        <f t="shared" ref="CT128:CT137" si="135">CR128/CQ128</f>
        <v>#DIV/0!</v>
      </c>
      <c r="CU128" s="13"/>
      <c r="CV128" s="13"/>
      <c r="CW128" s="261">
        <f t="shared" ref="CW128:CW139" si="136">CV128-CU128</f>
        <v>0</v>
      </c>
      <c r="CX128" s="262" t="e">
        <f t="shared" ref="CX128:CX137" si="137">CV128/CU128</f>
        <v>#DIV/0!</v>
      </c>
      <c r="CY128" s="13"/>
      <c r="CZ128" s="13"/>
      <c r="DA128" s="261">
        <f t="shared" si="127"/>
        <v>0</v>
      </c>
      <c r="DB128" s="262" t="e">
        <f t="shared" ref="DB128:DB137" si="138">CZ128/CY128</f>
        <v>#DIV/0!</v>
      </c>
    </row>
    <row r="129" spans="1:106" ht="14.25" hidden="1" customHeight="1">
      <c r="A129" s="334"/>
      <c r="B129" s="340" t="s">
        <v>382</v>
      </c>
      <c r="C129" s="221"/>
      <c r="D129" s="153">
        <f t="shared" si="106"/>
        <v>0</v>
      </c>
      <c r="E129" s="250">
        <f>I129+M129+Q129+U129+Y129+AJ129+AN129+AR129+AV129+BD129+BH129+BX129+CF129+CJ129+CN129+CR129+CV129+CZ129+AZ129+BL129+BT129+BP129</f>
        <v>0</v>
      </c>
      <c r="F129" s="192">
        <f t="shared" si="132"/>
        <v>0</v>
      </c>
      <c r="G129" s="192"/>
      <c r="H129" s="153"/>
      <c r="I129" s="153"/>
      <c r="J129" s="156">
        <f t="shared" si="113"/>
        <v>0</v>
      </c>
      <c r="K129" s="156"/>
      <c r="L129" s="153"/>
      <c r="M129" s="153"/>
      <c r="N129" s="156">
        <f t="shared" si="109"/>
        <v>0</v>
      </c>
      <c r="O129" s="156"/>
      <c r="P129" s="153"/>
      <c r="Q129" s="153"/>
      <c r="R129" s="156">
        <f t="shared" si="110"/>
        <v>0</v>
      </c>
      <c r="S129" s="156"/>
      <c r="T129" s="153"/>
      <c r="U129" s="153"/>
      <c r="V129" s="156">
        <f t="shared" si="111"/>
        <v>0</v>
      </c>
      <c r="W129" s="156"/>
      <c r="X129" s="153">
        <f t="shared" si="107"/>
        <v>0</v>
      </c>
      <c r="Y129" s="153">
        <f t="shared" si="107"/>
        <v>0</v>
      </c>
      <c r="Z129" s="156">
        <f t="shared" si="114"/>
        <v>0</v>
      </c>
      <c r="AA129" s="156"/>
      <c r="AB129" s="153"/>
      <c r="AC129" s="153"/>
      <c r="AD129" s="156">
        <f t="shared" si="133"/>
        <v>0</v>
      </c>
      <c r="AE129" s="156"/>
      <c r="AF129" s="153"/>
      <c r="AG129" s="153"/>
      <c r="AH129" s="156">
        <f>AG129-AF129</f>
        <v>0</v>
      </c>
      <c r="AI129" s="153"/>
      <c r="AJ129" s="153"/>
      <c r="AK129" s="156">
        <f t="shared" si="116"/>
        <v>0</v>
      </c>
      <c r="AL129" s="156"/>
      <c r="AM129" s="153"/>
      <c r="AN129" s="153"/>
      <c r="AO129" s="156">
        <f t="shared" si="112"/>
        <v>0</v>
      </c>
      <c r="AP129" s="156"/>
      <c r="AQ129" s="156"/>
      <c r="AR129" s="156"/>
      <c r="AS129" s="156"/>
      <c r="AT129" s="156"/>
      <c r="AU129" s="153"/>
      <c r="AV129" s="153"/>
      <c r="AW129" s="156">
        <f t="shared" si="117"/>
        <v>0</v>
      </c>
      <c r="AX129" s="156"/>
      <c r="AY129" s="153"/>
      <c r="AZ129" s="153"/>
      <c r="BA129" s="156">
        <v>0</v>
      </c>
      <c r="BB129" s="156"/>
      <c r="BC129" s="153"/>
      <c r="BD129" s="153"/>
      <c r="BE129" s="156">
        <f t="shared" si="118"/>
        <v>0</v>
      </c>
      <c r="BF129" s="156"/>
      <c r="BG129" s="153"/>
      <c r="BH129" s="153"/>
      <c r="BI129" s="156">
        <f t="shared" si="119"/>
        <v>0</v>
      </c>
      <c r="BJ129" s="156"/>
      <c r="BK129" s="153"/>
      <c r="BL129" s="153"/>
      <c r="BM129" s="156">
        <f t="shared" si="120"/>
        <v>0</v>
      </c>
      <c r="BN129" s="156"/>
      <c r="BO129" s="153"/>
      <c r="BP129" s="153"/>
      <c r="BQ129" s="156">
        <f t="shared" si="121"/>
        <v>0</v>
      </c>
      <c r="BR129" s="156"/>
      <c r="BS129" s="153"/>
      <c r="BT129" s="153"/>
      <c r="BU129" s="156">
        <f t="shared" si="122"/>
        <v>0</v>
      </c>
      <c r="BV129" s="156"/>
      <c r="BW129" s="153"/>
      <c r="BX129" s="153"/>
      <c r="BY129" s="156">
        <f t="shared" si="123"/>
        <v>0</v>
      </c>
      <c r="BZ129" s="156"/>
      <c r="CA129" s="153"/>
      <c r="CB129" s="153"/>
      <c r="CC129" s="156">
        <f t="shared" si="124"/>
        <v>0</v>
      </c>
      <c r="CD129" s="156"/>
      <c r="CE129" s="153"/>
      <c r="CF129" s="153"/>
      <c r="CG129" s="156">
        <f t="shared" si="125"/>
        <v>0</v>
      </c>
      <c r="CH129" s="156"/>
      <c r="CI129" s="153"/>
      <c r="CJ129" s="153"/>
      <c r="CK129" s="156">
        <f t="shared" si="126"/>
        <v>0</v>
      </c>
      <c r="CL129" s="222"/>
      <c r="CM129" s="222"/>
      <c r="CN129" s="222"/>
      <c r="CO129" s="222">
        <v>0</v>
      </c>
      <c r="CP129" s="222"/>
      <c r="CQ129" s="14"/>
      <c r="CR129" s="14"/>
      <c r="CS129" s="261">
        <f t="shared" si="134"/>
        <v>0</v>
      </c>
      <c r="CT129" s="262" t="e">
        <f t="shared" si="135"/>
        <v>#DIV/0!</v>
      </c>
      <c r="CU129" s="13"/>
      <c r="CV129" s="13"/>
      <c r="CW129" s="261">
        <f t="shared" si="136"/>
        <v>0</v>
      </c>
      <c r="CX129" s="262" t="e">
        <f t="shared" si="137"/>
        <v>#DIV/0!</v>
      </c>
      <c r="CY129" s="13"/>
      <c r="CZ129" s="13"/>
      <c r="DA129" s="261">
        <f t="shared" si="127"/>
        <v>0</v>
      </c>
      <c r="DB129" s="262" t="e">
        <f t="shared" si="138"/>
        <v>#DIV/0!</v>
      </c>
    </row>
    <row r="130" spans="1:106" ht="14.25" hidden="1" customHeight="1">
      <c r="A130" s="334"/>
      <c r="B130" s="340" t="s">
        <v>567</v>
      </c>
      <c r="C130" s="221"/>
      <c r="D130" s="153">
        <f t="shared" si="106"/>
        <v>0</v>
      </c>
      <c r="E130" s="250">
        <f t="shared" si="106"/>
        <v>0</v>
      </c>
      <c r="F130" s="192">
        <f t="shared" si="132"/>
        <v>0</v>
      </c>
      <c r="G130" s="192" t="e">
        <f t="shared" ref="G130:G140" si="139">E130/D130</f>
        <v>#DIV/0!</v>
      </c>
      <c r="H130" s="153"/>
      <c r="I130" s="153"/>
      <c r="J130" s="156">
        <f t="shared" si="113"/>
        <v>0</v>
      </c>
      <c r="K130" s="156"/>
      <c r="L130" s="153"/>
      <c r="M130" s="153"/>
      <c r="N130" s="156"/>
      <c r="O130" s="156"/>
      <c r="P130" s="153"/>
      <c r="Q130" s="153"/>
      <c r="R130" s="156"/>
      <c r="S130" s="156"/>
      <c r="T130" s="153"/>
      <c r="U130" s="153"/>
      <c r="V130" s="156"/>
      <c r="W130" s="156"/>
      <c r="X130" s="153"/>
      <c r="Y130" s="153"/>
      <c r="Z130" s="156"/>
      <c r="AA130" s="156"/>
      <c r="AB130" s="153"/>
      <c r="AC130" s="153"/>
      <c r="AD130" s="156">
        <f t="shared" si="133"/>
        <v>0</v>
      </c>
      <c r="AE130" s="156"/>
      <c r="AF130" s="153"/>
      <c r="AG130" s="153"/>
      <c r="AH130" s="156"/>
      <c r="AI130" s="153"/>
      <c r="AJ130" s="153"/>
      <c r="AK130" s="156"/>
      <c r="AL130" s="156"/>
      <c r="AM130" s="153"/>
      <c r="AN130" s="153"/>
      <c r="AO130" s="156">
        <f t="shared" si="112"/>
        <v>0</v>
      </c>
      <c r="AP130" s="156"/>
      <c r="AQ130" s="156"/>
      <c r="AR130" s="156"/>
      <c r="AS130" s="156"/>
      <c r="AT130" s="156"/>
      <c r="AU130" s="153"/>
      <c r="AV130" s="153"/>
      <c r="AW130" s="156">
        <f t="shared" si="117"/>
        <v>0</v>
      </c>
      <c r="AX130" s="156"/>
      <c r="AY130" s="153"/>
      <c r="AZ130" s="153"/>
      <c r="BA130" s="156">
        <f t="shared" ref="BA130:BA140" si="140">AZ130-AY130</f>
        <v>0</v>
      </c>
      <c r="BB130" s="156"/>
      <c r="BC130" s="153"/>
      <c r="BD130" s="153"/>
      <c r="BE130" s="156">
        <f t="shared" si="118"/>
        <v>0</v>
      </c>
      <c r="BF130" s="156"/>
      <c r="BG130" s="153"/>
      <c r="BH130" s="153"/>
      <c r="BI130" s="156">
        <f t="shared" si="119"/>
        <v>0</v>
      </c>
      <c r="BJ130" s="156"/>
      <c r="BK130" s="153"/>
      <c r="BL130" s="153"/>
      <c r="BM130" s="156">
        <f t="shared" si="120"/>
        <v>0</v>
      </c>
      <c r="BN130" s="156"/>
      <c r="BO130" s="153"/>
      <c r="BP130" s="153"/>
      <c r="BQ130" s="156">
        <f t="shared" si="121"/>
        <v>0</v>
      </c>
      <c r="BR130" s="156"/>
      <c r="BS130" s="153"/>
      <c r="BT130" s="153"/>
      <c r="BU130" s="156">
        <f t="shared" si="122"/>
        <v>0</v>
      </c>
      <c r="BV130" s="156"/>
      <c r="BW130" s="153"/>
      <c r="BX130" s="153"/>
      <c r="BY130" s="156">
        <f t="shared" si="123"/>
        <v>0</v>
      </c>
      <c r="BZ130" s="156" t="e">
        <f t="shared" ref="BZ130:BZ138" si="141">BX130/BW130</f>
        <v>#DIV/0!</v>
      </c>
      <c r="CA130" s="153"/>
      <c r="CB130" s="153"/>
      <c r="CC130" s="156">
        <f t="shared" si="124"/>
        <v>0</v>
      </c>
      <c r="CD130" s="156"/>
      <c r="CE130" s="236"/>
      <c r="CF130" s="236"/>
      <c r="CG130" s="156">
        <f t="shared" si="125"/>
        <v>0</v>
      </c>
      <c r="CH130" s="156"/>
      <c r="CI130" s="153"/>
      <c r="CJ130" s="153"/>
      <c r="CK130" s="156">
        <f t="shared" si="126"/>
        <v>0</v>
      </c>
      <c r="CL130" s="222"/>
      <c r="CM130" s="222"/>
      <c r="CN130" s="222"/>
      <c r="CO130" s="222">
        <f t="shared" ref="CO130:CO140" si="142">CN130-CM130</f>
        <v>0</v>
      </c>
      <c r="CP130" s="222"/>
      <c r="CQ130" s="14"/>
      <c r="CR130" s="14"/>
      <c r="CS130" s="261">
        <f t="shared" si="134"/>
        <v>0</v>
      </c>
      <c r="CT130" s="262" t="e">
        <f t="shared" si="135"/>
        <v>#DIV/0!</v>
      </c>
      <c r="CU130" s="13"/>
      <c r="CV130" s="13"/>
      <c r="CW130" s="261">
        <f t="shared" si="136"/>
        <v>0</v>
      </c>
      <c r="CX130" s="262" t="e">
        <f t="shared" si="137"/>
        <v>#DIV/0!</v>
      </c>
      <c r="CY130" s="13"/>
      <c r="CZ130" s="13"/>
      <c r="DA130" s="261">
        <f t="shared" si="127"/>
        <v>0</v>
      </c>
      <c r="DB130" s="262" t="e">
        <f t="shared" si="138"/>
        <v>#DIV/0!</v>
      </c>
    </row>
    <row r="131" spans="1:106" ht="14.25" hidden="1" customHeight="1">
      <c r="A131" s="334"/>
      <c r="B131" s="334" t="s">
        <v>568</v>
      </c>
      <c r="C131" s="221"/>
      <c r="D131" s="153">
        <f t="shared" si="106"/>
        <v>0</v>
      </c>
      <c r="E131" s="250">
        <f t="shared" si="106"/>
        <v>0</v>
      </c>
      <c r="F131" s="192">
        <f t="shared" si="132"/>
        <v>0</v>
      </c>
      <c r="G131" s="192" t="e">
        <f t="shared" si="139"/>
        <v>#DIV/0!</v>
      </c>
      <c r="H131" s="153"/>
      <c r="I131" s="153"/>
      <c r="J131" s="156">
        <f t="shared" si="113"/>
        <v>0</v>
      </c>
      <c r="K131" s="156"/>
      <c r="L131" s="153"/>
      <c r="M131" s="153"/>
      <c r="N131" s="156"/>
      <c r="O131" s="156"/>
      <c r="P131" s="153"/>
      <c r="Q131" s="153"/>
      <c r="R131" s="156"/>
      <c r="S131" s="156"/>
      <c r="T131" s="153"/>
      <c r="U131" s="153"/>
      <c r="V131" s="156"/>
      <c r="W131" s="156"/>
      <c r="X131" s="153"/>
      <c r="Y131" s="153"/>
      <c r="Z131" s="156"/>
      <c r="AA131" s="156"/>
      <c r="AB131" s="153"/>
      <c r="AC131" s="153"/>
      <c r="AD131" s="156">
        <f t="shared" si="133"/>
        <v>0</v>
      </c>
      <c r="AE131" s="156"/>
      <c r="AF131" s="153"/>
      <c r="AG131" s="153"/>
      <c r="AH131" s="156"/>
      <c r="AI131" s="153"/>
      <c r="AJ131" s="153"/>
      <c r="AK131" s="156"/>
      <c r="AL131" s="156"/>
      <c r="AM131" s="153"/>
      <c r="AN131" s="153"/>
      <c r="AO131" s="156">
        <f t="shared" si="112"/>
        <v>0</v>
      </c>
      <c r="AP131" s="156"/>
      <c r="AQ131" s="156"/>
      <c r="AR131" s="156"/>
      <c r="AS131" s="156"/>
      <c r="AT131" s="156"/>
      <c r="AU131" s="153"/>
      <c r="AV131" s="153"/>
      <c r="AW131" s="156">
        <f t="shared" si="117"/>
        <v>0</v>
      </c>
      <c r="AX131" s="156"/>
      <c r="AY131" s="153"/>
      <c r="AZ131" s="153"/>
      <c r="BA131" s="156">
        <f t="shared" si="140"/>
        <v>0</v>
      </c>
      <c r="BB131" s="156"/>
      <c r="BC131" s="153"/>
      <c r="BD131" s="153"/>
      <c r="BE131" s="156">
        <f t="shared" si="118"/>
        <v>0</v>
      </c>
      <c r="BF131" s="156"/>
      <c r="BG131" s="153"/>
      <c r="BH131" s="153"/>
      <c r="BI131" s="156">
        <f t="shared" si="119"/>
        <v>0</v>
      </c>
      <c r="BJ131" s="156"/>
      <c r="BK131" s="153"/>
      <c r="BL131" s="153"/>
      <c r="BM131" s="156">
        <f t="shared" si="120"/>
        <v>0</v>
      </c>
      <c r="BN131" s="156"/>
      <c r="BO131" s="153"/>
      <c r="BP131" s="153"/>
      <c r="BQ131" s="156">
        <f t="shared" si="121"/>
        <v>0</v>
      </c>
      <c r="BR131" s="156"/>
      <c r="BS131" s="153"/>
      <c r="BT131" s="153"/>
      <c r="BU131" s="156">
        <f t="shared" si="122"/>
        <v>0</v>
      </c>
      <c r="BV131" s="156"/>
      <c r="BW131" s="153"/>
      <c r="BX131" s="153"/>
      <c r="BY131" s="156">
        <f t="shared" si="123"/>
        <v>0</v>
      </c>
      <c r="BZ131" s="156" t="e">
        <f t="shared" si="141"/>
        <v>#DIV/0!</v>
      </c>
      <c r="CA131" s="153"/>
      <c r="CB131" s="153"/>
      <c r="CC131" s="156">
        <f t="shared" si="124"/>
        <v>0</v>
      </c>
      <c r="CD131" s="156"/>
      <c r="CE131" s="153"/>
      <c r="CF131" s="153"/>
      <c r="CG131" s="156">
        <f t="shared" si="125"/>
        <v>0</v>
      </c>
      <c r="CH131" s="156"/>
      <c r="CI131" s="153"/>
      <c r="CJ131" s="153"/>
      <c r="CK131" s="156">
        <f t="shared" si="126"/>
        <v>0</v>
      </c>
      <c r="CL131" s="222"/>
      <c r="CM131" s="222"/>
      <c r="CN131" s="222"/>
      <c r="CO131" s="222">
        <f t="shared" si="142"/>
        <v>0</v>
      </c>
      <c r="CP131" s="222"/>
      <c r="CQ131" s="14"/>
      <c r="CR131" s="14"/>
      <c r="CS131" s="261">
        <f t="shared" si="134"/>
        <v>0</v>
      </c>
      <c r="CT131" s="262" t="e">
        <f t="shared" si="135"/>
        <v>#DIV/0!</v>
      </c>
      <c r="CU131" s="13"/>
      <c r="CV131" s="13"/>
      <c r="CW131" s="261">
        <f t="shared" si="136"/>
        <v>0</v>
      </c>
      <c r="CX131" s="262" t="e">
        <f t="shared" si="137"/>
        <v>#DIV/0!</v>
      </c>
      <c r="CY131" s="13"/>
      <c r="CZ131" s="13"/>
      <c r="DA131" s="261">
        <f t="shared" si="127"/>
        <v>0</v>
      </c>
      <c r="DB131" s="262" t="e">
        <f t="shared" si="138"/>
        <v>#DIV/0!</v>
      </c>
    </row>
    <row r="132" spans="1:106" ht="14.25" hidden="1" customHeight="1">
      <c r="A132" s="334"/>
      <c r="B132" s="334" t="s">
        <v>605</v>
      </c>
      <c r="C132" s="221"/>
      <c r="D132" s="153">
        <f t="shared" si="106"/>
        <v>0</v>
      </c>
      <c r="E132" s="250">
        <f t="shared" si="106"/>
        <v>0</v>
      </c>
      <c r="F132" s="192">
        <f t="shared" si="132"/>
        <v>0</v>
      </c>
      <c r="G132" s="192" t="e">
        <f t="shared" si="139"/>
        <v>#DIV/0!</v>
      </c>
      <c r="H132" s="153"/>
      <c r="I132" s="153"/>
      <c r="J132" s="156">
        <f t="shared" si="113"/>
        <v>0</v>
      </c>
      <c r="K132" s="156"/>
      <c r="L132" s="153"/>
      <c r="M132" s="153"/>
      <c r="N132" s="156"/>
      <c r="O132" s="156"/>
      <c r="P132" s="153"/>
      <c r="Q132" s="153"/>
      <c r="R132" s="156"/>
      <c r="S132" s="156"/>
      <c r="T132" s="153"/>
      <c r="U132" s="153"/>
      <c r="V132" s="156"/>
      <c r="W132" s="156"/>
      <c r="X132" s="153"/>
      <c r="Y132" s="153"/>
      <c r="Z132" s="156"/>
      <c r="AA132" s="156"/>
      <c r="AB132" s="153"/>
      <c r="AC132" s="153"/>
      <c r="AD132" s="156">
        <f t="shared" si="133"/>
        <v>0</v>
      </c>
      <c r="AE132" s="156"/>
      <c r="AF132" s="153"/>
      <c r="AG132" s="153"/>
      <c r="AH132" s="156"/>
      <c r="AI132" s="153"/>
      <c r="AJ132" s="153"/>
      <c r="AK132" s="156"/>
      <c r="AL132" s="156"/>
      <c r="AM132" s="153"/>
      <c r="AN132" s="153"/>
      <c r="AO132" s="156">
        <f t="shared" si="112"/>
        <v>0</v>
      </c>
      <c r="AP132" s="156"/>
      <c r="AQ132" s="156"/>
      <c r="AR132" s="156"/>
      <c r="AS132" s="156"/>
      <c r="AT132" s="156"/>
      <c r="AU132" s="153"/>
      <c r="AV132" s="153"/>
      <c r="AW132" s="156">
        <f t="shared" si="117"/>
        <v>0</v>
      </c>
      <c r="AX132" s="156"/>
      <c r="AY132" s="153"/>
      <c r="AZ132" s="153"/>
      <c r="BA132" s="156">
        <f t="shared" si="140"/>
        <v>0</v>
      </c>
      <c r="BB132" s="156"/>
      <c r="BC132" s="153"/>
      <c r="BD132" s="153"/>
      <c r="BE132" s="156">
        <f t="shared" si="118"/>
        <v>0</v>
      </c>
      <c r="BF132" s="156"/>
      <c r="BG132" s="153"/>
      <c r="BH132" s="153"/>
      <c r="BI132" s="156">
        <f t="shared" si="119"/>
        <v>0</v>
      </c>
      <c r="BJ132" s="156"/>
      <c r="BK132" s="153"/>
      <c r="BL132" s="153"/>
      <c r="BM132" s="156">
        <f t="shared" si="120"/>
        <v>0</v>
      </c>
      <c r="BN132" s="156"/>
      <c r="BO132" s="153"/>
      <c r="BP132" s="153"/>
      <c r="BQ132" s="156">
        <f t="shared" si="121"/>
        <v>0</v>
      </c>
      <c r="BR132" s="156"/>
      <c r="BS132" s="153"/>
      <c r="BT132" s="153"/>
      <c r="BU132" s="156">
        <f t="shared" si="122"/>
        <v>0</v>
      </c>
      <c r="BV132" s="156"/>
      <c r="BW132" s="153"/>
      <c r="BX132" s="153"/>
      <c r="BY132" s="156">
        <f t="shared" si="123"/>
        <v>0</v>
      </c>
      <c r="BZ132" s="156" t="e">
        <f t="shared" si="141"/>
        <v>#DIV/0!</v>
      </c>
      <c r="CA132" s="153"/>
      <c r="CB132" s="153"/>
      <c r="CC132" s="156">
        <f t="shared" si="124"/>
        <v>0</v>
      </c>
      <c r="CD132" s="156"/>
      <c r="CE132" s="153"/>
      <c r="CF132" s="153"/>
      <c r="CG132" s="156">
        <f t="shared" si="125"/>
        <v>0</v>
      </c>
      <c r="CH132" s="156"/>
      <c r="CI132" s="153"/>
      <c r="CJ132" s="153"/>
      <c r="CK132" s="156">
        <f t="shared" si="126"/>
        <v>0</v>
      </c>
      <c r="CL132" s="222"/>
      <c r="CM132" s="222"/>
      <c r="CN132" s="222"/>
      <c r="CO132" s="222">
        <f t="shared" si="142"/>
        <v>0</v>
      </c>
      <c r="CP132" s="222"/>
      <c r="CQ132" s="14"/>
      <c r="CR132" s="14"/>
      <c r="CS132" s="261">
        <f t="shared" si="134"/>
        <v>0</v>
      </c>
      <c r="CT132" s="262" t="e">
        <f t="shared" si="135"/>
        <v>#DIV/0!</v>
      </c>
      <c r="CU132" s="13"/>
      <c r="CV132" s="13"/>
      <c r="CW132" s="261">
        <f t="shared" si="136"/>
        <v>0</v>
      </c>
      <c r="CX132" s="262" t="e">
        <f t="shared" si="137"/>
        <v>#DIV/0!</v>
      </c>
      <c r="CY132" s="13"/>
      <c r="CZ132" s="13"/>
      <c r="DA132" s="261">
        <f t="shared" si="127"/>
        <v>0</v>
      </c>
      <c r="DB132" s="262" t="e">
        <f t="shared" si="138"/>
        <v>#DIV/0!</v>
      </c>
    </row>
    <row r="133" spans="1:106" ht="14.25" hidden="1" customHeight="1">
      <c r="A133" s="334"/>
      <c r="B133" s="334" t="s">
        <v>383</v>
      </c>
      <c r="C133" s="221"/>
      <c r="D133" s="153">
        <f t="shared" si="106"/>
        <v>0</v>
      </c>
      <c r="E133" s="250">
        <f t="shared" si="106"/>
        <v>0</v>
      </c>
      <c r="F133" s="192">
        <f t="shared" si="132"/>
        <v>0</v>
      </c>
      <c r="G133" s="192" t="e">
        <f t="shared" si="139"/>
        <v>#DIV/0!</v>
      </c>
      <c r="H133" s="153"/>
      <c r="I133" s="153"/>
      <c r="J133" s="156">
        <f t="shared" si="113"/>
        <v>0</v>
      </c>
      <c r="K133" s="156" t="e">
        <f t="shared" ref="K133:K140" si="143">I133/H133</f>
        <v>#DIV/0!</v>
      </c>
      <c r="L133" s="153"/>
      <c r="M133" s="153"/>
      <c r="N133" s="156">
        <f t="shared" ref="N133:N140" si="144">M133-L133</f>
        <v>0</v>
      </c>
      <c r="O133" s="156"/>
      <c r="P133" s="153"/>
      <c r="Q133" s="153"/>
      <c r="R133" s="156">
        <f t="shared" ref="R133:R140" si="145">Q133-P133</f>
        <v>0</v>
      </c>
      <c r="S133" s="156" t="e">
        <f t="shared" ref="S133:S140" si="146">Q133/P133</f>
        <v>#DIV/0!</v>
      </c>
      <c r="T133" s="153"/>
      <c r="U133" s="153"/>
      <c r="V133" s="156">
        <f t="shared" ref="V133:V140" si="147">U133-T133</f>
        <v>0</v>
      </c>
      <c r="W133" s="156" t="e">
        <f t="shared" ref="W133:W140" si="148">U133/T133</f>
        <v>#DIV/0!</v>
      </c>
      <c r="X133" s="153">
        <f t="shared" ref="X133:Y140" si="149">AB133</f>
        <v>0</v>
      </c>
      <c r="Y133" s="153">
        <f t="shared" si="149"/>
        <v>0</v>
      </c>
      <c r="Z133" s="156">
        <f t="shared" ref="Z133:Z140" si="150">Y133-X133</f>
        <v>0</v>
      </c>
      <c r="AA133" s="156" t="e">
        <f>Y133/X133</f>
        <v>#DIV/0!</v>
      </c>
      <c r="AB133" s="153"/>
      <c r="AC133" s="153"/>
      <c r="AD133" s="156">
        <f t="shared" si="133"/>
        <v>0</v>
      </c>
      <c r="AE133" s="156" t="e">
        <f>AC133/AB133</f>
        <v>#DIV/0!</v>
      </c>
      <c r="AF133" s="153"/>
      <c r="AG133" s="153"/>
      <c r="AH133" s="156">
        <f t="shared" ref="AH133:AH139" si="151">AG133-AF133</f>
        <v>0</v>
      </c>
      <c r="AI133" s="153"/>
      <c r="AJ133" s="153"/>
      <c r="AK133" s="156">
        <f t="shared" ref="AK133:AK140" si="152">AJ133-AI133</f>
        <v>0</v>
      </c>
      <c r="AL133" s="156"/>
      <c r="AM133" s="153"/>
      <c r="AN133" s="153"/>
      <c r="AO133" s="156">
        <f t="shared" si="112"/>
        <v>0</v>
      </c>
      <c r="AP133" s="156"/>
      <c r="AQ133" s="156"/>
      <c r="AR133" s="156"/>
      <c r="AS133" s="156">
        <f t="shared" ref="AS133:AS140" si="153">AR133-AQ133</f>
        <v>0</v>
      </c>
      <c r="AT133" s="156"/>
      <c r="AU133" s="153"/>
      <c r="AV133" s="153"/>
      <c r="AW133" s="156">
        <f t="shared" si="117"/>
        <v>0</v>
      </c>
      <c r="AX133" s="156"/>
      <c r="AY133" s="153"/>
      <c r="AZ133" s="153"/>
      <c r="BA133" s="156">
        <f t="shared" si="140"/>
        <v>0</v>
      </c>
      <c r="BB133" s="156"/>
      <c r="BC133" s="153"/>
      <c r="BD133" s="153"/>
      <c r="BE133" s="156">
        <f t="shared" si="118"/>
        <v>0</v>
      </c>
      <c r="BF133" s="156"/>
      <c r="BG133" s="153"/>
      <c r="BH133" s="153"/>
      <c r="BI133" s="156">
        <f t="shared" si="119"/>
        <v>0</v>
      </c>
      <c r="BJ133" s="156"/>
      <c r="BK133" s="153"/>
      <c r="BL133" s="153"/>
      <c r="BM133" s="156">
        <f t="shared" si="120"/>
        <v>0</v>
      </c>
      <c r="BN133" s="156"/>
      <c r="BO133" s="153"/>
      <c r="BP133" s="153"/>
      <c r="BQ133" s="156">
        <f t="shared" si="121"/>
        <v>0</v>
      </c>
      <c r="BR133" s="156"/>
      <c r="BS133" s="153"/>
      <c r="BT133" s="153"/>
      <c r="BU133" s="156">
        <f t="shared" si="122"/>
        <v>0</v>
      </c>
      <c r="BV133" s="156"/>
      <c r="BW133" s="153"/>
      <c r="BX133" s="153"/>
      <c r="BY133" s="156">
        <f t="shared" si="123"/>
        <v>0</v>
      </c>
      <c r="BZ133" s="156" t="e">
        <f t="shared" si="141"/>
        <v>#DIV/0!</v>
      </c>
      <c r="CA133" s="153"/>
      <c r="CB133" s="153"/>
      <c r="CC133" s="156">
        <f t="shared" si="124"/>
        <v>0</v>
      </c>
      <c r="CD133" s="156"/>
      <c r="CE133" s="153"/>
      <c r="CF133" s="153"/>
      <c r="CG133" s="156">
        <f t="shared" si="125"/>
        <v>0</v>
      </c>
      <c r="CH133" s="156"/>
      <c r="CI133" s="153"/>
      <c r="CJ133" s="153"/>
      <c r="CK133" s="156">
        <f t="shared" si="126"/>
        <v>0</v>
      </c>
      <c r="CL133" s="222"/>
      <c r="CM133" s="222"/>
      <c r="CN133" s="222"/>
      <c r="CO133" s="222">
        <f t="shared" si="142"/>
        <v>0</v>
      </c>
      <c r="CP133" s="222"/>
      <c r="CQ133" s="14"/>
      <c r="CR133" s="14"/>
      <c r="CS133" s="261">
        <f t="shared" si="134"/>
        <v>0</v>
      </c>
      <c r="CT133" s="262" t="e">
        <f t="shared" si="135"/>
        <v>#DIV/0!</v>
      </c>
      <c r="CU133" s="13"/>
      <c r="CV133" s="13"/>
      <c r="CW133" s="261">
        <f t="shared" si="136"/>
        <v>0</v>
      </c>
      <c r="CX133" s="262" t="e">
        <f t="shared" si="137"/>
        <v>#DIV/0!</v>
      </c>
      <c r="CY133" s="13"/>
      <c r="CZ133" s="13"/>
      <c r="DA133" s="261">
        <f t="shared" si="127"/>
        <v>0</v>
      </c>
      <c r="DB133" s="262" t="e">
        <f t="shared" si="138"/>
        <v>#DIV/0!</v>
      </c>
    </row>
    <row r="134" spans="1:106" ht="14.25" hidden="1" customHeight="1">
      <c r="A134" s="334"/>
      <c r="B134" s="334" t="s">
        <v>709</v>
      </c>
      <c r="C134" s="221"/>
      <c r="D134" s="153">
        <f t="shared" si="106"/>
        <v>0</v>
      </c>
      <c r="E134" s="250">
        <f t="shared" si="106"/>
        <v>0</v>
      </c>
      <c r="F134" s="192">
        <f t="shared" si="132"/>
        <v>0</v>
      </c>
      <c r="G134" s="192" t="e">
        <f t="shared" si="139"/>
        <v>#DIV/0!</v>
      </c>
      <c r="H134" s="153"/>
      <c r="I134" s="153"/>
      <c r="J134" s="156">
        <f t="shared" si="113"/>
        <v>0</v>
      </c>
      <c r="K134" s="156" t="e">
        <f t="shared" si="143"/>
        <v>#DIV/0!</v>
      </c>
      <c r="L134" s="153"/>
      <c r="M134" s="153"/>
      <c r="N134" s="156">
        <f t="shared" si="144"/>
        <v>0</v>
      </c>
      <c r="O134" s="156"/>
      <c r="P134" s="153"/>
      <c r="Q134" s="153"/>
      <c r="R134" s="156">
        <f t="shared" si="145"/>
        <v>0</v>
      </c>
      <c r="S134" s="156" t="e">
        <f t="shared" si="146"/>
        <v>#DIV/0!</v>
      </c>
      <c r="T134" s="153"/>
      <c r="U134" s="153"/>
      <c r="V134" s="156">
        <f t="shared" si="147"/>
        <v>0</v>
      </c>
      <c r="W134" s="156" t="e">
        <f t="shared" si="148"/>
        <v>#DIV/0!</v>
      </c>
      <c r="X134" s="153">
        <f t="shared" si="149"/>
        <v>0</v>
      </c>
      <c r="Y134" s="153">
        <f t="shared" si="149"/>
        <v>0</v>
      </c>
      <c r="Z134" s="156">
        <f t="shared" si="150"/>
        <v>0</v>
      </c>
      <c r="AA134" s="156" t="e">
        <f>Y134/X134</f>
        <v>#DIV/0!</v>
      </c>
      <c r="AB134" s="153"/>
      <c r="AC134" s="153"/>
      <c r="AD134" s="156">
        <f t="shared" si="133"/>
        <v>0</v>
      </c>
      <c r="AE134" s="156" t="e">
        <f>AC134/AB134</f>
        <v>#DIV/0!</v>
      </c>
      <c r="AF134" s="153"/>
      <c r="AG134" s="153"/>
      <c r="AH134" s="156">
        <f t="shared" si="151"/>
        <v>0</v>
      </c>
      <c r="AI134" s="153"/>
      <c r="AJ134" s="153"/>
      <c r="AK134" s="156">
        <f t="shared" si="152"/>
        <v>0</v>
      </c>
      <c r="AL134" s="156"/>
      <c r="AM134" s="153"/>
      <c r="AN134" s="153"/>
      <c r="AO134" s="156">
        <f t="shared" si="112"/>
        <v>0</v>
      </c>
      <c r="AP134" s="156"/>
      <c r="AQ134" s="156"/>
      <c r="AR134" s="156"/>
      <c r="AS134" s="156">
        <f t="shared" si="153"/>
        <v>0</v>
      </c>
      <c r="AT134" s="156"/>
      <c r="AU134" s="153"/>
      <c r="AV134" s="153"/>
      <c r="AW134" s="156">
        <f t="shared" si="117"/>
        <v>0</v>
      </c>
      <c r="AX134" s="156"/>
      <c r="AY134" s="153"/>
      <c r="AZ134" s="153"/>
      <c r="BA134" s="156">
        <f t="shared" si="140"/>
        <v>0</v>
      </c>
      <c r="BB134" s="156"/>
      <c r="BC134" s="153"/>
      <c r="BD134" s="153"/>
      <c r="BE134" s="156">
        <f t="shared" si="118"/>
        <v>0</v>
      </c>
      <c r="BF134" s="156"/>
      <c r="BG134" s="153"/>
      <c r="BH134" s="153"/>
      <c r="BI134" s="156">
        <f t="shared" si="119"/>
        <v>0</v>
      </c>
      <c r="BJ134" s="156"/>
      <c r="BK134" s="153"/>
      <c r="BL134" s="153"/>
      <c r="BM134" s="156">
        <f t="shared" si="120"/>
        <v>0</v>
      </c>
      <c r="BN134" s="156"/>
      <c r="BO134" s="153"/>
      <c r="BP134" s="153"/>
      <c r="BQ134" s="156">
        <f t="shared" si="121"/>
        <v>0</v>
      </c>
      <c r="BR134" s="156"/>
      <c r="BS134" s="153"/>
      <c r="BT134" s="153"/>
      <c r="BU134" s="156">
        <f t="shared" si="122"/>
        <v>0</v>
      </c>
      <c r="BV134" s="156"/>
      <c r="BW134" s="153"/>
      <c r="BX134" s="153"/>
      <c r="BY134" s="156">
        <f t="shared" si="123"/>
        <v>0</v>
      </c>
      <c r="BZ134" s="156" t="e">
        <f t="shared" si="141"/>
        <v>#DIV/0!</v>
      </c>
      <c r="CA134" s="153"/>
      <c r="CB134" s="153"/>
      <c r="CC134" s="156">
        <f t="shared" si="124"/>
        <v>0</v>
      </c>
      <c r="CD134" s="156"/>
      <c r="CE134" s="153"/>
      <c r="CF134" s="153"/>
      <c r="CG134" s="156">
        <f t="shared" si="125"/>
        <v>0</v>
      </c>
      <c r="CH134" s="156"/>
      <c r="CI134" s="153"/>
      <c r="CJ134" s="153"/>
      <c r="CK134" s="156">
        <f t="shared" si="126"/>
        <v>0</v>
      </c>
      <c r="CL134" s="222"/>
      <c r="CM134" s="222"/>
      <c r="CN134" s="222"/>
      <c r="CO134" s="222">
        <f t="shared" si="142"/>
        <v>0</v>
      </c>
      <c r="CP134" s="222"/>
      <c r="CQ134" s="14"/>
      <c r="CR134" s="14"/>
      <c r="CS134" s="261">
        <f t="shared" si="134"/>
        <v>0</v>
      </c>
      <c r="CT134" s="262" t="e">
        <f t="shared" si="135"/>
        <v>#DIV/0!</v>
      </c>
      <c r="CU134" s="13"/>
      <c r="CV134" s="13"/>
      <c r="CW134" s="261">
        <f t="shared" si="136"/>
        <v>0</v>
      </c>
      <c r="CX134" s="262" t="e">
        <f t="shared" si="137"/>
        <v>#DIV/0!</v>
      </c>
      <c r="CY134" s="13"/>
      <c r="CZ134" s="13"/>
      <c r="DA134" s="261">
        <f t="shared" si="127"/>
        <v>0</v>
      </c>
      <c r="DB134" s="262" t="e">
        <f t="shared" si="138"/>
        <v>#DIV/0!</v>
      </c>
    </row>
    <row r="135" spans="1:106" ht="14.25" customHeight="1">
      <c r="A135" s="334"/>
      <c r="B135" s="334" t="s">
        <v>570</v>
      </c>
      <c r="C135" s="221">
        <v>3.3</v>
      </c>
      <c r="D135" s="153">
        <f t="shared" si="106"/>
        <v>3.3</v>
      </c>
      <c r="E135" s="153">
        <f t="shared" si="106"/>
        <v>3.3</v>
      </c>
      <c r="F135" s="192">
        <f t="shared" si="132"/>
        <v>0</v>
      </c>
      <c r="G135" s="192">
        <f t="shared" si="139"/>
        <v>1</v>
      </c>
      <c r="H135" s="153"/>
      <c r="I135" s="153"/>
      <c r="J135" s="156">
        <f t="shared" si="113"/>
        <v>0</v>
      </c>
      <c r="K135" s="156" t="e">
        <f t="shared" si="143"/>
        <v>#DIV/0!</v>
      </c>
      <c r="L135" s="153"/>
      <c r="M135" s="153"/>
      <c r="N135" s="156">
        <f t="shared" si="144"/>
        <v>0</v>
      </c>
      <c r="O135" s="156"/>
      <c r="P135" s="153"/>
      <c r="Q135" s="153"/>
      <c r="R135" s="156">
        <f t="shared" si="145"/>
        <v>0</v>
      </c>
      <c r="S135" s="156" t="e">
        <f t="shared" si="146"/>
        <v>#DIV/0!</v>
      </c>
      <c r="T135" s="153"/>
      <c r="U135" s="153"/>
      <c r="V135" s="156">
        <f t="shared" si="147"/>
        <v>0</v>
      </c>
      <c r="W135" s="156" t="e">
        <f t="shared" si="148"/>
        <v>#DIV/0!</v>
      </c>
      <c r="X135" s="153">
        <f t="shared" si="149"/>
        <v>0</v>
      </c>
      <c r="Y135" s="153">
        <f t="shared" si="149"/>
        <v>0</v>
      </c>
      <c r="Z135" s="156">
        <f t="shared" si="150"/>
        <v>0</v>
      </c>
      <c r="AA135" s="156" t="e">
        <f>Y135/X135</f>
        <v>#DIV/0!</v>
      </c>
      <c r="AB135" s="153"/>
      <c r="AC135" s="153"/>
      <c r="AD135" s="156">
        <f t="shared" si="133"/>
        <v>0</v>
      </c>
      <c r="AE135" s="156" t="e">
        <f>AC135/AB135</f>
        <v>#DIV/0!</v>
      </c>
      <c r="AF135" s="153"/>
      <c r="AG135" s="153"/>
      <c r="AH135" s="156">
        <f t="shared" si="151"/>
        <v>0</v>
      </c>
      <c r="AI135" s="153"/>
      <c r="AJ135" s="153"/>
      <c r="AK135" s="156">
        <f t="shared" si="152"/>
        <v>0</v>
      </c>
      <c r="AL135" s="156"/>
      <c r="AM135" s="153"/>
      <c r="AN135" s="153"/>
      <c r="AO135" s="156">
        <f t="shared" si="112"/>
        <v>0</v>
      </c>
      <c r="AP135" s="156"/>
      <c r="AQ135" s="156"/>
      <c r="AR135" s="156"/>
      <c r="AS135" s="156">
        <f t="shared" si="153"/>
        <v>0</v>
      </c>
      <c r="AT135" s="156"/>
      <c r="AU135" s="153"/>
      <c r="AV135" s="153"/>
      <c r="AW135" s="156">
        <f t="shared" si="117"/>
        <v>0</v>
      </c>
      <c r="AX135" s="156"/>
      <c r="AY135" s="153"/>
      <c r="AZ135" s="153"/>
      <c r="BA135" s="156">
        <f t="shared" si="140"/>
        <v>0</v>
      </c>
      <c r="BB135" s="156"/>
      <c r="BC135" s="153"/>
      <c r="BD135" s="153"/>
      <c r="BE135" s="156">
        <f t="shared" si="118"/>
        <v>0</v>
      </c>
      <c r="BF135" s="156"/>
      <c r="BG135" s="153"/>
      <c r="BH135" s="153"/>
      <c r="BI135" s="156">
        <f t="shared" si="119"/>
        <v>0</v>
      </c>
      <c r="BJ135" s="156"/>
      <c r="BK135" s="153">
        <v>3.3</v>
      </c>
      <c r="BL135" s="153">
        <v>3.3</v>
      </c>
      <c r="BM135" s="156">
        <f t="shared" si="120"/>
        <v>0</v>
      </c>
      <c r="BN135" s="156"/>
      <c r="BO135" s="153"/>
      <c r="BP135" s="153"/>
      <c r="BQ135" s="156">
        <f t="shared" si="121"/>
        <v>0</v>
      </c>
      <c r="BR135" s="156"/>
      <c r="BS135" s="153"/>
      <c r="BT135" s="153"/>
      <c r="BU135" s="156">
        <f t="shared" si="122"/>
        <v>0</v>
      </c>
      <c r="BV135" s="156"/>
      <c r="BW135" s="153"/>
      <c r="BX135" s="153"/>
      <c r="BY135" s="156">
        <f t="shared" si="123"/>
        <v>0</v>
      </c>
      <c r="BZ135" s="156" t="e">
        <f t="shared" si="141"/>
        <v>#DIV/0!</v>
      </c>
      <c r="CA135" s="153"/>
      <c r="CB135" s="153"/>
      <c r="CC135" s="156">
        <f t="shared" si="124"/>
        <v>0</v>
      </c>
      <c r="CD135" s="156"/>
      <c r="CE135" s="153"/>
      <c r="CF135" s="153"/>
      <c r="CG135" s="156">
        <f t="shared" si="125"/>
        <v>0</v>
      </c>
      <c r="CH135" s="156"/>
      <c r="CI135" s="153"/>
      <c r="CJ135" s="153"/>
      <c r="CK135" s="156">
        <f t="shared" si="126"/>
        <v>0</v>
      </c>
      <c r="CL135" s="222"/>
      <c r="CM135" s="222"/>
      <c r="CN135" s="222"/>
      <c r="CO135" s="222">
        <f t="shared" si="142"/>
        <v>0</v>
      </c>
      <c r="CP135" s="222"/>
      <c r="CQ135" s="14"/>
      <c r="CR135" s="14"/>
      <c r="CS135" s="261">
        <f t="shared" si="134"/>
        <v>0</v>
      </c>
      <c r="CT135" s="262" t="e">
        <f t="shared" si="135"/>
        <v>#DIV/0!</v>
      </c>
      <c r="CU135" s="13"/>
      <c r="CV135" s="13"/>
      <c r="CW135" s="261">
        <f t="shared" si="136"/>
        <v>0</v>
      </c>
      <c r="CX135" s="262" t="e">
        <f t="shared" si="137"/>
        <v>#DIV/0!</v>
      </c>
      <c r="CY135" s="13"/>
      <c r="CZ135" s="13"/>
      <c r="DA135" s="261">
        <f t="shared" si="127"/>
        <v>0</v>
      </c>
      <c r="DB135" s="262" t="e">
        <f t="shared" si="138"/>
        <v>#DIV/0!</v>
      </c>
    </row>
    <row r="136" spans="1:106" ht="14.25" hidden="1" customHeight="1">
      <c r="A136" s="214"/>
      <c r="B136" s="214" t="s">
        <v>410</v>
      </c>
      <c r="C136" s="221"/>
      <c r="D136" s="153">
        <f>H136+L136+P136+T136+X136+AI136+AM136+AQ136+AU136+BC136+BG136+BW136+CE136+CI136+CM136+CQ136+CU136+CY136+AY136+BK136+BS136</f>
        <v>0</v>
      </c>
      <c r="E136" s="250">
        <f>I136+M136+Q136+U136+Y136+AJ136+AN136+AR136+AV136+BD136+BH136+BX136+CF136+CJ136+CN136+CR136+CV136+CZ136+AZ136+BL136+BT136</f>
        <v>0</v>
      </c>
      <c r="F136" s="192">
        <f t="shared" si="132"/>
        <v>0</v>
      </c>
      <c r="G136" s="192" t="e">
        <f t="shared" si="139"/>
        <v>#DIV/0!</v>
      </c>
      <c r="H136" s="153"/>
      <c r="I136" s="153"/>
      <c r="J136" s="156">
        <f t="shared" si="113"/>
        <v>0</v>
      </c>
      <c r="K136" s="156" t="e">
        <f t="shared" si="143"/>
        <v>#DIV/0!</v>
      </c>
      <c r="L136" s="153"/>
      <c r="M136" s="153"/>
      <c r="N136" s="156">
        <f t="shared" si="144"/>
        <v>0</v>
      </c>
      <c r="O136" s="156"/>
      <c r="P136" s="153"/>
      <c r="Q136" s="153"/>
      <c r="R136" s="222">
        <f t="shared" si="145"/>
        <v>0</v>
      </c>
      <c r="S136" s="222" t="e">
        <f t="shared" si="146"/>
        <v>#DIV/0!</v>
      </c>
      <c r="T136" s="16"/>
      <c r="U136" s="16"/>
      <c r="V136" s="222">
        <f t="shared" si="147"/>
        <v>0</v>
      </c>
      <c r="W136" s="222" t="e">
        <f t="shared" si="148"/>
        <v>#DIV/0!</v>
      </c>
      <c r="X136" s="223">
        <f t="shared" si="149"/>
        <v>0</v>
      </c>
      <c r="Y136" s="223">
        <f t="shared" si="149"/>
        <v>0</v>
      </c>
      <c r="Z136" s="222">
        <f t="shared" si="150"/>
        <v>0</v>
      </c>
      <c r="AA136" s="222" t="e">
        <f>Y136/X136</f>
        <v>#DIV/0!</v>
      </c>
      <c r="AB136" s="16"/>
      <c r="AC136" s="16"/>
      <c r="AD136" s="222">
        <f t="shared" si="133"/>
        <v>0</v>
      </c>
      <c r="AE136" s="222" t="e">
        <f>AC136/AB136</f>
        <v>#DIV/0!</v>
      </c>
      <c r="AF136" s="16"/>
      <c r="AG136" s="16"/>
      <c r="AH136" s="222">
        <f t="shared" si="151"/>
        <v>0</v>
      </c>
      <c r="AI136" s="16"/>
      <c r="AJ136" s="16"/>
      <c r="AK136" s="222">
        <f t="shared" si="152"/>
        <v>0</v>
      </c>
      <c r="AL136" s="222"/>
      <c r="AM136" s="16"/>
      <c r="AN136" s="16"/>
      <c r="AO136" s="222">
        <f t="shared" si="112"/>
        <v>0</v>
      </c>
      <c r="AP136" s="222"/>
      <c r="AQ136" s="222"/>
      <c r="AR136" s="222"/>
      <c r="AS136" s="222">
        <f t="shared" si="153"/>
        <v>0</v>
      </c>
      <c r="AT136" s="222"/>
      <c r="AU136" s="16"/>
      <c r="AV136" s="16"/>
      <c r="AW136" s="222">
        <f t="shared" si="117"/>
        <v>0</v>
      </c>
      <c r="AX136" s="222"/>
      <c r="AY136" s="16"/>
      <c r="AZ136" s="16"/>
      <c r="BA136" s="222">
        <f t="shared" si="140"/>
        <v>0</v>
      </c>
      <c r="BB136" s="222" t="e">
        <f>AZ136/AY136</f>
        <v>#DIV/0!</v>
      </c>
      <c r="BC136" s="16"/>
      <c r="BD136" s="16"/>
      <c r="BE136" s="222">
        <f t="shared" si="118"/>
        <v>0</v>
      </c>
      <c r="BF136" s="222" t="e">
        <f>BD136/BC136</f>
        <v>#DIV/0!</v>
      </c>
      <c r="BG136" s="16"/>
      <c r="BH136" s="16"/>
      <c r="BI136" s="222">
        <f t="shared" si="119"/>
        <v>0</v>
      </c>
      <c r="BJ136" s="222" t="e">
        <f>BH136/BG136</f>
        <v>#DIV/0!</v>
      </c>
      <c r="BK136" s="16"/>
      <c r="BL136" s="16"/>
      <c r="BM136" s="222">
        <f t="shared" si="120"/>
        <v>0</v>
      </c>
      <c r="BN136" s="222"/>
      <c r="BO136" s="16"/>
      <c r="BP136" s="16"/>
      <c r="BQ136" s="222">
        <f t="shared" si="121"/>
        <v>0</v>
      </c>
      <c r="BR136" s="222"/>
      <c r="BS136" s="16"/>
      <c r="BT136" s="16"/>
      <c r="BU136" s="222">
        <f t="shared" si="122"/>
        <v>0</v>
      </c>
      <c r="BV136" s="222"/>
      <c r="BW136" s="16"/>
      <c r="BX136" s="16"/>
      <c r="BY136" s="222">
        <f t="shared" si="123"/>
        <v>0</v>
      </c>
      <c r="BZ136" s="222" t="e">
        <f t="shared" si="141"/>
        <v>#DIV/0!</v>
      </c>
      <c r="CA136" s="16"/>
      <c r="CB136" s="16"/>
      <c r="CC136" s="222">
        <f t="shared" si="124"/>
        <v>0</v>
      </c>
      <c r="CD136" s="222"/>
      <c r="CE136" s="16"/>
      <c r="CF136" s="16"/>
      <c r="CG136" s="222">
        <f t="shared" si="125"/>
        <v>0</v>
      </c>
      <c r="CH136" s="222"/>
      <c r="CI136" s="16"/>
      <c r="CJ136" s="16"/>
      <c r="CK136" s="222">
        <f t="shared" si="126"/>
        <v>0</v>
      </c>
      <c r="CL136" s="222"/>
      <c r="CM136" s="222"/>
      <c r="CN136" s="222"/>
      <c r="CO136" s="222">
        <f t="shared" si="142"/>
        <v>0</v>
      </c>
      <c r="CP136" s="222"/>
      <c r="CQ136" s="14"/>
      <c r="CR136" s="14"/>
      <c r="CS136" s="261">
        <f t="shared" si="134"/>
        <v>0</v>
      </c>
      <c r="CT136" s="262" t="e">
        <f t="shared" si="135"/>
        <v>#DIV/0!</v>
      </c>
      <c r="CU136" s="13"/>
      <c r="CV136" s="13"/>
      <c r="CW136" s="261">
        <f t="shared" si="136"/>
        <v>0</v>
      </c>
      <c r="CX136" s="262" t="e">
        <f t="shared" si="137"/>
        <v>#DIV/0!</v>
      </c>
      <c r="CY136" s="13"/>
      <c r="CZ136" s="13"/>
      <c r="DA136" s="261">
        <f t="shared" si="127"/>
        <v>0</v>
      </c>
      <c r="DB136" s="262" t="e">
        <f t="shared" si="138"/>
        <v>#DIV/0!</v>
      </c>
    </row>
    <row r="137" spans="1:106" s="343" customFormat="1" ht="14.25" customHeight="1">
      <c r="A137" s="341"/>
      <c r="B137" s="342" t="s">
        <v>384</v>
      </c>
      <c r="C137" s="155">
        <f>C5+C18+C34+C71+C79+C89</f>
        <v>6944.26</v>
      </c>
      <c r="D137" s="155">
        <f>D5+D18+D34+D71+D79+D89</f>
        <v>9032.0098499999986</v>
      </c>
      <c r="E137" s="155">
        <f>E5+E18+E34+E71+E79+E89</f>
        <v>8433.3149700000013</v>
      </c>
      <c r="F137" s="230">
        <f t="shared" si="132"/>
        <v>-598.69487999999728</v>
      </c>
      <c r="G137" s="268">
        <f t="shared" si="139"/>
        <v>0.93371410240435049</v>
      </c>
      <c r="H137" s="155">
        <f>H5+H18+H34+H71+H79+H89</f>
        <v>1779.6447999999996</v>
      </c>
      <c r="I137" s="155">
        <f>I5+I18+I34+I71+I79+I89</f>
        <v>3837.2443000000003</v>
      </c>
      <c r="J137" s="230">
        <f t="shared" si="113"/>
        <v>2057.5995000000007</v>
      </c>
      <c r="K137" s="230">
        <f t="shared" si="143"/>
        <v>2.1561854927455193</v>
      </c>
      <c r="L137" s="155">
        <f>L5+L18+L34+L71+L79+L89</f>
        <v>43.626000000000005</v>
      </c>
      <c r="M137" s="155">
        <f>M5+M18+M34+M71+M79+M89</f>
        <v>65.59</v>
      </c>
      <c r="N137" s="230">
        <f t="shared" si="144"/>
        <v>21.963999999999999</v>
      </c>
      <c r="O137" s="230">
        <f>M137/L137</f>
        <v>1.5034612387108603</v>
      </c>
      <c r="P137" s="155">
        <f>P5+P18+P34+P71+P79+P89</f>
        <v>74.737049999999996</v>
      </c>
      <c r="Q137" s="155">
        <f>Q5+Q18+Q34+Q71+Q79+Q89</f>
        <v>110.714</v>
      </c>
      <c r="R137" s="230">
        <f t="shared" si="145"/>
        <v>35.976950000000002</v>
      </c>
      <c r="S137" s="230">
        <f t="shared" si="146"/>
        <v>1.4813803863010382</v>
      </c>
      <c r="T137" s="155">
        <f>T5+T18+T34+T71+T79+T89</f>
        <v>91.206000000000003</v>
      </c>
      <c r="U137" s="155">
        <f>U5+U18+U34+U71+U79+U89</f>
        <v>91.207999999999998</v>
      </c>
      <c r="V137" s="230">
        <f t="shared" si="147"/>
        <v>1.9999999999953388E-3</v>
      </c>
      <c r="W137" s="230">
        <f t="shared" si="148"/>
        <v>1.0000219283819047</v>
      </c>
      <c r="X137" s="155">
        <f t="shared" si="149"/>
        <v>0</v>
      </c>
      <c r="Y137" s="155">
        <f t="shared" si="149"/>
        <v>0</v>
      </c>
      <c r="Z137" s="230">
        <f t="shared" si="150"/>
        <v>0</v>
      </c>
      <c r="AA137" s="230" t="e">
        <f>Y137/X137</f>
        <v>#DIV/0!</v>
      </c>
      <c r="AB137" s="155">
        <f>AB5+AB18+AB34+AB71+AB79+AB89</f>
        <v>0</v>
      </c>
      <c r="AC137" s="155">
        <f>AC5+AC18+AC34+AC71+AC79+AC89</f>
        <v>0</v>
      </c>
      <c r="AD137" s="230">
        <f t="shared" si="133"/>
        <v>0</v>
      </c>
      <c r="AE137" s="230" t="e">
        <f>AC137/AB137</f>
        <v>#DIV/0!</v>
      </c>
      <c r="AF137" s="155">
        <f>AF5+AF18+AF34+AF71+AF79+AF89</f>
        <v>0</v>
      </c>
      <c r="AG137" s="155">
        <f>AG5+AG18+AG34+AG71+AG79+AG89</f>
        <v>0</v>
      </c>
      <c r="AH137" s="230">
        <f t="shared" si="151"/>
        <v>0</v>
      </c>
      <c r="AI137" s="155">
        <f>AI5+AI18+AI34+AI71+AI79+AI89</f>
        <v>927.63400000000001</v>
      </c>
      <c r="AJ137" s="155">
        <f>AJ5+AJ18+AJ34+AJ71+AJ79+AJ89</f>
        <v>751.63599999999997</v>
      </c>
      <c r="AK137" s="230">
        <f t="shared" si="152"/>
        <v>-175.99800000000005</v>
      </c>
      <c r="AL137" s="230">
        <f>AJ137/AI137</f>
        <v>0.81027215475068826</v>
      </c>
      <c r="AM137" s="155">
        <f>AM5+AM18+AM34+AM71+AM79+AM89</f>
        <v>0</v>
      </c>
      <c r="AN137" s="155">
        <f>AN5+AN18+AN34+AN71+AN79+AN89</f>
        <v>0</v>
      </c>
      <c r="AO137" s="230">
        <f t="shared" si="112"/>
        <v>0</v>
      </c>
      <c r="AP137" s="230" t="e">
        <f>AN137/AM137</f>
        <v>#DIV/0!</v>
      </c>
      <c r="AQ137" s="155">
        <f>AQ5+AQ18+AQ34+AQ71+AQ79+AQ89</f>
        <v>0</v>
      </c>
      <c r="AR137" s="155">
        <f>AR5+AR18+AR34+AR71+AR79+AR89</f>
        <v>0</v>
      </c>
      <c r="AS137" s="230">
        <f t="shared" si="153"/>
        <v>0</v>
      </c>
      <c r="AT137" s="230" t="e">
        <f>AR137/AQ137</f>
        <v>#DIV/0!</v>
      </c>
      <c r="AU137" s="155">
        <f>AU5+AU18+AU34+AU71+AU79+AU89</f>
        <v>21.07</v>
      </c>
      <c r="AV137" s="155">
        <f>AV5+AV18+AV34+AV71+AV79+AV89</f>
        <v>21.07</v>
      </c>
      <c r="AW137" s="230">
        <f t="shared" si="117"/>
        <v>0</v>
      </c>
      <c r="AX137" s="230">
        <f>AV137/AU137</f>
        <v>1</v>
      </c>
      <c r="AY137" s="155">
        <f>AY5+AY18+AY34+AY71+AY79+AY89</f>
        <v>0</v>
      </c>
      <c r="AZ137" s="155">
        <f>AZ5+AZ18+AZ34+AZ71+AZ79+AZ89</f>
        <v>0</v>
      </c>
      <c r="BA137" s="230">
        <f t="shared" si="140"/>
        <v>0</v>
      </c>
      <c r="BB137" s="230" t="e">
        <f>AZ137/AY137</f>
        <v>#DIV/0!</v>
      </c>
      <c r="BC137" s="155">
        <f>BC5+BC18+BC34+BC71+BC79+BC89</f>
        <v>0</v>
      </c>
      <c r="BD137" s="155">
        <f>BD5+BD18+BD34+BD71+BD79+BD89</f>
        <v>0</v>
      </c>
      <c r="BE137" s="230">
        <f t="shared" si="118"/>
        <v>0</v>
      </c>
      <c r="BF137" s="230" t="e">
        <f>BD137/BC137</f>
        <v>#DIV/0!</v>
      </c>
      <c r="BG137" s="155">
        <f>BG5+BG18+BG34+BG71+BG79+BG89</f>
        <v>0</v>
      </c>
      <c r="BH137" s="155">
        <f>BH5+BH18+BH34+BH71+BH79+BH89</f>
        <v>0</v>
      </c>
      <c r="BI137" s="230">
        <f t="shared" si="119"/>
        <v>0</v>
      </c>
      <c r="BJ137" s="230" t="e">
        <f>BH137/BG137</f>
        <v>#DIV/0!</v>
      </c>
      <c r="BK137" s="155">
        <f>BK5+BK18+BK34+BK71+BK79+BK89</f>
        <v>87.528000000000006</v>
      </c>
      <c r="BL137" s="155">
        <f>BL5+BL18+BL34+BL71+BL79+BL89</f>
        <v>216.88836999999998</v>
      </c>
      <c r="BM137" s="230">
        <f t="shared" si="120"/>
        <v>129.36036999999999</v>
      </c>
      <c r="BN137" s="230">
        <f>BL137/BK137</f>
        <v>2.4779312905584496</v>
      </c>
      <c r="BO137" s="155">
        <f>BO5+BO18+BO34+BO71+BO79+BO89</f>
        <v>55.01</v>
      </c>
      <c r="BP137" s="155">
        <f>BP5+BP18+BP34+BP71+BP79+BP89</f>
        <v>18.728999999999999</v>
      </c>
      <c r="BQ137" s="230">
        <f t="shared" si="121"/>
        <v>-36.280999999999999</v>
      </c>
      <c r="BR137" s="230">
        <f>BP137/BO137</f>
        <v>0.34046536993273951</v>
      </c>
      <c r="BS137" s="155">
        <f>BS5+BS18+BS34+BS71+BS79+BS89</f>
        <v>0</v>
      </c>
      <c r="BT137" s="155">
        <f>BT5+BT18+BT34+BT71+BT79+BT89</f>
        <v>0</v>
      </c>
      <c r="BU137" s="230">
        <f t="shared" si="122"/>
        <v>0</v>
      </c>
      <c r="BV137" s="230" t="e">
        <f>BT137/BS137</f>
        <v>#DIV/0!</v>
      </c>
      <c r="BW137" s="155">
        <f>BW5+BW18+BW34+BW71+BW79+BW89</f>
        <v>0</v>
      </c>
      <c r="BX137" s="155">
        <f>BX5+BX18+BX34+BX71+BX79+BX89</f>
        <v>0</v>
      </c>
      <c r="BY137" s="230">
        <f t="shared" si="123"/>
        <v>0</v>
      </c>
      <c r="BZ137" s="230" t="e">
        <f t="shared" si="141"/>
        <v>#DIV/0!</v>
      </c>
      <c r="CA137" s="155">
        <f>CA5+CA18+CA34+CA71+CA79+CA89</f>
        <v>0</v>
      </c>
      <c r="CB137" s="155">
        <f>CB5+CB18+CB34+CB71+CB79+CB89</f>
        <v>0</v>
      </c>
      <c r="CC137" s="230">
        <f t="shared" si="124"/>
        <v>0</v>
      </c>
      <c r="CD137" s="230" t="e">
        <f>CB137/CA137</f>
        <v>#DIV/0!</v>
      </c>
      <c r="CE137" s="155">
        <f>CE5+CE18+CE34+CE71+CE79+CE89</f>
        <v>6003.1639999999989</v>
      </c>
      <c r="CF137" s="155">
        <f>CF5+CF18+CF34+CF71+CF79+CF89</f>
        <v>3335.5643</v>
      </c>
      <c r="CG137" s="230">
        <f t="shared" si="125"/>
        <v>-2667.5996999999988</v>
      </c>
      <c r="CH137" s="230">
        <f>CF137/CE137</f>
        <v>0.55563437880424404</v>
      </c>
      <c r="CI137" s="155">
        <f>CI5+CI18+CI34+CI71+CI79+CI89</f>
        <v>0.56000000000000005</v>
      </c>
      <c r="CJ137" s="155">
        <f>CJ5+CJ18+CJ34+CJ71+CJ79+CJ89</f>
        <v>0</v>
      </c>
      <c r="CK137" s="230">
        <f t="shared" si="126"/>
        <v>-0.56000000000000005</v>
      </c>
      <c r="CL137" s="230">
        <f>CJ137/CI137</f>
        <v>0</v>
      </c>
      <c r="CM137" s="155">
        <f>CM5+CM18+CM34+CM71+CM79+CM89</f>
        <v>0</v>
      </c>
      <c r="CN137" s="155">
        <f>CN5+CN18+CN34+CN71+CN79+CN89</f>
        <v>0</v>
      </c>
      <c r="CO137" s="230">
        <f t="shared" si="142"/>
        <v>0</v>
      </c>
      <c r="CP137" s="230" t="e">
        <f>CN137/CM137</f>
        <v>#DIV/0!</v>
      </c>
      <c r="CQ137" s="266">
        <f>CQ5+CQ18+CQ34+CQ71+CQ79+CQ89</f>
        <v>0</v>
      </c>
      <c r="CR137" s="266">
        <f>CR5+CR18+CR34+CR71+CR79+CR89</f>
        <v>0</v>
      </c>
      <c r="CS137" s="267">
        <f t="shared" si="134"/>
        <v>0</v>
      </c>
      <c r="CT137" s="268" t="e">
        <f t="shared" si="135"/>
        <v>#DIV/0!</v>
      </c>
      <c r="CU137" s="266">
        <f>CU5+CU18+CU34+CU71+CU79+CU89</f>
        <v>0</v>
      </c>
      <c r="CV137" s="266">
        <f>CV5+CV18+CV34+CV71+CV79+CV89</f>
        <v>0</v>
      </c>
      <c r="CW137" s="269">
        <f t="shared" si="136"/>
        <v>0</v>
      </c>
      <c r="CX137" s="268" t="e">
        <f t="shared" si="137"/>
        <v>#DIV/0!</v>
      </c>
      <c r="CY137" s="266">
        <f>CY5+CY18+CY34+CY71+CY79+CY89</f>
        <v>0</v>
      </c>
      <c r="CZ137" s="266">
        <f>CZ5+CZ18+CZ34+CZ71+CZ79+CZ89</f>
        <v>0</v>
      </c>
      <c r="DA137" s="267">
        <f t="shared" si="127"/>
        <v>0</v>
      </c>
      <c r="DB137" s="268" t="e">
        <f t="shared" si="138"/>
        <v>#DIV/0!</v>
      </c>
    </row>
    <row r="138" spans="1:106" ht="14.25" customHeight="1">
      <c r="A138" s="229" t="s">
        <v>385</v>
      </c>
      <c r="B138" s="231" t="s">
        <v>386</v>
      </c>
      <c r="C138" s="225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62">
        <f t="shared" si="132"/>
        <v>-3063.181</v>
      </c>
      <c r="G138" s="262">
        <f t="shared" si="139"/>
        <v>0.23683766007274901</v>
      </c>
      <c r="H138" s="16">
        <v>1706.5</v>
      </c>
      <c r="I138" s="16">
        <v>224.1</v>
      </c>
      <c r="J138" s="227">
        <f t="shared" si="113"/>
        <v>-1482.4</v>
      </c>
      <c r="K138" s="227">
        <f t="shared" si="143"/>
        <v>0.13132141810723702</v>
      </c>
      <c r="L138" s="16"/>
      <c r="M138" s="16"/>
      <c r="N138" s="227">
        <f t="shared" si="144"/>
        <v>0</v>
      </c>
      <c r="O138" s="227" t="e">
        <f>M138/L138</f>
        <v>#DIV/0!</v>
      </c>
      <c r="P138" s="16"/>
      <c r="Q138" s="16"/>
      <c r="R138" s="222">
        <f t="shared" si="145"/>
        <v>0</v>
      </c>
      <c r="S138" s="227" t="e">
        <f t="shared" si="146"/>
        <v>#DIV/0!</v>
      </c>
      <c r="T138" s="16"/>
      <c r="U138" s="16"/>
      <c r="V138" s="222">
        <f t="shared" si="147"/>
        <v>0</v>
      </c>
      <c r="W138" s="227" t="e">
        <f t="shared" si="148"/>
        <v>#DIV/0!</v>
      </c>
      <c r="X138" s="223">
        <f t="shared" si="149"/>
        <v>0</v>
      </c>
      <c r="Y138" s="223">
        <f t="shared" si="149"/>
        <v>0</v>
      </c>
      <c r="Z138" s="222">
        <f t="shared" si="150"/>
        <v>0</v>
      </c>
      <c r="AA138" s="222"/>
      <c r="AB138" s="16"/>
      <c r="AC138" s="16"/>
      <c r="AD138" s="222"/>
      <c r="AE138" s="222"/>
      <c r="AF138" s="16"/>
      <c r="AG138" s="16"/>
      <c r="AH138" s="222">
        <f t="shared" si="151"/>
        <v>0</v>
      </c>
      <c r="AI138" s="16"/>
      <c r="AJ138" s="16"/>
      <c r="AK138" s="222">
        <f t="shared" si="152"/>
        <v>0</v>
      </c>
      <c r="AL138" s="227" t="e">
        <f>AJ138/AI138</f>
        <v>#DIV/0!</v>
      </c>
      <c r="AM138" s="16"/>
      <c r="AN138" s="16"/>
      <c r="AO138" s="222">
        <f t="shared" si="112"/>
        <v>0</v>
      </c>
      <c r="AP138" s="227" t="e">
        <f>AN138/AM138</f>
        <v>#DIV/0!</v>
      </c>
      <c r="AQ138" s="222"/>
      <c r="AR138" s="222"/>
      <c r="AS138" s="227">
        <f t="shared" si="153"/>
        <v>0</v>
      </c>
      <c r="AT138" s="227" t="e">
        <f>AR138/AQ138</f>
        <v>#DIV/0!</v>
      </c>
      <c r="AU138" s="16">
        <v>161.80000000000001</v>
      </c>
      <c r="AV138" s="16">
        <v>162.1</v>
      </c>
      <c r="AW138" s="222">
        <f>AV138-AU138</f>
        <v>0.29999999999998295</v>
      </c>
      <c r="AX138" s="222">
        <f>AV138/AU138</f>
        <v>1.0018541409147095</v>
      </c>
      <c r="AY138" s="16"/>
      <c r="AZ138" s="16">
        <v>0</v>
      </c>
      <c r="BA138" s="222">
        <f t="shared" si="140"/>
        <v>0</v>
      </c>
      <c r="BB138" s="222"/>
      <c r="BC138" s="16"/>
      <c r="BD138" s="16"/>
      <c r="BE138" s="222">
        <f t="shared" si="118"/>
        <v>0</v>
      </c>
      <c r="BF138" s="222"/>
      <c r="BG138" s="16"/>
      <c r="BH138" s="16"/>
      <c r="BI138" s="222">
        <f t="shared" si="119"/>
        <v>0</v>
      </c>
      <c r="BJ138" s="222" t="e">
        <f>BH138/BG138</f>
        <v>#DIV/0!</v>
      </c>
      <c r="BK138" s="16">
        <v>215.3</v>
      </c>
      <c r="BL138" s="16">
        <v>10.199999999999999</v>
      </c>
      <c r="BM138" s="222">
        <f t="shared" si="120"/>
        <v>-205.10000000000002</v>
      </c>
      <c r="BN138" s="227">
        <f>BL138/BK138</f>
        <v>4.7375754760798881E-2</v>
      </c>
      <c r="BO138" s="16">
        <v>0</v>
      </c>
      <c r="BP138" s="16">
        <v>4.2839999999999998</v>
      </c>
      <c r="BQ138" s="222">
        <f t="shared" si="121"/>
        <v>4.2839999999999998</v>
      </c>
      <c r="BR138" s="227" t="e">
        <f>BP138/BO138</f>
        <v>#DIV/0!</v>
      </c>
      <c r="BS138" s="16"/>
      <c r="BT138" s="16"/>
      <c r="BU138" s="222">
        <f t="shared" si="122"/>
        <v>0</v>
      </c>
      <c r="BV138" s="227" t="e">
        <f>BT138/BS138</f>
        <v>#DIV/0!</v>
      </c>
      <c r="BW138" s="16">
        <v>0</v>
      </c>
      <c r="BX138" s="16"/>
      <c r="BY138" s="222">
        <f t="shared" si="123"/>
        <v>0</v>
      </c>
      <c r="BZ138" s="222" t="e">
        <f t="shared" si="141"/>
        <v>#DIV/0!</v>
      </c>
      <c r="CA138" s="16"/>
      <c r="CB138" s="16"/>
      <c r="CC138" s="222">
        <f t="shared" si="124"/>
        <v>0</v>
      </c>
      <c r="CD138" s="227" t="e">
        <f>CB138/CA138</f>
        <v>#DIV/0!</v>
      </c>
      <c r="CE138" s="16">
        <v>1760.9</v>
      </c>
      <c r="CF138" s="16">
        <v>461.13499999999999</v>
      </c>
      <c r="CG138" s="222">
        <f t="shared" si="125"/>
        <v>-1299.7650000000001</v>
      </c>
      <c r="CH138" s="227">
        <f>CF138/CE138</f>
        <v>0.26187460957464931</v>
      </c>
      <c r="CI138" s="16">
        <v>0</v>
      </c>
      <c r="CJ138" s="16">
        <v>0</v>
      </c>
      <c r="CK138" s="222">
        <f t="shared" si="126"/>
        <v>0</v>
      </c>
      <c r="CL138" s="227" t="e">
        <f>CJ138/CI138</f>
        <v>#DIV/0!</v>
      </c>
      <c r="CM138" s="161">
        <v>169.3</v>
      </c>
      <c r="CN138" s="161">
        <v>88.8</v>
      </c>
      <c r="CO138" s="161">
        <f t="shared" si="142"/>
        <v>-80.500000000000014</v>
      </c>
      <c r="CP138" s="227">
        <f>CN138/CM138</f>
        <v>0.52451269935026579</v>
      </c>
      <c r="CQ138" s="14"/>
      <c r="CR138" s="14"/>
      <c r="CS138" s="261">
        <f t="shared" si="134"/>
        <v>0</v>
      </c>
      <c r="CT138" s="262"/>
      <c r="CU138" s="13"/>
      <c r="CV138" s="13"/>
      <c r="CW138" s="261">
        <f t="shared" si="136"/>
        <v>0</v>
      </c>
      <c r="CX138" s="262"/>
      <c r="CY138" s="13"/>
      <c r="CZ138" s="13"/>
      <c r="DA138" s="261">
        <f t="shared" si="127"/>
        <v>0</v>
      </c>
      <c r="DB138" s="262"/>
    </row>
    <row r="139" spans="1:106" ht="14.25" customHeight="1">
      <c r="A139" s="229" t="s">
        <v>387</v>
      </c>
      <c r="B139" s="231" t="s">
        <v>388</v>
      </c>
      <c r="C139" s="225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62">
        <f t="shared" si="132"/>
        <v>-1200.7879999999996</v>
      </c>
      <c r="G139" s="262">
        <f t="shared" si="139"/>
        <v>0.74323636603125165</v>
      </c>
      <c r="H139" s="16"/>
      <c r="I139" s="16"/>
      <c r="J139" s="227">
        <f t="shared" si="113"/>
        <v>0</v>
      </c>
      <c r="K139" s="227" t="e">
        <f t="shared" si="143"/>
        <v>#DIV/0!</v>
      </c>
      <c r="L139" s="153">
        <v>2051.1729999999998</v>
      </c>
      <c r="M139" s="153">
        <v>1655.44</v>
      </c>
      <c r="N139" s="156">
        <f t="shared" si="144"/>
        <v>-395.73299999999972</v>
      </c>
      <c r="O139" s="226">
        <f>M139/L139</f>
        <v>0.80706990585387006</v>
      </c>
      <c r="P139" s="153">
        <v>2193.1999999999998</v>
      </c>
      <c r="Q139" s="153">
        <v>1538.9</v>
      </c>
      <c r="R139" s="222">
        <f t="shared" si="145"/>
        <v>-654.29999999999973</v>
      </c>
      <c r="S139" s="227">
        <f t="shared" si="146"/>
        <v>0.70166879445559005</v>
      </c>
      <c r="T139" s="16">
        <v>432.255</v>
      </c>
      <c r="U139" s="16">
        <v>281.5</v>
      </c>
      <c r="V139" s="222">
        <f t="shared" si="147"/>
        <v>-150.755</v>
      </c>
      <c r="W139" s="222">
        <f t="shared" si="148"/>
        <v>0.65123596025494213</v>
      </c>
      <c r="X139" s="223">
        <f t="shared" si="149"/>
        <v>0</v>
      </c>
      <c r="Y139" s="223">
        <f t="shared" si="149"/>
        <v>0</v>
      </c>
      <c r="Z139" s="222">
        <f t="shared" si="150"/>
        <v>0</v>
      </c>
      <c r="AA139" s="222"/>
      <c r="AB139" s="16"/>
      <c r="AC139" s="16"/>
      <c r="AD139" s="222">
        <f>AC139-AB139</f>
        <v>0</v>
      </c>
      <c r="AE139" s="222"/>
      <c r="AF139" s="16"/>
      <c r="AG139" s="16"/>
      <c r="AH139" s="222">
        <f t="shared" si="151"/>
        <v>0</v>
      </c>
      <c r="AI139" s="16"/>
      <c r="AJ139" s="16"/>
      <c r="AK139" s="222">
        <f t="shared" si="152"/>
        <v>0</v>
      </c>
      <c r="AL139" s="227" t="e">
        <f>AJ139/AI139</f>
        <v>#DIV/0!</v>
      </c>
      <c r="AM139" s="16"/>
      <c r="AN139" s="16"/>
      <c r="AO139" s="222">
        <f t="shared" si="112"/>
        <v>0</v>
      </c>
      <c r="AP139" s="227" t="e">
        <f>AN139/AM139</f>
        <v>#DIV/0!</v>
      </c>
      <c r="AQ139" s="222"/>
      <c r="AR139" s="222"/>
      <c r="AS139" s="227">
        <f t="shared" si="153"/>
        <v>0</v>
      </c>
      <c r="AT139" s="227" t="e">
        <f>AR139/AQ139</f>
        <v>#DIV/0!</v>
      </c>
      <c r="AU139" s="16"/>
      <c r="AV139" s="16"/>
      <c r="AW139" s="222">
        <f t="shared" si="117"/>
        <v>0</v>
      </c>
      <c r="AX139" s="222" t="e">
        <f>AV139/AU139</f>
        <v>#DIV/0!</v>
      </c>
      <c r="AY139" s="16"/>
      <c r="AZ139" s="16"/>
      <c r="BA139" s="222">
        <f t="shared" si="140"/>
        <v>0</v>
      </c>
      <c r="BB139" s="222"/>
      <c r="BC139" s="16"/>
      <c r="BD139" s="16"/>
      <c r="BE139" s="222">
        <f t="shared" si="118"/>
        <v>0</v>
      </c>
      <c r="BF139" s="222"/>
      <c r="BG139" s="16"/>
      <c r="BH139" s="16"/>
      <c r="BI139" s="222">
        <f t="shared" si="119"/>
        <v>0</v>
      </c>
      <c r="BJ139" s="222"/>
      <c r="BK139" s="16">
        <v>0</v>
      </c>
      <c r="BL139" s="16"/>
      <c r="BM139" s="222">
        <f t="shared" si="120"/>
        <v>0</v>
      </c>
      <c r="BN139" s="227" t="e">
        <f>BL139/BK139</f>
        <v>#DIV/0!</v>
      </c>
      <c r="BO139" s="16">
        <v>0</v>
      </c>
      <c r="BP139" s="16"/>
      <c r="BQ139" s="222">
        <f t="shared" si="121"/>
        <v>0</v>
      </c>
      <c r="BR139" s="227" t="e">
        <f>BP139/BO139</f>
        <v>#DIV/0!</v>
      </c>
      <c r="BS139" s="16">
        <v>0</v>
      </c>
      <c r="BT139" s="16"/>
      <c r="BU139" s="222">
        <f t="shared" si="122"/>
        <v>0</v>
      </c>
      <c r="BV139" s="227" t="e">
        <f>BT139/BS139</f>
        <v>#DIV/0!</v>
      </c>
      <c r="BW139" s="16">
        <v>0</v>
      </c>
      <c r="BX139" s="16">
        <v>0</v>
      </c>
      <c r="BY139" s="222">
        <f t="shared" si="123"/>
        <v>0</v>
      </c>
      <c r="BZ139" s="222"/>
      <c r="CA139" s="16"/>
      <c r="CB139" s="16"/>
      <c r="CC139" s="222">
        <f t="shared" si="124"/>
        <v>0</v>
      </c>
      <c r="CD139" s="227" t="e">
        <f>CB139/CA139</f>
        <v>#DIV/0!</v>
      </c>
      <c r="CE139" s="16">
        <v>0</v>
      </c>
      <c r="CF139" s="16"/>
      <c r="CG139" s="222">
        <f t="shared" si="125"/>
        <v>0</v>
      </c>
      <c r="CH139" s="227" t="e">
        <f>CF139/CE139</f>
        <v>#DIV/0!</v>
      </c>
      <c r="CI139" s="16">
        <v>0</v>
      </c>
      <c r="CJ139" s="16">
        <v>0</v>
      </c>
      <c r="CK139" s="222">
        <f t="shared" si="126"/>
        <v>0</v>
      </c>
      <c r="CL139" s="227" t="e">
        <f>CJ139/CI139</f>
        <v>#DIV/0!</v>
      </c>
      <c r="CM139" s="161"/>
      <c r="CN139" s="161"/>
      <c r="CO139" s="161">
        <f t="shared" si="142"/>
        <v>0</v>
      </c>
      <c r="CP139" s="227" t="e">
        <f>CN139/CM139</f>
        <v>#DIV/0!</v>
      </c>
      <c r="CQ139" s="14"/>
      <c r="CR139" s="14"/>
      <c r="CS139" s="261">
        <f t="shared" si="134"/>
        <v>0</v>
      </c>
      <c r="CT139" s="262"/>
      <c r="CU139" s="13"/>
      <c r="CV139" s="13"/>
      <c r="CW139" s="261">
        <f t="shared" si="136"/>
        <v>0</v>
      </c>
      <c r="CX139" s="262"/>
      <c r="CY139" s="13"/>
      <c r="CZ139" s="13"/>
      <c r="DA139" s="261">
        <f t="shared" si="127"/>
        <v>0</v>
      </c>
      <c r="DB139" s="262"/>
    </row>
    <row r="140" spans="1:106" s="343" customFormat="1">
      <c r="A140" s="232"/>
      <c r="B140" s="344" t="s">
        <v>389</v>
      </c>
      <c r="C140" s="155">
        <f>C137+C139+C138</f>
        <v>12406.56</v>
      </c>
      <c r="D140" s="155">
        <f>D137+D139+D138</f>
        <v>17722.437849999998</v>
      </c>
      <c r="E140" s="155">
        <f>E137+E139+E138</f>
        <v>12859.773970000002</v>
      </c>
      <c r="F140" s="230">
        <f t="shared" si="132"/>
        <v>-4862.6638799999964</v>
      </c>
      <c r="G140" s="268">
        <f t="shared" si="139"/>
        <v>0.72562105049221559</v>
      </c>
      <c r="H140" s="155">
        <f>H137+H139+H138</f>
        <v>3486.1447999999996</v>
      </c>
      <c r="I140" s="155">
        <f>I137+I139+I138</f>
        <v>4061.3443000000002</v>
      </c>
      <c r="J140" s="155">
        <f>I140-H140</f>
        <v>575.19950000000063</v>
      </c>
      <c r="K140" s="230">
        <f t="shared" si="143"/>
        <v>1.1649958716574254</v>
      </c>
      <c r="L140" s="155">
        <f>L137+L139+L138</f>
        <v>2094.799</v>
      </c>
      <c r="M140" s="155">
        <f>M137+M139+M138</f>
        <v>1721.03</v>
      </c>
      <c r="N140" s="155">
        <f t="shared" si="144"/>
        <v>-373.76900000000001</v>
      </c>
      <c r="O140" s="230">
        <f>M140/L140</f>
        <v>0.82157285734812746</v>
      </c>
      <c r="P140" s="155">
        <f>P137+P139+P138</f>
        <v>2267.93705</v>
      </c>
      <c r="Q140" s="155">
        <f>Q137+Q139+Q138</f>
        <v>1649.614</v>
      </c>
      <c r="R140" s="155">
        <f t="shared" si="145"/>
        <v>-618.32304999999997</v>
      </c>
      <c r="S140" s="230">
        <f t="shared" si="146"/>
        <v>0.7273632220083005</v>
      </c>
      <c r="T140" s="155">
        <f>T137+T139+T138</f>
        <v>523.46100000000001</v>
      </c>
      <c r="U140" s="155">
        <f>U137+U139+U138</f>
        <v>372.70799999999997</v>
      </c>
      <c r="V140" s="155">
        <f t="shared" si="147"/>
        <v>-150.75300000000004</v>
      </c>
      <c r="W140" s="230">
        <f t="shared" si="148"/>
        <v>0.71200719824399517</v>
      </c>
      <c r="X140" s="155">
        <f t="shared" si="149"/>
        <v>0</v>
      </c>
      <c r="Y140" s="155">
        <f t="shared" si="149"/>
        <v>0</v>
      </c>
      <c r="Z140" s="155">
        <f t="shared" si="150"/>
        <v>0</v>
      </c>
      <c r="AA140" s="230" t="e">
        <f>Y140/X140</f>
        <v>#DIV/0!</v>
      </c>
      <c r="AB140" s="155">
        <f>AB137+AB139+AB138</f>
        <v>0</v>
      </c>
      <c r="AC140" s="155">
        <f>AC137+AC139+AC138</f>
        <v>0</v>
      </c>
      <c r="AD140" s="155">
        <f>AC140-AB140</f>
        <v>0</v>
      </c>
      <c r="AE140" s="230" t="e">
        <f>AC140/AB140</f>
        <v>#DIV/0!</v>
      </c>
      <c r="AF140" s="155">
        <f>AF137+AF139+AF138</f>
        <v>0</v>
      </c>
      <c r="AG140" s="155">
        <f>AG137+AG139+AG138</f>
        <v>0</v>
      </c>
      <c r="AH140" s="155">
        <f>AH5+AH18+AH34+AH79+AH89+AH137+AH138+AH139+AH71</f>
        <v>0</v>
      </c>
      <c r="AI140" s="155">
        <f>AI137+AI139+AI138</f>
        <v>927.63400000000001</v>
      </c>
      <c r="AJ140" s="155">
        <f>AJ137+AJ139+AJ138</f>
        <v>751.63599999999997</v>
      </c>
      <c r="AK140" s="155">
        <f t="shared" si="152"/>
        <v>-175.99800000000005</v>
      </c>
      <c r="AL140" s="230">
        <f>AJ140/AI140</f>
        <v>0.81027215475068826</v>
      </c>
      <c r="AM140" s="155">
        <f>AM137+AM139+AM138</f>
        <v>0</v>
      </c>
      <c r="AN140" s="155">
        <f>AN137+AN139+AN138</f>
        <v>0</v>
      </c>
      <c r="AO140" s="155">
        <f>AN140-AM140</f>
        <v>0</v>
      </c>
      <c r="AP140" s="230" t="e">
        <f>AN140/AM140</f>
        <v>#DIV/0!</v>
      </c>
      <c r="AQ140" s="155">
        <f>AQ5+AQ18+AQ34+AQ79+AQ89+AQ137+AQ138+AQ139+AQ71</f>
        <v>0</v>
      </c>
      <c r="AR140" s="155">
        <f>AR5+AR18+AR34+AR79+AR89+AR137+AR138+AR139+AR71</f>
        <v>0</v>
      </c>
      <c r="AS140" s="155">
        <f t="shared" si="153"/>
        <v>0</v>
      </c>
      <c r="AT140" s="155" t="e">
        <f>AR140/AQ140</f>
        <v>#DIV/0!</v>
      </c>
      <c r="AU140" s="155">
        <f>AU137+AU139+AU138</f>
        <v>182.87</v>
      </c>
      <c r="AV140" s="155">
        <f>AV137+AV139+AV138</f>
        <v>183.17</v>
      </c>
      <c r="AW140" s="155">
        <f>AV140-AU140</f>
        <v>0.29999999999998295</v>
      </c>
      <c r="AX140" s="230">
        <f>AV140/AU140</f>
        <v>1.001640509651665</v>
      </c>
      <c r="AY140" s="155">
        <f>AY137+AY139+AY138</f>
        <v>0</v>
      </c>
      <c r="AZ140" s="155">
        <f>AZ137+AZ139+AZ138</f>
        <v>0</v>
      </c>
      <c r="BA140" s="155">
        <f t="shared" si="140"/>
        <v>0</v>
      </c>
      <c r="BB140" s="230" t="e">
        <f>AZ140/AY140</f>
        <v>#DIV/0!</v>
      </c>
      <c r="BC140" s="155">
        <f>BC137+BC139+BC138</f>
        <v>0</v>
      </c>
      <c r="BD140" s="155">
        <f>BD137+BD139+BD138</f>
        <v>0</v>
      </c>
      <c r="BE140" s="155">
        <f t="shared" si="118"/>
        <v>0</v>
      </c>
      <c r="BF140" s="230" t="e">
        <f>BD140/BC140</f>
        <v>#DIV/0!</v>
      </c>
      <c r="BG140" s="155">
        <f>BG137+BG139+BG138</f>
        <v>0</v>
      </c>
      <c r="BH140" s="155">
        <f>BH137+BH139+BH138</f>
        <v>0</v>
      </c>
      <c r="BI140" s="155">
        <f t="shared" si="119"/>
        <v>0</v>
      </c>
      <c r="BJ140" s="230" t="e">
        <f>BH140/BG140</f>
        <v>#DIV/0!</v>
      </c>
      <c r="BK140" s="155">
        <f>BK137+BK139+BK138</f>
        <v>302.82800000000003</v>
      </c>
      <c r="BL140" s="155">
        <f>BL137+BL139+BL138</f>
        <v>227.08836999999997</v>
      </c>
      <c r="BM140" s="155">
        <f>BL140-BK140</f>
        <v>-75.739630000000062</v>
      </c>
      <c r="BN140" s="230">
        <f>BL140/BK140</f>
        <v>0.74989224906547591</v>
      </c>
      <c r="BO140" s="155">
        <f>BO137+BO139+BO138</f>
        <v>55.01</v>
      </c>
      <c r="BP140" s="155">
        <f>BP137+BP139+BP138</f>
        <v>23.012999999999998</v>
      </c>
      <c r="BQ140" s="155">
        <f>BP140-BO140</f>
        <v>-31.997</v>
      </c>
      <c r="BR140" s="230">
        <f>BP140/BO140</f>
        <v>0.41834211961461548</v>
      </c>
      <c r="BS140" s="155">
        <f>BS137+BS139+BS138</f>
        <v>0</v>
      </c>
      <c r="BT140" s="155">
        <f>BT137+BT139+BT138</f>
        <v>0</v>
      </c>
      <c r="BU140" s="155">
        <f>BT140-BS140</f>
        <v>0</v>
      </c>
      <c r="BV140" s="230" t="e">
        <f>BT140/BS140</f>
        <v>#DIV/0!</v>
      </c>
      <c r="BW140" s="155">
        <f>BW137+BW139+BW138</f>
        <v>0</v>
      </c>
      <c r="BX140" s="155">
        <f>BX137+BX139+BX138</f>
        <v>0</v>
      </c>
      <c r="BY140" s="155">
        <f t="shared" si="123"/>
        <v>0</v>
      </c>
      <c r="BZ140" s="230" t="e">
        <f>BX140/BW140</f>
        <v>#DIV/0!</v>
      </c>
      <c r="CA140" s="155">
        <f>CA137+CA139+CA138</f>
        <v>0</v>
      </c>
      <c r="CB140" s="155">
        <f>CB137+CB139+CB138</f>
        <v>0</v>
      </c>
      <c r="CC140" s="155">
        <f>CB140-CA140</f>
        <v>0</v>
      </c>
      <c r="CD140" s="230" t="e">
        <f>CB140/CA140</f>
        <v>#DIV/0!</v>
      </c>
      <c r="CE140" s="155">
        <f>CE137+CE139+CE138</f>
        <v>7764.0639999999985</v>
      </c>
      <c r="CF140" s="155">
        <f>CF137+CF139+CF138</f>
        <v>3796.6993000000002</v>
      </c>
      <c r="CG140" s="155">
        <f t="shared" si="125"/>
        <v>-3967.3646999999983</v>
      </c>
      <c r="CH140" s="230">
        <f>CF140/CE140</f>
        <v>0.48900927400907579</v>
      </c>
      <c r="CI140" s="155">
        <f>CI137+CI139+CI138</f>
        <v>0.56000000000000005</v>
      </c>
      <c r="CJ140" s="155">
        <f>CJ137+CJ139+CJ138</f>
        <v>0</v>
      </c>
      <c r="CK140" s="155">
        <f t="shared" si="126"/>
        <v>-0.56000000000000005</v>
      </c>
      <c r="CL140" s="230">
        <f>CJ140/CI140</f>
        <v>0</v>
      </c>
      <c r="CM140" s="233">
        <f>CM137+CM139+CM138</f>
        <v>169.3</v>
      </c>
      <c r="CN140" s="233">
        <f>CN137+CN139+CN138</f>
        <v>88.8</v>
      </c>
      <c r="CO140" s="233">
        <f t="shared" si="142"/>
        <v>-80.500000000000014</v>
      </c>
      <c r="CP140" s="234">
        <f>CN140/CM140</f>
        <v>0.52451269935026579</v>
      </c>
      <c r="CQ140" s="266">
        <f>CQ137+CQ139+CQ138</f>
        <v>0</v>
      </c>
      <c r="CR140" s="266">
        <f>CR137+CR139+CR138</f>
        <v>0</v>
      </c>
      <c r="CS140" s="266">
        <f>CS5+CS18+CS34+CS79+CS89+CS137+CS138+CS139+CS71</f>
        <v>0</v>
      </c>
      <c r="CT140" s="268" t="e">
        <f>CR140/CQ140</f>
        <v>#DIV/0!</v>
      </c>
      <c r="CU140" s="121">
        <f>CU137+CU139+CU138</f>
        <v>0</v>
      </c>
      <c r="CV140" s="121">
        <f>CV137+CV139+CV138</f>
        <v>0</v>
      </c>
      <c r="CW140" s="266">
        <f>CW5+CW18+CW34+CW79+CW89+CW137+CW138+CW139+CW71</f>
        <v>0</v>
      </c>
      <c r="CX140" s="268" t="e">
        <f>CV140/CU140</f>
        <v>#DIV/0!</v>
      </c>
      <c r="CY140" s="121">
        <f>CY137+CY139+CY138</f>
        <v>0</v>
      </c>
      <c r="CZ140" s="121">
        <f>CZ137+CZ139+CZ138</f>
        <v>0</v>
      </c>
      <c r="DA140" s="121">
        <f t="shared" si="127"/>
        <v>0</v>
      </c>
      <c r="DB140" s="268" t="e">
        <f>CZ140/CY140</f>
        <v>#DIV/0!</v>
      </c>
    </row>
    <row r="141" spans="1:106" ht="11.25" customHeight="1">
      <c r="AH141" s="349"/>
    </row>
    <row r="142" spans="1:106" ht="11.25" customHeight="1">
      <c r="D142" s="350"/>
      <c r="E142" s="351"/>
      <c r="AH142" s="349"/>
    </row>
    <row r="143" spans="1:106" s="347" customFormat="1">
      <c r="B143" s="345"/>
      <c r="C143" s="346"/>
      <c r="E143" s="352"/>
      <c r="F143" s="325"/>
      <c r="G143" s="325"/>
      <c r="J143" s="325"/>
      <c r="K143" s="325"/>
      <c r="N143" s="325"/>
      <c r="O143" s="325"/>
      <c r="R143" s="325"/>
      <c r="S143" s="325"/>
      <c r="V143" s="325"/>
      <c r="W143" s="325"/>
      <c r="X143" s="348"/>
      <c r="Y143" s="348"/>
      <c r="Z143" s="325"/>
      <c r="AA143" s="325"/>
      <c r="AD143" s="325"/>
      <c r="AE143" s="325"/>
      <c r="AF143" s="325"/>
      <c r="AG143" s="325"/>
      <c r="AH143" s="349"/>
      <c r="AK143" s="325"/>
      <c r="AL143" s="325"/>
      <c r="AO143" s="325"/>
      <c r="AP143" s="325"/>
      <c r="AQ143" s="325"/>
      <c r="AR143" s="325"/>
      <c r="AS143" s="325"/>
      <c r="AT143" s="325"/>
      <c r="AW143" s="325"/>
      <c r="AX143" s="325"/>
      <c r="AY143" s="325"/>
      <c r="AZ143" s="325"/>
      <c r="BA143" s="325"/>
      <c r="BB143" s="325"/>
      <c r="BE143" s="325"/>
      <c r="BF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Y143" s="325"/>
      <c r="BZ143" s="325"/>
      <c r="CA143" s="325"/>
      <c r="CB143" s="325"/>
      <c r="CC143" s="325"/>
      <c r="CD143" s="325"/>
      <c r="CG143" s="325"/>
      <c r="CH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W143" s="325"/>
      <c r="CX143" s="325"/>
    </row>
    <row r="144" spans="1:106" s="347" customFormat="1">
      <c r="B144" s="345"/>
      <c r="C144" s="346"/>
      <c r="E144" s="351"/>
      <c r="F144" s="325"/>
      <c r="G144" s="325"/>
      <c r="J144" s="325"/>
      <c r="K144" s="325"/>
      <c r="N144" s="325"/>
      <c r="O144" s="325"/>
      <c r="R144" s="325"/>
      <c r="S144" s="325"/>
      <c r="V144" s="325"/>
      <c r="W144" s="325"/>
      <c r="X144" s="348"/>
      <c r="Y144" s="348"/>
      <c r="Z144" s="325"/>
      <c r="AA144" s="325"/>
      <c r="AD144" s="325"/>
      <c r="AE144" s="325"/>
      <c r="AF144" s="325"/>
      <c r="AG144" s="325"/>
      <c r="AH144" s="349"/>
      <c r="AK144" s="325"/>
      <c r="AL144" s="325"/>
      <c r="AO144" s="325"/>
      <c r="AP144" s="325"/>
      <c r="AQ144" s="325"/>
      <c r="AR144" s="325"/>
      <c r="AS144" s="325"/>
      <c r="AT144" s="325"/>
      <c r="AW144" s="325"/>
      <c r="AX144" s="325"/>
      <c r="AY144" s="325"/>
      <c r="AZ144" s="325"/>
      <c r="BA144" s="325"/>
      <c r="BB144" s="325"/>
      <c r="BE144" s="325"/>
      <c r="BF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Y144" s="325"/>
      <c r="BZ144" s="325"/>
      <c r="CA144" s="325"/>
      <c r="CB144" s="325"/>
      <c r="CC144" s="325"/>
      <c r="CD144" s="325"/>
      <c r="CG144" s="325"/>
      <c r="CH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W144" s="325"/>
      <c r="CX144" s="325"/>
    </row>
    <row r="145" spans="2:102" s="347" customFormat="1">
      <c r="B145" s="345"/>
      <c r="C145" s="346"/>
      <c r="F145" s="325"/>
      <c r="G145" s="325"/>
      <c r="J145" s="325"/>
      <c r="K145" s="325"/>
      <c r="N145" s="325"/>
      <c r="O145" s="325"/>
      <c r="R145" s="325"/>
      <c r="S145" s="325"/>
      <c r="V145" s="325"/>
      <c r="W145" s="325"/>
      <c r="X145" s="348"/>
      <c r="Y145" s="348"/>
      <c r="Z145" s="325"/>
      <c r="AA145" s="325"/>
      <c r="AD145" s="325"/>
      <c r="AE145" s="325"/>
      <c r="AF145" s="325"/>
      <c r="AG145" s="325"/>
      <c r="AH145" s="349"/>
      <c r="AK145" s="325"/>
      <c r="AL145" s="325"/>
      <c r="AO145" s="325"/>
      <c r="AP145" s="325"/>
      <c r="AQ145" s="325"/>
      <c r="AR145" s="325"/>
      <c r="AS145" s="325"/>
      <c r="AT145" s="325"/>
      <c r="AW145" s="325"/>
      <c r="AX145" s="325"/>
      <c r="AY145" s="325"/>
      <c r="AZ145" s="325"/>
      <c r="BA145" s="325"/>
      <c r="BB145" s="325"/>
      <c r="BE145" s="325"/>
      <c r="BF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Y145" s="325"/>
      <c r="BZ145" s="325"/>
      <c r="CA145" s="325"/>
      <c r="CB145" s="325"/>
      <c r="CC145" s="325"/>
      <c r="CD145" s="325"/>
      <c r="CG145" s="325"/>
      <c r="CH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W145" s="325"/>
      <c r="CX145" s="325"/>
    </row>
    <row r="146" spans="2:102" s="347" customFormat="1">
      <c r="B146" s="345"/>
      <c r="C146" s="346"/>
      <c r="F146" s="325"/>
      <c r="G146" s="325"/>
      <c r="J146" s="325"/>
      <c r="K146" s="325"/>
      <c r="N146" s="325"/>
      <c r="O146" s="325"/>
      <c r="R146" s="325"/>
      <c r="S146" s="325"/>
      <c r="V146" s="325"/>
      <c r="W146" s="325"/>
      <c r="X146" s="348"/>
      <c r="Y146" s="348"/>
      <c r="Z146" s="325"/>
      <c r="AA146" s="325"/>
      <c r="AD146" s="325"/>
      <c r="AE146" s="325"/>
      <c r="AF146" s="325"/>
      <c r="AG146" s="325"/>
      <c r="AH146" s="349"/>
      <c r="AK146" s="325"/>
      <c r="AL146" s="325"/>
      <c r="AO146" s="325"/>
      <c r="AP146" s="325"/>
      <c r="AQ146" s="325"/>
      <c r="AR146" s="325"/>
      <c r="AS146" s="325"/>
      <c r="AT146" s="325"/>
      <c r="AW146" s="325"/>
      <c r="AX146" s="325"/>
      <c r="AY146" s="325"/>
      <c r="AZ146" s="325"/>
      <c r="BA146" s="325"/>
      <c r="BB146" s="325"/>
      <c r="BE146" s="325"/>
      <c r="BF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Y146" s="325"/>
      <c r="BZ146" s="325"/>
      <c r="CA146" s="325"/>
      <c r="CB146" s="325"/>
      <c r="CC146" s="325"/>
      <c r="CD146" s="325"/>
      <c r="CG146" s="325"/>
      <c r="CH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W146" s="325"/>
      <c r="CX146" s="325"/>
    </row>
    <row r="147" spans="2:102" s="347" customFormat="1">
      <c r="B147" s="345"/>
      <c r="C147" s="346"/>
      <c r="F147" s="325"/>
      <c r="G147" s="325"/>
      <c r="J147" s="325"/>
      <c r="K147" s="325"/>
      <c r="N147" s="325"/>
      <c r="O147" s="325"/>
      <c r="R147" s="325"/>
      <c r="S147" s="325"/>
      <c r="V147" s="325"/>
      <c r="W147" s="325"/>
      <c r="X147" s="348"/>
      <c r="Y147" s="348"/>
      <c r="Z147" s="325"/>
      <c r="AA147" s="325"/>
      <c r="AD147" s="325"/>
      <c r="AE147" s="325"/>
      <c r="AF147" s="325"/>
      <c r="AG147" s="325"/>
      <c r="AH147" s="349"/>
      <c r="AK147" s="325"/>
      <c r="AL147" s="325"/>
      <c r="AO147" s="325"/>
      <c r="AP147" s="325"/>
      <c r="AQ147" s="325"/>
      <c r="AR147" s="325"/>
      <c r="AS147" s="325"/>
      <c r="AT147" s="325"/>
      <c r="AW147" s="325"/>
      <c r="AX147" s="325"/>
      <c r="AY147" s="325"/>
      <c r="AZ147" s="325"/>
      <c r="BA147" s="325"/>
      <c r="BB147" s="325"/>
      <c r="BE147" s="325"/>
      <c r="BF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Y147" s="325"/>
      <c r="BZ147" s="325"/>
      <c r="CA147" s="325"/>
      <c r="CB147" s="325"/>
      <c r="CC147" s="325"/>
      <c r="CD147" s="325"/>
      <c r="CG147" s="325"/>
      <c r="CH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W147" s="325"/>
      <c r="CX147" s="325"/>
    </row>
    <row r="148" spans="2:102" s="347" customFormat="1">
      <c r="B148" s="345"/>
      <c r="C148" s="346"/>
      <c r="F148" s="325"/>
      <c r="G148" s="325"/>
      <c r="J148" s="325"/>
      <c r="K148" s="325"/>
      <c r="N148" s="325"/>
      <c r="O148" s="325"/>
      <c r="R148" s="325"/>
      <c r="S148" s="325"/>
      <c r="V148" s="325"/>
      <c r="W148" s="325"/>
      <c r="X148" s="348"/>
      <c r="Y148" s="348"/>
      <c r="Z148" s="325"/>
      <c r="AA148" s="325"/>
      <c r="AD148" s="325"/>
      <c r="AE148" s="325"/>
      <c r="AF148" s="325"/>
      <c r="AG148" s="325"/>
      <c r="AH148" s="349"/>
      <c r="AK148" s="325"/>
      <c r="AL148" s="325"/>
      <c r="AO148" s="325"/>
      <c r="AP148" s="325"/>
      <c r="AQ148" s="325"/>
      <c r="AR148" s="325"/>
      <c r="AS148" s="325"/>
      <c r="AT148" s="325"/>
      <c r="AW148" s="325"/>
      <c r="AX148" s="325"/>
      <c r="AY148" s="325"/>
      <c r="AZ148" s="325"/>
      <c r="BA148" s="325"/>
      <c r="BB148" s="325"/>
      <c r="BE148" s="325"/>
      <c r="BF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Y148" s="325"/>
      <c r="BZ148" s="325"/>
      <c r="CA148" s="325"/>
      <c r="CB148" s="325"/>
      <c r="CC148" s="325"/>
      <c r="CD148" s="325"/>
      <c r="CG148" s="325"/>
      <c r="CH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W148" s="325"/>
      <c r="CX148" s="325"/>
    </row>
    <row r="149" spans="2:102" s="347" customFormat="1">
      <c r="B149" s="345"/>
      <c r="C149" s="346"/>
      <c r="F149" s="325"/>
      <c r="G149" s="325"/>
      <c r="J149" s="325"/>
      <c r="K149" s="325"/>
      <c r="N149" s="325"/>
      <c r="O149" s="325"/>
      <c r="R149" s="325"/>
      <c r="S149" s="325"/>
      <c r="V149" s="325"/>
      <c r="W149" s="325"/>
      <c r="X149" s="348"/>
      <c r="Y149" s="348"/>
      <c r="Z149" s="325"/>
      <c r="AA149" s="325"/>
      <c r="AD149" s="325"/>
      <c r="AE149" s="325"/>
      <c r="AF149" s="325"/>
      <c r="AG149" s="325"/>
      <c r="AH149" s="353"/>
      <c r="AK149" s="325"/>
      <c r="AL149" s="325"/>
      <c r="AO149" s="325"/>
      <c r="AP149" s="325"/>
      <c r="AQ149" s="325"/>
      <c r="AR149" s="325"/>
      <c r="AS149" s="325"/>
      <c r="AT149" s="325"/>
      <c r="AW149" s="325"/>
      <c r="AX149" s="325"/>
      <c r="AY149" s="325"/>
      <c r="AZ149" s="325"/>
      <c r="BA149" s="325"/>
      <c r="BB149" s="325"/>
      <c r="BE149" s="325"/>
      <c r="BF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Y149" s="325"/>
      <c r="BZ149" s="325"/>
      <c r="CA149" s="325"/>
      <c r="CB149" s="325"/>
      <c r="CC149" s="325"/>
      <c r="CD149" s="325"/>
      <c r="CG149" s="325"/>
      <c r="CH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W149" s="325"/>
      <c r="CX149" s="325"/>
    </row>
    <row r="150" spans="2:102" s="347" customFormat="1">
      <c r="B150" s="345"/>
      <c r="C150" s="346"/>
      <c r="F150" s="325"/>
      <c r="G150" s="325"/>
      <c r="J150" s="325"/>
      <c r="K150" s="325"/>
      <c r="N150" s="325"/>
      <c r="O150" s="325"/>
      <c r="R150" s="325"/>
      <c r="S150" s="325"/>
      <c r="V150" s="325"/>
      <c r="W150" s="325"/>
      <c r="X150" s="348"/>
      <c r="Y150" s="348"/>
      <c r="Z150" s="325"/>
      <c r="AA150" s="325"/>
      <c r="AD150" s="325"/>
      <c r="AE150" s="325"/>
      <c r="AF150" s="325"/>
      <c r="AG150" s="325"/>
      <c r="AH150" s="349"/>
      <c r="AK150" s="325"/>
      <c r="AL150" s="325"/>
      <c r="AO150" s="325"/>
      <c r="AP150" s="325"/>
      <c r="AQ150" s="325"/>
      <c r="AR150" s="325"/>
      <c r="AS150" s="325"/>
      <c r="AT150" s="325"/>
      <c r="AW150" s="325"/>
      <c r="AX150" s="325"/>
      <c r="AY150" s="325"/>
      <c r="AZ150" s="325"/>
      <c r="BA150" s="325"/>
      <c r="BB150" s="325"/>
      <c r="BE150" s="325"/>
      <c r="BF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Y150" s="325"/>
      <c r="BZ150" s="325"/>
      <c r="CA150" s="325"/>
      <c r="CB150" s="325"/>
      <c r="CC150" s="325"/>
      <c r="CD150" s="325"/>
      <c r="CG150" s="325"/>
      <c r="CH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W150" s="325"/>
      <c r="CX150" s="325"/>
    </row>
    <row r="151" spans="2:102" s="347" customFormat="1">
      <c r="B151" s="345"/>
      <c r="C151" s="346"/>
      <c r="F151" s="325"/>
      <c r="G151" s="325"/>
      <c r="J151" s="325"/>
      <c r="K151" s="325"/>
      <c r="N151" s="325"/>
      <c r="O151" s="325"/>
      <c r="R151" s="325"/>
      <c r="S151" s="325"/>
      <c r="V151" s="325"/>
      <c r="W151" s="325"/>
      <c r="X151" s="348"/>
      <c r="Y151" s="348"/>
      <c r="Z151" s="325"/>
      <c r="AA151" s="325"/>
      <c r="AD151" s="325"/>
      <c r="AE151" s="325"/>
      <c r="AF151" s="325"/>
      <c r="AG151" s="325"/>
      <c r="AH151" s="349"/>
      <c r="AK151" s="325"/>
      <c r="AL151" s="325"/>
      <c r="AO151" s="325"/>
      <c r="AP151" s="325"/>
      <c r="AQ151" s="325"/>
      <c r="AR151" s="325"/>
      <c r="AS151" s="325"/>
      <c r="AT151" s="325"/>
      <c r="AW151" s="325"/>
      <c r="AX151" s="325"/>
      <c r="AY151" s="325"/>
      <c r="AZ151" s="325"/>
      <c r="BA151" s="325"/>
      <c r="BB151" s="325"/>
      <c r="BE151" s="325"/>
      <c r="BF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Y151" s="325"/>
      <c r="BZ151" s="325"/>
      <c r="CA151" s="325"/>
      <c r="CB151" s="325"/>
      <c r="CC151" s="325"/>
      <c r="CD151" s="325"/>
      <c r="CG151" s="325"/>
      <c r="CH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W151" s="325"/>
      <c r="CX151" s="325"/>
    </row>
    <row r="152" spans="2:102" s="347" customFormat="1">
      <c r="B152" s="345"/>
      <c r="C152" s="346"/>
      <c r="F152" s="325"/>
      <c r="G152" s="325"/>
      <c r="J152" s="325"/>
      <c r="K152" s="325"/>
      <c r="N152" s="325"/>
      <c r="O152" s="325"/>
      <c r="R152" s="325"/>
      <c r="S152" s="325"/>
      <c r="V152" s="325"/>
      <c r="W152" s="325"/>
      <c r="X152" s="348"/>
      <c r="Y152" s="348"/>
      <c r="Z152" s="325"/>
      <c r="AA152" s="325"/>
      <c r="AD152" s="325"/>
      <c r="AE152" s="325"/>
      <c r="AF152" s="325"/>
      <c r="AG152" s="325"/>
      <c r="AH152" s="353"/>
      <c r="AK152" s="325"/>
      <c r="AL152" s="325"/>
      <c r="AO152" s="325"/>
      <c r="AP152" s="325"/>
      <c r="AQ152" s="325"/>
      <c r="AR152" s="325"/>
      <c r="AS152" s="325"/>
      <c r="AT152" s="325"/>
      <c r="AW152" s="325"/>
      <c r="AX152" s="325"/>
      <c r="AY152" s="325"/>
      <c r="AZ152" s="325"/>
      <c r="BA152" s="325"/>
      <c r="BB152" s="325"/>
      <c r="BE152" s="325"/>
      <c r="BF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Y152" s="325"/>
      <c r="BZ152" s="325"/>
      <c r="CA152" s="325"/>
      <c r="CB152" s="325"/>
      <c r="CC152" s="325"/>
      <c r="CD152" s="325"/>
      <c r="CG152" s="325"/>
      <c r="CH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W152" s="325"/>
      <c r="CX152" s="325"/>
    </row>
    <row r="153" spans="2:102" s="347" customFormat="1">
      <c r="B153" s="345"/>
      <c r="C153" s="346"/>
      <c r="F153" s="325"/>
      <c r="G153" s="325"/>
      <c r="J153" s="325"/>
      <c r="K153" s="325"/>
      <c r="N153" s="325"/>
      <c r="O153" s="325"/>
      <c r="R153" s="325"/>
      <c r="S153" s="325"/>
      <c r="V153" s="325"/>
      <c r="W153" s="325"/>
      <c r="X153" s="348"/>
      <c r="Y153" s="348"/>
      <c r="Z153" s="325"/>
      <c r="AA153" s="325"/>
      <c r="AD153" s="325"/>
      <c r="AE153" s="325"/>
      <c r="AF153" s="325"/>
      <c r="AG153" s="325"/>
      <c r="AH153" s="349"/>
      <c r="AK153" s="325"/>
      <c r="AL153" s="325"/>
      <c r="AO153" s="325"/>
      <c r="AP153" s="325"/>
      <c r="AQ153" s="325"/>
      <c r="AR153" s="325"/>
      <c r="AS153" s="325"/>
      <c r="AT153" s="325"/>
      <c r="AW153" s="325"/>
      <c r="AX153" s="325"/>
      <c r="AY153" s="325"/>
      <c r="AZ153" s="325"/>
      <c r="BA153" s="325"/>
      <c r="BB153" s="325"/>
      <c r="BE153" s="325"/>
      <c r="BF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Y153" s="325"/>
      <c r="BZ153" s="325"/>
      <c r="CA153" s="325"/>
      <c r="CB153" s="325"/>
      <c r="CC153" s="325"/>
      <c r="CD153" s="325"/>
      <c r="CG153" s="325"/>
      <c r="CH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W153" s="325"/>
      <c r="CX153" s="325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51" t="s">
        <v>418</v>
      </c>
    </row>
    <row r="2" spans="1:22" ht="12.75" customHeight="1" thickBot="1">
      <c r="A2" s="965" t="s">
        <v>490</v>
      </c>
      <c r="B2" s="965"/>
      <c r="C2" s="965"/>
      <c r="D2" s="965"/>
      <c r="E2" s="965"/>
      <c r="F2" s="965"/>
      <c r="G2" s="965"/>
      <c r="H2" s="965"/>
      <c r="I2" s="43"/>
      <c r="J2" s="43"/>
      <c r="K2" s="966" t="s">
        <v>256</v>
      </c>
      <c r="L2" s="966"/>
      <c r="M2" s="966"/>
      <c r="N2" s="967">
        <v>224950.67</v>
      </c>
      <c r="O2" s="967"/>
      <c r="P2" s="195"/>
      <c r="Q2" s="968" t="s">
        <v>273</v>
      </c>
      <c r="R2" s="968"/>
      <c r="S2" s="196">
        <v>9570953.3300000001</v>
      </c>
    </row>
    <row r="3" spans="1:22" s="80" customFormat="1" ht="12.75" customHeight="1">
      <c r="A3" s="954" t="s">
        <v>89</v>
      </c>
      <c r="B3" s="954" t="s">
        <v>90</v>
      </c>
      <c r="C3" s="954" t="s">
        <v>249</v>
      </c>
      <c r="D3" s="963" t="s">
        <v>91</v>
      </c>
      <c r="E3" s="964"/>
      <c r="F3" s="954" t="s">
        <v>131</v>
      </c>
      <c r="G3" s="954" t="s">
        <v>274</v>
      </c>
      <c r="H3" s="954" t="s">
        <v>275</v>
      </c>
      <c r="I3" s="954" t="s">
        <v>92</v>
      </c>
      <c r="J3" s="954" t="s">
        <v>167</v>
      </c>
      <c r="K3" s="954" t="s">
        <v>93</v>
      </c>
      <c r="L3" s="954" t="s">
        <v>491</v>
      </c>
      <c r="M3" s="954" t="s">
        <v>71</v>
      </c>
      <c r="N3" s="954" t="s">
        <v>95</v>
      </c>
      <c r="O3" s="954" t="s">
        <v>72</v>
      </c>
      <c r="P3" s="190"/>
      <c r="Q3" s="969" t="s">
        <v>250</v>
      </c>
      <c r="R3" s="954" t="s">
        <v>96</v>
      </c>
      <c r="S3" s="954" t="s">
        <v>97</v>
      </c>
    </row>
    <row r="4" spans="1:22" s="80" customFormat="1" ht="51">
      <c r="A4" s="955"/>
      <c r="B4" s="955"/>
      <c r="C4" s="955"/>
      <c r="D4" s="70" t="s">
        <v>98</v>
      </c>
      <c r="E4" s="70" t="s">
        <v>251</v>
      </c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189"/>
      <c r="Q4" s="955"/>
      <c r="R4" s="955"/>
      <c r="S4" s="955"/>
    </row>
    <row r="5" spans="1:22" s="80" customFormat="1">
      <c r="A5" s="72" t="s">
        <v>99</v>
      </c>
      <c r="B5" s="73">
        <v>200</v>
      </c>
      <c r="C5" s="73">
        <f>D5+E5</f>
        <v>1822061.31</v>
      </c>
      <c r="D5" s="73">
        <f>SUM(D6+D12+D71+D78+D79+D84+D76+D77)</f>
        <v>1822061.31</v>
      </c>
      <c r="E5" s="73">
        <f>SUM(E6+E12+E71+E78+E79+E84+E76)</f>
        <v>0</v>
      </c>
      <c r="F5" s="73">
        <f>SUM(F6+F12+F71+F78+F79+F84+F76)</f>
        <v>0</v>
      </c>
      <c r="G5" s="73">
        <f>[1]март!G5+[1]фев!G5+[1]янв!G5</f>
        <v>2300</v>
      </c>
      <c r="H5" s="73">
        <f>[1]март!H5+[1]фев!H5+[1]янв!H5</f>
        <v>0</v>
      </c>
      <c r="I5" s="73">
        <f>SUM(I6+I12+I71+I78+I79+I84+I76)</f>
        <v>0</v>
      </c>
      <c r="J5" s="73">
        <f>SUM(J6+J12+J71+J78+J79+J84+J76)</f>
        <v>197363.1</v>
      </c>
      <c r="K5" s="73">
        <f>SUM(K6+K12+K71+K78+K79+K84+K76)</f>
        <v>313850</v>
      </c>
      <c r="L5" s="73">
        <f>SUM(L6+L12+L71+L78+L79+L84+L76)</f>
        <v>7158917.3300000001</v>
      </c>
      <c r="M5" s="73">
        <f>SUM(M6+M12+M71+M78+M79+M84+M76)</f>
        <v>128300.04000000001</v>
      </c>
      <c r="N5" s="73">
        <f>L5+M5</f>
        <v>7287217.3700000001</v>
      </c>
      <c r="O5" s="73" t="e">
        <f>SUM(O6+O12+O71+O78+O79+O84+O76)</f>
        <v>#REF!</v>
      </c>
      <c r="P5" s="73"/>
      <c r="Q5" s="73">
        <f>SUM(Q6+Q12+Q71+Q78+Q79+Q84+Q76)</f>
        <v>132214</v>
      </c>
      <c r="R5" s="73">
        <f>SUM(R6+R12+R71+R78+R79+R84+R76)</f>
        <v>302477.61</v>
      </c>
      <c r="S5" s="73" t="e">
        <f>C5+F5+G5+I5+J5+K5+N5+O5++R5+Q5+H5</f>
        <v>#REF!</v>
      </c>
    </row>
    <row r="6" spans="1:22" s="80" customFormat="1" ht="14.25" customHeight="1">
      <c r="A6" s="74" t="s">
        <v>100</v>
      </c>
      <c r="B6" s="73">
        <v>210</v>
      </c>
      <c r="C6" s="73">
        <f t="shared" ref="C6:C107" si="0">D6+E6</f>
        <v>770525.48</v>
      </c>
      <c r="D6" s="73">
        <f>SUM(D7+D8+D11)</f>
        <v>770525.48</v>
      </c>
      <c r="E6" s="73">
        <f t="shared" ref="E6:R6" si="1">SUM(E7+E8+E11)</f>
        <v>0</v>
      </c>
      <c r="F6" s="73">
        <f t="shared" si="1"/>
        <v>0</v>
      </c>
      <c r="G6" s="73">
        <f>[1]март!G6+[1]фев!G6+[1]янв!G6</f>
        <v>0</v>
      </c>
      <c r="H6" s="73">
        <f>[1]март!H6+[1]фев!H6+[1]янв!H6</f>
        <v>0</v>
      </c>
      <c r="I6" s="73">
        <f t="shared" si="1"/>
        <v>0</v>
      </c>
      <c r="J6" s="73">
        <f t="shared" si="1"/>
        <v>99266.1</v>
      </c>
      <c r="K6" s="73">
        <f t="shared" si="1"/>
        <v>84000</v>
      </c>
      <c r="L6" s="73">
        <f t="shared" si="1"/>
        <v>2294498.6800000002</v>
      </c>
      <c r="M6" s="73">
        <f t="shared" si="1"/>
        <v>55680.04</v>
      </c>
      <c r="N6" s="73">
        <f t="shared" si="1"/>
        <v>2350178.7200000002</v>
      </c>
      <c r="O6" s="73">
        <f t="shared" si="1"/>
        <v>1528696</v>
      </c>
      <c r="P6" s="73"/>
      <c r="Q6" s="73">
        <f t="shared" si="1"/>
        <v>0</v>
      </c>
      <c r="R6" s="73">
        <f t="shared" si="1"/>
        <v>129017.61</v>
      </c>
      <c r="S6" s="73">
        <f>C6+F6+G6+I6+J6+K6+N6+O6++R6+Q6</f>
        <v>4961683.9100000011</v>
      </c>
      <c r="T6" s="81">
        <f>[2]март!S6+[2]фев!S6+[2]янв!S6</f>
        <v>1617916</v>
      </c>
    </row>
    <row r="7" spans="1:22">
      <c r="A7" s="42" t="s">
        <v>101</v>
      </c>
      <c r="B7" s="3">
        <v>211</v>
      </c>
      <c r="C7" s="3">
        <f t="shared" si="0"/>
        <v>500</v>
      </c>
      <c r="D7" s="75">
        <f>[1]март!D7+[1]фев!D7+[1]янв!D7</f>
        <v>500</v>
      </c>
      <c r="E7" s="75">
        <f>[1]март!E7+[1]фев!E7+[1]янв!E7</f>
        <v>0</v>
      </c>
      <c r="F7" s="75">
        <f>[1]март!F7+[1]фев!F7+[1]янв!F7</f>
        <v>0</v>
      </c>
      <c r="G7" s="75">
        <f>[1]март!G7+[1]фев!G7+[1]янв!G7</f>
        <v>2300</v>
      </c>
      <c r="H7" s="75">
        <f>[1]март!H7+[1]фев!H7+[1]янв!H7</f>
        <v>0</v>
      </c>
      <c r="I7" s="75">
        <f>[1]март!J7+[1]фев!J7+[1]янв!J7</f>
        <v>0</v>
      </c>
      <c r="J7" s="75">
        <f>[1]март!K7+[1]фев!K7+[1]янв!K7</f>
        <v>0</v>
      </c>
      <c r="K7" s="75">
        <f>[1]март!L7+[1]фев!L7+[1]янв!L7</f>
        <v>0</v>
      </c>
      <c r="L7" s="75">
        <f>[1]март!M7+[1]фев!M7+[1]янв!M7</f>
        <v>0</v>
      </c>
      <c r="M7" s="75">
        <f>[1]март!N7+[1]фев!N7+[1]янв!N7</f>
        <v>10200</v>
      </c>
      <c r="N7" s="75">
        <f>[1]март!O7+[1]фев!O7+[1]янв!O7</f>
        <v>10200</v>
      </c>
      <c r="O7" s="75">
        <f>[1]март!P7+[1]фев!P7+[1]янв!P7</f>
        <v>0</v>
      </c>
      <c r="P7" s="75"/>
      <c r="Q7" s="75">
        <f>[1]март!Q7+[1]фев!Q7+[1]янв!Q7</f>
        <v>0</v>
      </c>
      <c r="R7" s="75">
        <f>[1]март!R7+[1]фев!R7+[1]янв!R7</f>
        <v>0</v>
      </c>
      <c r="S7" s="73">
        <f>C7+F7+G7+I7+J7+K7+N7+O7++R7+Q7</f>
        <v>13000</v>
      </c>
      <c r="T7" s="82">
        <f>[2]март!S6+[2]фев!S6</f>
        <v>1617916</v>
      </c>
      <c r="U7" s="82">
        <f>T7-S129</f>
        <v>0</v>
      </c>
      <c r="V7" s="83"/>
    </row>
    <row r="8" spans="1:22" s="80" customFormat="1">
      <c r="A8" s="74" t="s">
        <v>102</v>
      </c>
      <c r="B8" s="73">
        <v>212</v>
      </c>
      <c r="C8" s="73">
        <f t="shared" si="0"/>
        <v>0</v>
      </c>
      <c r="D8" s="73">
        <f>SUM(D9:D10)</f>
        <v>0</v>
      </c>
      <c r="E8" s="73">
        <f t="shared" ref="E8:R8" si="2">SUM(E9:E10)</f>
        <v>0</v>
      </c>
      <c r="F8" s="73">
        <f t="shared" si="2"/>
        <v>0</v>
      </c>
      <c r="G8" s="73">
        <f t="shared" si="2"/>
        <v>0</v>
      </c>
      <c r="H8" s="73"/>
      <c r="I8" s="73">
        <f t="shared" si="2"/>
        <v>0</v>
      </c>
      <c r="J8" s="73">
        <f t="shared" si="2"/>
        <v>0</v>
      </c>
      <c r="K8" s="73">
        <f t="shared" si="2"/>
        <v>0</v>
      </c>
      <c r="L8" s="73">
        <f t="shared" si="2"/>
        <v>0</v>
      </c>
      <c r="M8" s="73">
        <f t="shared" si="2"/>
        <v>0</v>
      </c>
      <c r="N8" s="73">
        <f t="shared" si="2"/>
        <v>0</v>
      </c>
      <c r="O8" s="73">
        <f t="shared" si="2"/>
        <v>0</v>
      </c>
      <c r="P8" s="73"/>
      <c r="Q8" s="73">
        <f t="shared" si="2"/>
        <v>0</v>
      </c>
      <c r="R8" s="73">
        <f t="shared" si="2"/>
        <v>0</v>
      </c>
      <c r="S8" s="73">
        <f t="shared" ref="S8:S71" si="3">C8+F8+G8+I8+J8+K8+N8+O8++R8+Q8</f>
        <v>0</v>
      </c>
    </row>
    <row r="9" spans="1:22">
      <c r="A9" s="42" t="s">
        <v>103</v>
      </c>
      <c r="B9" s="3">
        <v>212</v>
      </c>
      <c r="C9" s="3">
        <f t="shared" si="0"/>
        <v>0</v>
      </c>
      <c r="D9" s="75">
        <f>[1]март!D9+[1]фев!D9+[1]янв!D9</f>
        <v>0</v>
      </c>
      <c r="E9" s="75">
        <f>[1]март!E9+[1]фев!E9+[1]янв!E9</f>
        <v>0</v>
      </c>
      <c r="F9" s="75">
        <f>[1]март!F9+[1]фев!F9+[1]янв!F9</f>
        <v>0</v>
      </c>
      <c r="G9" s="75">
        <f>[1]март!G9+[1]фев!G9+[1]янв!G9</f>
        <v>0</v>
      </c>
      <c r="H9" s="75"/>
      <c r="I9" s="75">
        <f>[1]март!J9+[1]фев!J9+[1]янв!J9</f>
        <v>0</v>
      </c>
      <c r="J9" s="75">
        <f>[1]март!K9+[1]фев!K9+[1]янв!K9</f>
        <v>0</v>
      </c>
      <c r="K9" s="75">
        <f>[1]март!L9+[1]фев!L9+[1]янв!L9</f>
        <v>0</v>
      </c>
      <c r="L9" s="75">
        <f>[1]март!M9+[1]фев!M9+[1]янв!M9</f>
        <v>0</v>
      </c>
      <c r="M9" s="75">
        <f>[1]март!N9+[1]фев!N9+[1]янв!N9</f>
        <v>0</v>
      </c>
      <c r="N9" s="75">
        <f>[1]март!O9+[1]фев!O9+[1]янв!O9</f>
        <v>0</v>
      </c>
      <c r="O9" s="75">
        <f>[1]март!P9+[1]фев!P9+[1]янв!P9</f>
        <v>0</v>
      </c>
      <c r="P9" s="75"/>
      <c r="Q9" s="75">
        <f>[1]март!Q9+[1]фев!Q9+[1]янв!Q9</f>
        <v>0</v>
      </c>
      <c r="R9" s="75">
        <f>[1]март!R9+[1]фев!R9+[1]янв!R9</f>
        <v>0</v>
      </c>
      <c r="S9" s="70">
        <f t="shared" si="3"/>
        <v>0</v>
      </c>
      <c r="T9" s="83"/>
      <c r="U9" s="83"/>
      <c r="V9" s="83"/>
    </row>
    <row r="10" spans="1:22" hidden="1">
      <c r="A10" s="42" t="s">
        <v>104</v>
      </c>
      <c r="B10" s="3">
        <v>212</v>
      </c>
      <c r="C10" s="3">
        <f t="shared" si="0"/>
        <v>0</v>
      </c>
      <c r="D10" s="75">
        <f>[1]март!D10+[1]фев!D10+[1]янв!D10</f>
        <v>0</v>
      </c>
      <c r="E10" s="75">
        <f>[1]март!E10+[1]фев!E10+[1]янв!E10</f>
        <v>0</v>
      </c>
      <c r="F10" s="75">
        <f>[1]март!F10+[1]фев!F10+[1]янв!F10</f>
        <v>0</v>
      </c>
      <c r="G10" s="75">
        <f>[1]март!G10+[1]фев!G10+[1]янв!G10</f>
        <v>0</v>
      </c>
      <c r="H10" s="75"/>
      <c r="I10" s="75">
        <f>[1]март!J10+[1]фев!J10+[1]янв!J10</f>
        <v>0</v>
      </c>
      <c r="J10" s="75">
        <f>[1]март!K10+[1]фев!K10+[1]янв!K10</f>
        <v>0</v>
      </c>
      <c r="K10" s="75">
        <f>[1]март!L10+[1]фев!L10+[1]янв!L10</f>
        <v>0</v>
      </c>
      <c r="L10" s="75">
        <f>[1]март!M10+[1]фев!M10+[1]янв!M10</f>
        <v>0</v>
      </c>
      <c r="M10" s="75">
        <f>[1]март!N10+[1]фев!N10+[1]янв!N10</f>
        <v>0</v>
      </c>
      <c r="N10" s="75">
        <f>[1]март!O10+[1]фев!O10+[1]янв!O10</f>
        <v>0</v>
      </c>
      <c r="O10" s="75">
        <f>[1]март!P10+[1]фев!P10+[1]янв!P10</f>
        <v>0</v>
      </c>
      <c r="P10" s="75"/>
      <c r="Q10" s="75">
        <f>[1]март!Q10+[1]фев!Q10+[1]янв!Q10</f>
        <v>0</v>
      </c>
      <c r="R10" s="75">
        <f>[1]март!R10+[1]фев!R10+[1]янв!R10</f>
        <v>0</v>
      </c>
      <c r="S10" s="73">
        <f t="shared" si="3"/>
        <v>0</v>
      </c>
      <c r="T10" s="83"/>
      <c r="U10" s="83"/>
      <c r="V10" s="83"/>
    </row>
    <row r="11" spans="1:22" hidden="1">
      <c r="A11" s="41" t="s">
        <v>105</v>
      </c>
      <c r="B11" s="2">
        <v>213</v>
      </c>
      <c r="C11" s="2">
        <f t="shared" si="0"/>
        <v>770025.48</v>
      </c>
      <c r="D11" s="75">
        <f>[1]март!D11+[1]фев!D11+[1]янв!D11</f>
        <v>770025.48</v>
      </c>
      <c r="E11" s="75">
        <f>[1]март!E11+[1]фев!E11+[1]янв!E11</f>
        <v>0</v>
      </c>
      <c r="F11" s="75">
        <f>[1]март!F11+[1]фев!F11+[1]янв!F11</f>
        <v>0</v>
      </c>
      <c r="G11" s="75">
        <f>[1]март!G11+[1]фев!G11+[1]янв!G11</f>
        <v>80002.45</v>
      </c>
      <c r="H11" s="75"/>
      <c r="I11" s="75">
        <f>[1]март!J11+[1]фев!J11+[1]янв!J11</f>
        <v>0</v>
      </c>
      <c r="J11" s="75">
        <f>[1]март!K11+[1]фев!K11+[1]янв!K11</f>
        <v>99266.1</v>
      </c>
      <c r="K11" s="75">
        <f>[1]март!L11+[1]фев!L11+[1]янв!L11</f>
        <v>84000</v>
      </c>
      <c r="L11" s="75">
        <f>[1]март!M11+[1]фев!M11+[1]янв!M11</f>
        <v>2294498.6800000002</v>
      </c>
      <c r="M11" s="75">
        <f>[1]март!N11+[1]фев!N11+[1]янв!N11</f>
        <v>45480.04</v>
      </c>
      <c r="N11" s="75">
        <f>[1]март!O11+[1]фев!O11+[1]янв!O11</f>
        <v>2339978.7200000002</v>
      </c>
      <c r="O11" s="75">
        <f>[1]март!P11+[1]фев!P11+[1]янв!P11</f>
        <v>1528696</v>
      </c>
      <c r="P11" s="75"/>
      <c r="Q11" s="75">
        <f>[1]март!Q11+[1]фев!Q11+[1]янв!Q11</f>
        <v>0</v>
      </c>
      <c r="R11" s="75">
        <f>[1]март!R11+[1]фев!R11+[1]янв!R11</f>
        <v>129017.61</v>
      </c>
      <c r="S11" s="73">
        <f t="shared" si="3"/>
        <v>5030986.3600000003</v>
      </c>
      <c r="T11" s="83"/>
      <c r="U11" s="83"/>
      <c r="V11" s="83"/>
    </row>
    <row r="12" spans="1:22" s="80" customFormat="1">
      <c r="A12" s="74" t="s">
        <v>106</v>
      </c>
      <c r="B12" s="73">
        <v>220</v>
      </c>
      <c r="C12" s="73">
        <f t="shared" si="0"/>
        <v>1021416.5</v>
      </c>
      <c r="D12" s="73">
        <f>SUM(D13+D15+D18+D23+D34+D22+D14)</f>
        <v>1021416.5</v>
      </c>
      <c r="E12" s="73">
        <f t="shared" ref="E12:R12" si="4">SUM(E13+E15+E18+E23+E34+E22)</f>
        <v>0</v>
      </c>
      <c r="F12" s="73">
        <f t="shared" si="4"/>
        <v>0</v>
      </c>
      <c r="G12" s="73">
        <f t="shared" si="4"/>
        <v>52793.89</v>
      </c>
      <c r="H12" s="73">
        <f t="shared" si="4"/>
        <v>0</v>
      </c>
      <c r="I12" s="73">
        <f t="shared" si="4"/>
        <v>0</v>
      </c>
      <c r="J12" s="73">
        <f t="shared" si="4"/>
        <v>90646</v>
      </c>
      <c r="K12" s="73">
        <f t="shared" si="4"/>
        <v>168000</v>
      </c>
      <c r="L12" s="73">
        <f>SUM(L13+L15+L18+L23+L34+L22+L14)</f>
        <v>4376096.6500000004</v>
      </c>
      <c r="M12" s="73">
        <f>SUM(M13+M15+M18+M23+M34+M22+M14)</f>
        <v>72620</v>
      </c>
      <c r="N12" s="73">
        <f>SUM(N13+N15+N18+N23+N34+N22+N14)</f>
        <v>4448716.6500000004</v>
      </c>
      <c r="O12" s="73">
        <f t="shared" si="4"/>
        <v>1674575</v>
      </c>
      <c r="P12" s="73"/>
      <c r="Q12" s="73">
        <f t="shared" si="4"/>
        <v>0</v>
      </c>
      <c r="R12" s="73">
        <f t="shared" si="4"/>
        <v>173460</v>
      </c>
      <c r="S12" s="73">
        <f t="shared" si="3"/>
        <v>7629608.04</v>
      </c>
      <c r="T12" s="84"/>
    </row>
    <row r="13" spans="1:22">
      <c r="A13" s="42" t="s">
        <v>107</v>
      </c>
      <c r="B13" s="3">
        <v>221</v>
      </c>
      <c r="C13" s="3">
        <f t="shared" si="0"/>
        <v>0</v>
      </c>
      <c r="D13" s="75">
        <f>[1]янв!D13+[1]март!D13</f>
        <v>0</v>
      </c>
      <c r="E13" s="75">
        <f>[1]март!E13+[1]фев!E13+[1]янв!E13</f>
        <v>0</v>
      </c>
      <c r="F13" s="75">
        <f>[1]март!F13+[1]фев!F13+[1]янв!F13</f>
        <v>0</v>
      </c>
      <c r="G13" s="75">
        <f>[1]март!G13+[1]фев!G13+[1]янв!G13</f>
        <v>0</v>
      </c>
      <c r="H13" s="75">
        <f>[1]март!H13+[1]фев!H13+[1]янв!H13</f>
        <v>0</v>
      </c>
      <c r="I13" s="75">
        <f>[1]март!J13+[1]фев!J13+[1]янв!J13</f>
        <v>0</v>
      </c>
      <c r="J13" s="75">
        <f>[1]март!K13+[1]фев!K13+[1]янв!K13</f>
        <v>0</v>
      </c>
      <c r="K13" s="75">
        <f>[1]март!L13+[1]фев!L13+[1]янв!L13</f>
        <v>0</v>
      </c>
      <c r="L13" s="75">
        <f>[1]март!M13+[1]фев!M13+[1]янв!M13</f>
        <v>10500</v>
      </c>
      <c r="M13" s="75">
        <f>[1]март!N13+[1]фев!N13+[1]янв!N13</f>
        <v>20000</v>
      </c>
      <c r="N13" s="75">
        <f>[1]март!O13+[1]фев!O13+[1]янв!O13</f>
        <v>30500</v>
      </c>
      <c r="O13" s="75">
        <f>[1]март!P13+[1]фев!P13+[1]янв!P13</f>
        <v>0</v>
      </c>
      <c r="P13" s="75"/>
      <c r="Q13" s="75">
        <f>[1]март!Q13+[1]фев!Q13+[1]янв!Q13</f>
        <v>0</v>
      </c>
      <c r="R13" s="75">
        <f>[1]март!R13+[1]фев!R13+[1]янв!R13</f>
        <v>0</v>
      </c>
      <c r="S13" s="73">
        <f>C13+F13+G13+I13+J13+K13+N13+O13++R13+Q13+H13</f>
        <v>30500</v>
      </c>
      <c r="T13" s="83">
        <f>[2]март!S12+[2]фев!S12+[2]янв!S12</f>
        <v>153740.75</v>
      </c>
      <c r="U13" s="83"/>
      <c r="V13" s="83"/>
    </row>
    <row r="14" spans="1:22" hidden="1">
      <c r="A14" s="197" t="s">
        <v>391</v>
      </c>
      <c r="B14" s="62">
        <v>221</v>
      </c>
      <c r="C14" s="62">
        <f t="shared" si="0"/>
        <v>0</v>
      </c>
      <c r="D14" s="75"/>
      <c r="E14" s="75"/>
      <c r="F14" s="75"/>
      <c r="G14" s="75"/>
      <c r="H14" s="75"/>
      <c r="I14" s="75"/>
      <c r="J14" s="75"/>
      <c r="K14" s="75"/>
      <c r="L14" s="75">
        <f>[1]фев!M14+[1]янв!M14</f>
        <v>0</v>
      </c>
      <c r="M14" s="75">
        <f>[1]фев!N14+[1]янв!N14</f>
        <v>0</v>
      </c>
      <c r="N14" s="75">
        <f>[1]фев!O14+[1]янв!O14</f>
        <v>0</v>
      </c>
      <c r="O14" s="75"/>
      <c r="P14" s="75"/>
      <c r="Q14" s="75"/>
      <c r="R14" s="75"/>
      <c r="S14" s="73">
        <f t="shared" si="3"/>
        <v>0</v>
      </c>
      <c r="T14" s="83"/>
      <c r="U14" s="83"/>
      <c r="V14" s="83"/>
    </row>
    <row r="15" spans="1:22" s="80" customFormat="1">
      <c r="A15" s="74" t="s">
        <v>108</v>
      </c>
      <c r="B15" s="73">
        <v>222</v>
      </c>
      <c r="C15" s="73">
        <f t="shared" si="0"/>
        <v>443089</v>
      </c>
      <c r="D15" s="73">
        <f>D16+D17</f>
        <v>443089</v>
      </c>
      <c r="E15" s="73">
        <f t="shared" ref="E15:R15" si="5">E16+E17</f>
        <v>0</v>
      </c>
      <c r="F15" s="73">
        <f t="shared" si="5"/>
        <v>0</v>
      </c>
      <c r="G15" s="73">
        <f>G16+G17</f>
        <v>0</v>
      </c>
      <c r="H15" s="73"/>
      <c r="I15" s="73">
        <f t="shared" si="5"/>
        <v>0</v>
      </c>
      <c r="J15" s="73">
        <f t="shared" si="5"/>
        <v>0</v>
      </c>
      <c r="K15" s="73">
        <f t="shared" si="5"/>
        <v>0</v>
      </c>
      <c r="L15" s="73">
        <f t="shared" si="5"/>
        <v>1749071.88</v>
      </c>
      <c r="M15" s="73">
        <f t="shared" si="5"/>
        <v>20000</v>
      </c>
      <c r="N15" s="73">
        <f t="shared" si="5"/>
        <v>1769071.88</v>
      </c>
      <c r="O15" s="73">
        <f t="shared" si="5"/>
        <v>1517281</v>
      </c>
      <c r="P15" s="73"/>
      <c r="Q15" s="73">
        <f t="shared" si="5"/>
        <v>0</v>
      </c>
      <c r="R15" s="73">
        <f t="shared" si="5"/>
        <v>0</v>
      </c>
      <c r="S15" s="73">
        <f t="shared" si="3"/>
        <v>3729441.88</v>
      </c>
      <c r="T15" s="85">
        <f>[2]март!S13+[2]фев!S14+[2]янв!S14</f>
        <v>10900</v>
      </c>
    </row>
    <row r="16" spans="1:22">
      <c r="A16" s="42" t="s">
        <v>109</v>
      </c>
      <c r="B16" s="3">
        <v>222</v>
      </c>
      <c r="C16" s="3">
        <f t="shared" si="0"/>
        <v>0</v>
      </c>
      <c r="D16" s="75">
        <f>[1]март!D15+[1]фев!D16+[1]янв!D16</f>
        <v>0</v>
      </c>
      <c r="E16" s="75">
        <f>[1]март!E15+[1]фев!E16+[1]янв!E16</f>
        <v>0</v>
      </c>
      <c r="F16" s="75">
        <f>[1]март!F15+[1]фев!F16+[1]янв!F16</f>
        <v>0</v>
      </c>
      <c r="G16" s="75">
        <f>[1]март!G15+[1]фев!G16+[1]янв!G16</f>
        <v>0</v>
      </c>
      <c r="H16" s="75"/>
      <c r="I16" s="75">
        <f>[1]март!J15+[1]фев!J16+[1]янв!J16</f>
        <v>0</v>
      </c>
      <c r="J16" s="75">
        <f>[1]март!K15+[1]фев!K16+[1]янв!K16</f>
        <v>0</v>
      </c>
      <c r="K16" s="75">
        <f>[1]март!L15+[1]фев!L16+[1]янв!L16</f>
        <v>0</v>
      </c>
      <c r="L16" s="75">
        <f>[1]март!M15+[1]фев!M16+[1]янв!M16</f>
        <v>0</v>
      </c>
      <c r="M16" s="75">
        <f>[1]март!N15+[1]фев!N16+[1]янв!N16</f>
        <v>20000</v>
      </c>
      <c r="N16" s="75">
        <f>[1]март!O15+[1]фев!O16+[1]янв!O16</f>
        <v>20000</v>
      </c>
      <c r="O16" s="75">
        <f>[1]март!P15+[1]фев!P16+[1]янв!P16</f>
        <v>0</v>
      </c>
      <c r="P16" s="75"/>
      <c r="Q16" s="75">
        <f>[1]март!Q15+[1]фев!Q16+[1]янв!Q16</f>
        <v>0</v>
      </c>
      <c r="R16" s="75">
        <f>[1]март!R15+[1]фев!R16+[1]янв!R16</f>
        <v>0</v>
      </c>
      <c r="S16" s="70">
        <f t="shared" si="3"/>
        <v>20000</v>
      </c>
      <c r="T16" s="83"/>
      <c r="U16" s="83"/>
      <c r="V16" s="83"/>
    </row>
    <row r="17" spans="1:22">
      <c r="A17" s="42" t="s">
        <v>110</v>
      </c>
      <c r="B17" s="3">
        <v>222</v>
      </c>
      <c r="C17" s="3">
        <f t="shared" si="0"/>
        <v>443089</v>
      </c>
      <c r="D17" s="75">
        <f>[1]март!D16+[1]фев!D17+[1]янв!D17</f>
        <v>443089</v>
      </c>
      <c r="E17" s="75">
        <f>[1]март!E16+[1]фев!E17+[1]янв!E17</f>
        <v>0</v>
      </c>
      <c r="F17" s="75">
        <f>[1]март!F16+[1]фев!F17+[1]янв!F17</f>
        <v>0</v>
      </c>
      <c r="G17" s="75">
        <f>[1]март!G16+[1]фев!G17+[1]янв!G17</f>
        <v>0</v>
      </c>
      <c r="H17" s="75"/>
      <c r="I17" s="75">
        <f>[1]март!J16+[1]фев!J17+[1]янв!J17</f>
        <v>0</v>
      </c>
      <c r="J17" s="75">
        <f>[1]март!K16+[1]фев!K17+[1]янв!K17</f>
        <v>0</v>
      </c>
      <c r="K17" s="75">
        <f>[1]март!L16+[1]фев!L17+[1]янв!L17</f>
        <v>0</v>
      </c>
      <c r="L17" s="75">
        <f>[1]март!M16+[1]фев!M17+[1]янв!M17</f>
        <v>1749071.88</v>
      </c>
      <c r="M17" s="75">
        <f>[1]март!N16+[1]фев!N17+[1]янв!N17</f>
        <v>0</v>
      </c>
      <c r="N17" s="75">
        <f>[1]март!O16+[1]фев!O17+[1]янв!O17</f>
        <v>1749071.88</v>
      </c>
      <c r="O17" s="75">
        <f>[1]март!P16+[1]фев!P17+[1]янв!P17</f>
        <v>1517281</v>
      </c>
      <c r="P17" s="75"/>
      <c r="Q17" s="75">
        <f>[1]март!Q16+[1]фев!Q17+[1]янв!Q17</f>
        <v>0</v>
      </c>
      <c r="R17" s="75">
        <f>[1]март!R16+[1]фев!R17+[1]янв!R17</f>
        <v>0</v>
      </c>
      <c r="S17" s="70">
        <f t="shared" si="3"/>
        <v>3709441.88</v>
      </c>
      <c r="T17" s="83"/>
      <c r="U17" s="83"/>
      <c r="V17" s="83"/>
    </row>
    <row r="18" spans="1:22" s="80" customFormat="1">
      <c r="A18" s="74" t="s">
        <v>111</v>
      </c>
      <c r="B18" s="73">
        <v>223</v>
      </c>
      <c r="C18" s="73">
        <f t="shared" si="0"/>
        <v>203337</v>
      </c>
      <c r="D18" s="73">
        <f>SUM(D19:D21)</f>
        <v>203337</v>
      </c>
      <c r="E18" s="73">
        <f>SUM(E19:E21)</f>
        <v>0</v>
      </c>
      <c r="F18" s="73">
        <f>SUM(F19:F21)</f>
        <v>0</v>
      </c>
      <c r="G18" s="73">
        <f>SUM(G19:G21)</f>
        <v>0</v>
      </c>
      <c r="H18" s="73"/>
      <c r="I18" s="73">
        <f t="shared" ref="I18:R18" si="6">SUM(I19:I21)</f>
        <v>0</v>
      </c>
      <c r="J18" s="73">
        <f t="shared" si="6"/>
        <v>0</v>
      </c>
      <c r="K18" s="73">
        <f t="shared" si="6"/>
        <v>0</v>
      </c>
      <c r="L18" s="73">
        <f t="shared" si="6"/>
        <v>1749071.88</v>
      </c>
      <c r="M18" s="73">
        <f t="shared" si="6"/>
        <v>0</v>
      </c>
      <c r="N18" s="73">
        <f>L18+M18</f>
        <v>1749071.88</v>
      </c>
      <c r="O18" s="73">
        <f t="shared" si="6"/>
        <v>138039</v>
      </c>
      <c r="P18" s="73"/>
      <c r="Q18" s="73">
        <f t="shared" si="6"/>
        <v>0</v>
      </c>
      <c r="R18" s="73">
        <f t="shared" si="6"/>
        <v>0</v>
      </c>
      <c r="S18" s="73">
        <f t="shared" si="3"/>
        <v>2090447.88</v>
      </c>
      <c r="T18" s="81">
        <f>[2]март!S16+[2]фев!S17+[2]янв!S17</f>
        <v>2949543.2199999997</v>
      </c>
    </row>
    <row r="19" spans="1:22">
      <c r="A19" s="42" t="s">
        <v>112</v>
      </c>
      <c r="B19" s="3">
        <v>223</v>
      </c>
      <c r="C19" s="3">
        <f t="shared" si="0"/>
        <v>194967</v>
      </c>
      <c r="D19" s="75">
        <f>[1]март!D18+[1]фев!D19+[1]янв!D19</f>
        <v>194967</v>
      </c>
      <c r="E19" s="75">
        <f>[1]март!E18+[1]фев!E19+[1]янв!E19</f>
        <v>0</v>
      </c>
      <c r="F19" s="75">
        <f>[1]март!F18+[1]фев!F19+[1]янв!F19</f>
        <v>0</v>
      </c>
      <c r="G19" s="75">
        <f>[1]март!G18+[1]фев!G19+[1]янв!G19</f>
        <v>0</v>
      </c>
      <c r="H19" s="75"/>
      <c r="I19" s="75">
        <f>[1]март!J18+[1]фев!J19+[1]янв!J19</f>
        <v>0</v>
      </c>
      <c r="J19" s="75">
        <f>[1]март!K18+[1]фев!K19+[1]янв!K19</f>
        <v>0</v>
      </c>
      <c r="K19" s="75">
        <f>[1]март!L18+[1]фев!L19+[1]янв!L19</f>
        <v>0</v>
      </c>
      <c r="L19" s="75">
        <f>[1]март!M18+[1]фев!M19+[1]янв!M19</f>
        <v>1489084.88</v>
      </c>
      <c r="M19" s="75">
        <f>[1]март!N18+[1]фев!N19+[1]янв!N19</f>
        <v>0</v>
      </c>
      <c r="N19" s="75">
        <f>[1]март!O18+[1]фев!O19+[1]янв!O19</f>
        <v>1489084.88</v>
      </c>
      <c r="O19" s="75">
        <f>[1]март!P18+[1]фев!P19+[1]янв!P19</f>
        <v>121211</v>
      </c>
      <c r="P19" s="75"/>
      <c r="Q19" s="75">
        <f>[1]март!Q18+[1]фев!Q19+[1]янв!Q19</f>
        <v>0</v>
      </c>
      <c r="R19" s="75">
        <f>[1]март!R18+[1]фев!R19+[1]янв!R19</f>
        <v>0</v>
      </c>
      <c r="S19" s="70">
        <f t="shared" si="3"/>
        <v>1805262.88</v>
      </c>
      <c r="T19" s="83"/>
      <c r="U19" s="83"/>
      <c r="V19" s="83"/>
    </row>
    <row r="20" spans="1:22">
      <c r="A20" s="42" t="s">
        <v>113</v>
      </c>
      <c r="B20" s="3">
        <v>223</v>
      </c>
      <c r="C20" s="3">
        <f t="shared" si="0"/>
        <v>8370</v>
      </c>
      <c r="D20" s="75">
        <f>[1]март!D19+[1]фев!D20+[1]янв!D20</f>
        <v>8370</v>
      </c>
      <c r="E20" s="75">
        <f>[1]март!E19+[1]фев!E20+[1]янв!E20</f>
        <v>0</v>
      </c>
      <c r="F20" s="75">
        <f>[1]март!F19+[1]фев!F20+[1]янв!F20</f>
        <v>0</v>
      </c>
      <c r="G20" s="75">
        <f>[1]март!G19+[1]фев!G20+[1]янв!G20</f>
        <v>0</v>
      </c>
      <c r="H20" s="75"/>
      <c r="I20" s="75">
        <f>[1]март!J19+[1]фев!J20+[1]янв!J20</f>
        <v>0</v>
      </c>
      <c r="J20" s="75">
        <f>[1]март!K19+[1]фев!K20+[1]янв!K20</f>
        <v>0</v>
      </c>
      <c r="K20" s="75">
        <f>[1]март!L19+[1]фев!L20+[1]янв!L20</f>
        <v>0</v>
      </c>
      <c r="L20" s="75">
        <f>[1]март!M19+[1]фев!M20+[1]янв!M20</f>
        <v>259987</v>
      </c>
      <c r="M20" s="75">
        <f>[1]март!N19+[1]фев!N20+[1]янв!N20</f>
        <v>0</v>
      </c>
      <c r="N20" s="75">
        <f>[1]март!O19+[1]фев!O20+[1]янв!O20</f>
        <v>259987</v>
      </c>
      <c r="O20" s="75">
        <f>[1]март!P19+[1]фев!P20+[1]янв!P20</f>
        <v>16828</v>
      </c>
      <c r="P20" s="75"/>
      <c r="Q20" s="75">
        <f>[1]март!Q19+[1]фев!Q20+[1]янв!Q20</f>
        <v>0</v>
      </c>
      <c r="R20" s="75">
        <f>[1]март!R19+[1]фев!R20+[1]янв!R20</f>
        <v>0</v>
      </c>
      <c r="S20" s="70">
        <f t="shared" si="3"/>
        <v>285185</v>
      </c>
      <c r="T20" s="83"/>
      <c r="U20" s="83"/>
      <c r="V20" s="83"/>
    </row>
    <row r="21" spans="1:22">
      <c r="A21" s="14" t="s">
        <v>114</v>
      </c>
      <c r="B21" s="3">
        <v>223</v>
      </c>
      <c r="C21" s="3">
        <f t="shared" si="0"/>
        <v>0</v>
      </c>
      <c r="D21" s="75">
        <f>[1]март!D20+[1]фев!D21+[1]янв!D21</f>
        <v>0</v>
      </c>
      <c r="E21" s="75">
        <f>[1]март!E20+[1]фев!E21+[1]янв!E21</f>
        <v>0</v>
      </c>
      <c r="F21" s="75">
        <f>[1]март!F20+[1]фев!F21+[1]янв!F21</f>
        <v>0</v>
      </c>
      <c r="G21" s="75">
        <f>[1]март!G20+[1]фев!G21+[1]янв!G21</f>
        <v>0</v>
      </c>
      <c r="H21" s="75"/>
      <c r="I21" s="75">
        <f>[1]март!J20+[1]фев!J21+[1]янв!J21</f>
        <v>0</v>
      </c>
      <c r="J21" s="75">
        <f>[1]март!K20+[1]фев!K21+[1]янв!K21</f>
        <v>0</v>
      </c>
      <c r="K21" s="75">
        <f>[1]март!L20+[1]фев!L21+[1]янв!L21</f>
        <v>0</v>
      </c>
      <c r="L21" s="75">
        <f>[1]март!M20+[1]фев!M21+[1]янв!M21</f>
        <v>0</v>
      </c>
      <c r="M21" s="75">
        <f>[1]март!N20+[1]фев!N21+[1]янв!N21</f>
        <v>0</v>
      </c>
      <c r="N21" s="75">
        <f>[1]март!O20+[1]фев!O21+[1]янв!O21</f>
        <v>0</v>
      </c>
      <c r="O21" s="75">
        <f>[1]март!P20+[1]фев!P21+[1]янв!P21</f>
        <v>0</v>
      </c>
      <c r="P21" s="75"/>
      <c r="Q21" s="75">
        <f>[1]март!Q20+[1]фев!Q21+[1]янв!Q21</f>
        <v>0</v>
      </c>
      <c r="R21" s="75">
        <f>[1]март!R20+[1]фев!R21+[1]янв!R21</f>
        <v>0</v>
      </c>
      <c r="S21" s="70">
        <f t="shared" si="3"/>
        <v>0</v>
      </c>
      <c r="T21" s="83"/>
      <c r="U21" s="83"/>
      <c r="V21" s="83"/>
    </row>
    <row r="22" spans="1:22" hidden="1">
      <c r="A22" s="44" t="s">
        <v>168</v>
      </c>
      <c r="B22" s="3">
        <v>224</v>
      </c>
      <c r="C22" s="3">
        <f t="shared" si="0"/>
        <v>1896</v>
      </c>
      <c r="D22" s="75">
        <f>[1]март!D21+[1]фев!D22+[1]янв!D22</f>
        <v>1896</v>
      </c>
      <c r="E22" s="75">
        <f>[1]март!E21+[1]фев!E22+[1]янв!E22</f>
        <v>0</v>
      </c>
      <c r="F22" s="75">
        <f>[1]март!F21+[1]фев!F22+[1]янв!F22</f>
        <v>0</v>
      </c>
      <c r="G22" s="75">
        <f>[1]март!G21+[1]фев!G22+[1]янв!G22</f>
        <v>700</v>
      </c>
      <c r="H22" s="75"/>
      <c r="I22" s="75">
        <f>[1]март!J21+[1]фев!J22+[1]янв!J22</f>
        <v>0</v>
      </c>
      <c r="J22" s="75">
        <f>[1]март!K21+[1]фев!K22+[1]янв!K22</f>
        <v>1200</v>
      </c>
      <c r="K22" s="75">
        <f>[1]март!L21+[1]фев!L22+[1]янв!L22</f>
        <v>0</v>
      </c>
      <c r="L22" s="75">
        <f>[1]март!M21+[1]фев!M22+[1]янв!M22</f>
        <v>151839</v>
      </c>
      <c r="M22" s="75">
        <f>[1]март!N21+[1]фев!N22+[1]янв!N22</f>
        <v>0</v>
      </c>
      <c r="N22" s="75">
        <f>[1]март!O21+[1]фев!O22+[1]янв!O22</f>
        <v>151839</v>
      </c>
      <c r="O22" s="75">
        <f>[1]март!P21+[1]фев!P22+[1]янв!P22</f>
        <v>11415</v>
      </c>
      <c r="P22" s="75"/>
      <c r="Q22" s="75">
        <f>[1]март!Q21+[1]фев!Q22+[1]янв!Q22</f>
        <v>0</v>
      </c>
      <c r="R22" s="75">
        <f>[1]март!R21+[1]фев!R22+[1]янв!R22</f>
        <v>3600</v>
      </c>
      <c r="S22" s="73">
        <f t="shared" si="3"/>
        <v>170650</v>
      </c>
      <c r="T22" s="83"/>
      <c r="U22" s="83"/>
      <c r="V22" s="83"/>
    </row>
    <row r="23" spans="1:22" s="80" customFormat="1">
      <c r="A23" s="76" t="s">
        <v>115</v>
      </c>
      <c r="B23" s="73">
        <v>225</v>
      </c>
      <c r="C23" s="73">
        <f t="shared" si="0"/>
        <v>254418.5</v>
      </c>
      <c r="D23" s="73">
        <f>SUM(D24:D33)</f>
        <v>254418.5</v>
      </c>
      <c r="E23" s="73">
        <f t="shared" ref="E23:R23" si="7">SUM(E24:E33)</f>
        <v>0</v>
      </c>
      <c r="F23" s="73">
        <f t="shared" si="7"/>
        <v>0</v>
      </c>
      <c r="G23" s="73">
        <f t="shared" si="7"/>
        <v>52093.89</v>
      </c>
      <c r="H23" s="73">
        <f t="shared" si="7"/>
        <v>0</v>
      </c>
      <c r="I23" s="73">
        <f t="shared" si="7"/>
        <v>0</v>
      </c>
      <c r="J23" s="73">
        <f t="shared" si="7"/>
        <v>74546</v>
      </c>
      <c r="K23" s="73">
        <f t="shared" si="7"/>
        <v>84000</v>
      </c>
      <c r="L23" s="73">
        <f t="shared" si="7"/>
        <v>399133.89</v>
      </c>
      <c r="M23" s="73">
        <f t="shared" si="7"/>
        <v>21310</v>
      </c>
      <c r="N23" s="73">
        <f t="shared" si="7"/>
        <v>420443.89</v>
      </c>
      <c r="O23" s="73">
        <f t="shared" si="7"/>
        <v>7840</v>
      </c>
      <c r="P23" s="73"/>
      <c r="Q23" s="73">
        <f t="shared" si="7"/>
        <v>0</v>
      </c>
      <c r="R23" s="73">
        <f t="shared" si="7"/>
        <v>118013</v>
      </c>
      <c r="S23" s="73">
        <f>C23+F23+G23+I23+J23+K23+N23+O23++R23+Q23+H23</f>
        <v>1011355.28</v>
      </c>
      <c r="T23" s="80">
        <f>[2]март!S21+[2]фев!S22+[2]янв!S22</f>
        <v>159672.85999999999</v>
      </c>
      <c r="U23" s="80">
        <f>T23-S145</f>
        <v>400</v>
      </c>
    </row>
    <row r="24" spans="1:22" hidden="1">
      <c r="A24" s="44" t="s">
        <v>116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70">
        <f t="shared" si="3"/>
        <v>9140</v>
      </c>
    </row>
    <row r="25" spans="1:22" ht="12" customHeight="1">
      <c r="A25" s="44" t="s">
        <v>117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70">
        <f t="shared" si="3"/>
        <v>700</v>
      </c>
    </row>
    <row r="26" spans="1:22">
      <c r="A26" s="198" t="s">
        <v>276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70">
        <f t="shared" si="3"/>
        <v>0</v>
      </c>
    </row>
    <row r="27" spans="1:22" hidden="1">
      <c r="A27" s="198" t="s">
        <v>291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70">
        <f t="shared" si="3"/>
        <v>0</v>
      </c>
    </row>
    <row r="28" spans="1:22" hidden="1">
      <c r="A28" s="64" t="s">
        <v>172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70">
        <f t="shared" si="3"/>
        <v>0</v>
      </c>
    </row>
    <row r="29" spans="1:22">
      <c r="A29" s="44" t="s">
        <v>276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70">
        <f t="shared" si="3"/>
        <v>0</v>
      </c>
    </row>
    <row r="30" spans="1:22" ht="15">
      <c r="A30" s="65" t="s">
        <v>392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70">
        <f t="shared" si="3"/>
        <v>53600</v>
      </c>
    </row>
    <row r="31" spans="1:22" ht="14.25" customHeight="1">
      <c r="A31" s="42" t="s">
        <v>277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70">
        <f>C31+F31+G31+I31+J31+K31+N31+O31++R31+Q31+H31</f>
        <v>1200</v>
      </c>
    </row>
    <row r="32" spans="1:22" ht="13.5" hidden="1" customHeight="1">
      <c r="A32" s="198" t="s">
        <v>393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70">
        <f t="shared" si="3"/>
        <v>0</v>
      </c>
    </row>
    <row r="33" spans="1:21">
      <c r="A33" s="44" t="s">
        <v>230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70">
        <f>C33+F33+G33+I33+J33+K33+N33+O33++R33+Q33+H33</f>
        <v>946715.28</v>
      </c>
    </row>
    <row r="34" spans="1:21" s="80" customFormat="1">
      <c r="A34" s="74" t="s">
        <v>118</v>
      </c>
      <c r="B34" s="73">
        <v>226</v>
      </c>
      <c r="C34" s="73">
        <f t="shared" si="0"/>
        <v>118676</v>
      </c>
      <c r="D34" s="73">
        <f>SUM(D35:D70)</f>
        <v>118676</v>
      </c>
      <c r="E34" s="73">
        <f t="shared" ref="E34:R34" si="8">SUM(E35:E70)</f>
        <v>0</v>
      </c>
      <c r="F34" s="73">
        <f t="shared" si="8"/>
        <v>0</v>
      </c>
      <c r="G34" s="73">
        <f t="shared" si="8"/>
        <v>0</v>
      </c>
      <c r="H34" s="73">
        <f t="shared" si="8"/>
        <v>0</v>
      </c>
      <c r="I34" s="73">
        <f t="shared" si="8"/>
        <v>0</v>
      </c>
      <c r="J34" s="73">
        <f>SUM(J35:J70)</f>
        <v>14900</v>
      </c>
      <c r="K34" s="73">
        <f t="shared" si="8"/>
        <v>84000</v>
      </c>
      <c r="L34" s="73">
        <f t="shared" si="8"/>
        <v>316480</v>
      </c>
      <c r="M34" s="73">
        <f t="shared" si="8"/>
        <v>11310</v>
      </c>
      <c r="N34" s="73">
        <f t="shared" si="8"/>
        <v>327790</v>
      </c>
      <c r="O34" s="73">
        <f t="shared" si="8"/>
        <v>0</v>
      </c>
      <c r="P34" s="73"/>
      <c r="Q34" s="73">
        <f t="shared" si="8"/>
        <v>0</v>
      </c>
      <c r="R34" s="73">
        <f t="shared" si="8"/>
        <v>51847</v>
      </c>
      <c r="S34" s="73">
        <f>C34+F34+G34+I34+J34+K34+N34+O34++R34+Q34+H34</f>
        <v>597213</v>
      </c>
      <c r="T34" s="85">
        <f>[2]март!S29+[2]фев!S31+[2]янв!S30</f>
        <v>996288.31</v>
      </c>
      <c r="U34" s="81">
        <f>T34-S156</f>
        <v>3056.7199999999721</v>
      </c>
    </row>
    <row r="35" spans="1:21" ht="14.25" customHeight="1">
      <c r="A35" s="42" t="s">
        <v>119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70">
        <f t="shared" si="3"/>
        <v>127345</v>
      </c>
    </row>
    <row r="36" spans="1:21">
      <c r="A36" s="42" t="s">
        <v>169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70">
        <f t="shared" si="3"/>
        <v>0</v>
      </c>
    </row>
    <row r="37" spans="1:21" hidden="1">
      <c r="A37" s="42" t="s">
        <v>278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70">
        <f t="shared" si="3"/>
        <v>34500</v>
      </c>
    </row>
    <row r="38" spans="1:21" hidden="1">
      <c r="A38" s="42" t="s">
        <v>279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70">
        <f t="shared" si="3"/>
        <v>0</v>
      </c>
    </row>
    <row r="39" spans="1:21" hidden="1">
      <c r="A39" s="42" t="s">
        <v>120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70">
        <f t="shared" si="3"/>
        <v>0</v>
      </c>
    </row>
    <row r="40" spans="1:21" hidden="1">
      <c r="A40" s="42" t="s">
        <v>121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70">
        <f t="shared" si="3"/>
        <v>14000</v>
      </c>
    </row>
    <row r="41" spans="1:21">
      <c r="A41" s="42" t="s">
        <v>231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70">
        <f t="shared" si="3"/>
        <v>0</v>
      </c>
    </row>
    <row r="42" spans="1:21" hidden="1">
      <c r="A42" s="197" t="s">
        <v>292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70">
        <f t="shared" si="3"/>
        <v>0</v>
      </c>
    </row>
    <row r="43" spans="1:21">
      <c r="A43" s="197" t="s">
        <v>413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70">
        <f t="shared" si="3"/>
        <v>323368</v>
      </c>
    </row>
    <row r="44" spans="1:21">
      <c r="A44" s="42" t="s">
        <v>123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70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414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70">
        <f t="shared" si="3"/>
        <v>0</v>
      </c>
    </row>
    <row r="46" spans="1:21">
      <c r="A46" s="42" t="s">
        <v>122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70">
        <f t="shared" si="3"/>
        <v>0</v>
      </c>
    </row>
    <row r="47" spans="1:21" hidden="1">
      <c r="A47" s="197" t="s">
        <v>394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70">
        <f t="shared" si="3"/>
        <v>0</v>
      </c>
    </row>
    <row r="48" spans="1:21">
      <c r="A48" s="42" t="s">
        <v>395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70">
        <f t="shared" si="3"/>
        <v>900</v>
      </c>
    </row>
    <row r="49" spans="1:19" hidden="1">
      <c r="A49" s="197" t="s">
        <v>293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70">
        <f t="shared" si="3"/>
        <v>0</v>
      </c>
    </row>
    <row r="50" spans="1:19">
      <c r="A50" s="42" t="s">
        <v>124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70">
        <f t="shared" si="3"/>
        <v>84000</v>
      </c>
    </row>
    <row r="51" spans="1:19" hidden="1">
      <c r="A51" s="42" t="s">
        <v>280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70">
        <f t="shared" si="3"/>
        <v>0</v>
      </c>
    </row>
    <row r="52" spans="1:19" hidden="1">
      <c r="A52" s="42" t="s">
        <v>281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70">
        <f t="shared" si="3"/>
        <v>0</v>
      </c>
    </row>
    <row r="53" spans="1:19" hidden="1">
      <c r="A53" s="42" t="s">
        <v>170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70">
        <f t="shared" si="3"/>
        <v>0</v>
      </c>
    </row>
    <row r="54" spans="1:19" hidden="1">
      <c r="A54" s="42" t="s">
        <v>232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70">
        <f t="shared" si="3"/>
        <v>0</v>
      </c>
    </row>
    <row r="55" spans="1:19" hidden="1">
      <c r="A55" s="42" t="s">
        <v>125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70">
        <f t="shared" si="3"/>
        <v>0</v>
      </c>
    </row>
    <row r="56" spans="1:19" hidden="1">
      <c r="A56" s="42" t="s">
        <v>492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70">
        <f t="shared" si="3"/>
        <v>0</v>
      </c>
    </row>
    <row r="57" spans="1:19" hidden="1">
      <c r="A57" s="42" t="s">
        <v>172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70">
        <f t="shared" si="3"/>
        <v>0</v>
      </c>
    </row>
    <row r="58" spans="1:19" hidden="1">
      <c r="A58" s="42" t="s">
        <v>126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70">
        <f t="shared" si="3"/>
        <v>0</v>
      </c>
    </row>
    <row r="59" spans="1:19" hidden="1">
      <c r="A59" s="197" t="s">
        <v>396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70">
        <f t="shared" si="3"/>
        <v>0</v>
      </c>
    </row>
    <row r="60" spans="1:19" hidden="1">
      <c r="A60" s="42" t="s">
        <v>173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70">
        <f t="shared" si="3"/>
        <v>0</v>
      </c>
    </row>
    <row r="61" spans="1:19" hidden="1">
      <c r="A61" s="42" t="s">
        <v>233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70">
        <f t="shared" si="3"/>
        <v>0</v>
      </c>
    </row>
    <row r="62" spans="1:19">
      <c r="A62" s="197" t="s">
        <v>397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70">
        <f t="shared" si="3"/>
        <v>0</v>
      </c>
    </row>
    <row r="63" spans="1:19" hidden="1">
      <c r="A63" s="197" t="s">
        <v>294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70">
        <f t="shared" si="3"/>
        <v>0</v>
      </c>
    </row>
    <row r="64" spans="1:19" hidden="1">
      <c r="A64" s="42" t="s">
        <v>234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70">
        <f t="shared" si="3"/>
        <v>0</v>
      </c>
    </row>
    <row r="65" spans="1:20">
      <c r="A65" s="42" t="s">
        <v>282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70">
        <f t="shared" si="3"/>
        <v>0</v>
      </c>
    </row>
    <row r="66" spans="1:20" hidden="1">
      <c r="A66" s="42" t="s">
        <v>235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70">
        <f t="shared" si="3"/>
        <v>0</v>
      </c>
    </row>
    <row r="67" spans="1:20" hidden="1">
      <c r="A67" s="14" t="s">
        <v>252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70">
        <f t="shared" si="3"/>
        <v>0</v>
      </c>
    </row>
    <row r="68" spans="1:20" hidden="1">
      <c r="A68" s="42" t="s">
        <v>236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70">
        <f t="shared" si="3"/>
        <v>0</v>
      </c>
    </row>
    <row r="69" spans="1:20" hidden="1">
      <c r="A69" s="199" t="s">
        <v>295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73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70">
        <f>C70+F70+G70+I70+J70+K70+N70+O70++R70+Q70</f>
        <v>13100</v>
      </c>
    </row>
    <row r="71" spans="1:20" s="80" customFormat="1">
      <c r="A71" s="74" t="s">
        <v>127</v>
      </c>
      <c r="B71" s="73">
        <v>241</v>
      </c>
      <c r="C71" s="70">
        <f t="shared" si="0"/>
        <v>0</v>
      </c>
      <c r="D71" s="73">
        <f>D72+D74+D75</f>
        <v>0</v>
      </c>
      <c r="E71" s="73">
        <f>E72+E74+E75</f>
        <v>0</v>
      </c>
      <c r="F71" s="73">
        <f>F72+F74+F75</f>
        <v>0</v>
      </c>
      <c r="G71" s="73">
        <f>G72+G74+G75+G73</f>
        <v>0</v>
      </c>
      <c r="H71" s="73"/>
      <c r="I71" s="73">
        <f>I72+I74+I75</f>
        <v>0</v>
      </c>
      <c r="J71" s="73">
        <f>J72+J74+J75</f>
        <v>0</v>
      </c>
      <c r="K71" s="73">
        <f>K72+K74+K75+K77</f>
        <v>61850</v>
      </c>
      <c r="L71" s="73">
        <f>L72+L74+L75</f>
        <v>0</v>
      </c>
      <c r="M71" s="73">
        <f>M72+M74+M75</f>
        <v>0</v>
      </c>
      <c r="N71" s="73">
        <f>L71+M71</f>
        <v>0</v>
      </c>
      <c r="O71" s="73">
        <f>O77</f>
        <v>0</v>
      </c>
      <c r="P71" s="73"/>
      <c r="Q71" s="73">
        <f>Q72+Q74+Q75</f>
        <v>0</v>
      </c>
      <c r="R71" s="73">
        <f>R72+R74+R75</f>
        <v>0</v>
      </c>
      <c r="S71" s="73">
        <f t="shared" si="3"/>
        <v>61850</v>
      </c>
    </row>
    <row r="72" spans="1:20" hidden="1">
      <c r="A72" s="42" t="s">
        <v>128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73">
        <f t="shared" ref="S72:S97" si="9">C72+F72+G72+I72+J72+K72+N72+O72++R72+Q72</f>
        <v>0</v>
      </c>
    </row>
    <row r="73" spans="1:20" hidden="1">
      <c r="A73" s="42" t="s">
        <v>174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73">
        <f t="shared" si="9"/>
        <v>0</v>
      </c>
    </row>
    <row r="74" spans="1:20">
      <c r="A74" s="42" t="s">
        <v>129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70">
        <f t="shared" si="9"/>
        <v>61850</v>
      </c>
    </row>
    <row r="75" spans="1:20" ht="15.75" customHeight="1">
      <c r="A75" s="42" t="s">
        <v>117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73">
        <f t="shared" si="9"/>
        <v>0</v>
      </c>
    </row>
    <row r="76" spans="1:20">
      <c r="A76" s="45" t="s">
        <v>415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73">
        <f t="shared" si="9"/>
        <v>0</v>
      </c>
    </row>
    <row r="77" spans="1:20" ht="15.75" hidden="1" customHeight="1">
      <c r="A77" s="45" t="s">
        <v>130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73">
        <f t="shared" si="9"/>
        <v>0</v>
      </c>
    </row>
    <row r="78" spans="1:20" hidden="1">
      <c r="A78" s="7" t="s">
        <v>132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73" t="e">
        <f t="shared" si="9"/>
        <v>#REF!</v>
      </c>
    </row>
    <row r="79" spans="1:20" hidden="1">
      <c r="A79" s="7" t="s">
        <v>133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73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134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73">
        <f t="shared" si="9"/>
        <v>0</v>
      </c>
    </row>
    <row r="81" spans="1:21" hidden="1">
      <c r="A81" s="7" t="s">
        <v>283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70">
        <f t="shared" si="9"/>
        <v>0</v>
      </c>
    </row>
    <row r="82" spans="1:21" hidden="1">
      <c r="A82" s="44" t="s">
        <v>284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70">
        <f t="shared" si="9"/>
        <v>0</v>
      </c>
    </row>
    <row r="83" spans="1:21" hidden="1">
      <c r="A83" s="44" t="s">
        <v>135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73">
        <f t="shared" si="9"/>
        <v>533537.33000000007</v>
      </c>
    </row>
    <row r="84" spans="1:21" s="80" customFormat="1">
      <c r="A84" s="74" t="s">
        <v>67</v>
      </c>
      <c r="B84" s="73">
        <v>290</v>
      </c>
      <c r="C84" s="73">
        <f t="shared" si="0"/>
        <v>9850</v>
      </c>
      <c r="D84" s="73">
        <f>SUM(D85:D95)</f>
        <v>9850</v>
      </c>
      <c r="E84" s="73">
        <f t="shared" ref="E84:R84" si="11">SUM(E85:E95)</f>
        <v>0</v>
      </c>
      <c r="F84" s="73">
        <f t="shared" si="11"/>
        <v>0</v>
      </c>
      <c r="G84" s="73">
        <f t="shared" si="11"/>
        <v>0</v>
      </c>
      <c r="H84" s="73"/>
      <c r="I84" s="73">
        <f t="shared" si="11"/>
        <v>0</v>
      </c>
      <c r="J84" s="73">
        <f t="shared" si="11"/>
        <v>2962</v>
      </c>
      <c r="K84" s="73">
        <f t="shared" si="11"/>
        <v>0</v>
      </c>
      <c r="L84" s="73">
        <f>SUM(L85:L95)</f>
        <v>119000</v>
      </c>
      <c r="M84" s="73">
        <f t="shared" si="11"/>
        <v>0</v>
      </c>
      <c r="N84" s="73">
        <f t="shared" si="11"/>
        <v>119000</v>
      </c>
      <c r="O84" s="73">
        <f t="shared" si="11"/>
        <v>47200</v>
      </c>
      <c r="P84" s="73"/>
      <c r="Q84" s="73">
        <f t="shared" si="11"/>
        <v>52232</v>
      </c>
      <c r="R84" s="73">
        <f t="shared" si="11"/>
        <v>0</v>
      </c>
      <c r="S84" s="73">
        <f t="shared" si="9"/>
        <v>231244</v>
      </c>
      <c r="T84" s="80">
        <f>[2]март!S91+[2]фев!S92+[2]янв!S88</f>
        <v>523926</v>
      </c>
      <c r="U84" s="80">
        <f>T84-S206</f>
        <v>34000</v>
      </c>
    </row>
    <row r="85" spans="1:21">
      <c r="A85" s="42" t="s">
        <v>136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70">
        <f t="shared" si="9"/>
        <v>18244</v>
      </c>
    </row>
    <row r="86" spans="1:21">
      <c r="A86" s="42" t="s">
        <v>137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70">
        <f t="shared" si="9"/>
        <v>0</v>
      </c>
    </row>
    <row r="87" spans="1:21">
      <c r="A87" s="42" t="s">
        <v>138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70">
        <f t="shared" si="9"/>
        <v>0</v>
      </c>
    </row>
    <row r="88" spans="1:21">
      <c r="A88" s="42" t="s">
        <v>285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70">
        <f t="shared" si="9"/>
        <v>0</v>
      </c>
    </row>
    <row r="89" spans="1:21" hidden="1">
      <c r="A89" s="42" t="s">
        <v>253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70">
        <f t="shared" si="9"/>
        <v>0</v>
      </c>
    </row>
    <row r="90" spans="1:21" hidden="1">
      <c r="A90" s="42" t="s">
        <v>237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70">
        <f t="shared" si="9"/>
        <v>0</v>
      </c>
    </row>
    <row r="91" spans="1:21" hidden="1">
      <c r="A91" s="42" t="s">
        <v>241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70">
        <f t="shared" si="9"/>
        <v>0</v>
      </c>
    </row>
    <row r="92" spans="1:21" ht="13.5" hidden="1" customHeight="1">
      <c r="A92" s="42" t="s">
        <v>254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70">
        <f t="shared" si="9"/>
        <v>0</v>
      </c>
    </row>
    <row r="93" spans="1:21" hidden="1">
      <c r="A93" s="42" t="s">
        <v>139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70">
        <f t="shared" si="9"/>
        <v>0</v>
      </c>
    </row>
    <row r="94" spans="1:21">
      <c r="A94" s="42" t="s">
        <v>140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70">
        <f t="shared" si="9"/>
        <v>0</v>
      </c>
    </row>
    <row r="95" spans="1:21">
      <c r="A95" s="42" t="s">
        <v>416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70">
        <f>C95+F95+G95+I95+J95+K95+N95+O95++R95+Q95</f>
        <v>213000</v>
      </c>
    </row>
    <row r="96" spans="1:21" hidden="1">
      <c r="A96" s="67" t="s">
        <v>296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70">
        <f t="shared" si="9"/>
        <v>0</v>
      </c>
    </row>
    <row r="97" spans="1:21">
      <c r="A97" s="41" t="s">
        <v>493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70">
        <f t="shared" si="9"/>
        <v>17200</v>
      </c>
    </row>
    <row r="98" spans="1:21" hidden="1">
      <c r="A98" s="41" t="s">
        <v>238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70">
        <f>C98+F98+G98+I98+J98+K98+N98+O98++R98+Q98+H98</f>
        <v>0</v>
      </c>
    </row>
    <row r="99" spans="1:21">
      <c r="A99" s="42" t="s">
        <v>175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70">
        <f>C99+F99+G99+I99+J99+K99+N99+O99++R99+Q99</f>
        <v>0</v>
      </c>
    </row>
    <row r="100" spans="1:21">
      <c r="A100" s="67" t="s">
        <v>398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73">
        <f>C100+F100+G100+I100+J100+K100+N100+O100++R100+Q100</f>
        <v>684052</v>
      </c>
    </row>
    <row r="101" spans="1:21" s="80" customFormat="1" ht="14.25" customHeight="1">
      <c r="A101" s="74" t="s">
        <v>141</v>
      </c>
      <c r="B101" s="73">
        <v>340</v>
      </c>
      <c r="C101" s="73">
        <f t="shared" si="0"/>
        <v>211755</v>
      </c>
      <c r="D101" s="73">
        <f>SUM(D102:D116)</f>
        <v>211755</v>
      </c>
      <c r="E101" s="73">
        <f>SUM(E102:E116)</f>
        <v>0</v>
      </c>
      <c r="F101" s="73">
        <f>SUM(F102:F116)</f>
        <v>0</v>
      </c>
      <c r="G101" s="73">
        <f t="shared" ref="G101:Q101" si="12">SUM(G102:G116)</f>
        <v>19426</v>
      </c>
      <c r="H101" s="73">
        <f t="shared" si="12"/>
        <v>0</v>
      </c>
      <c r="I101" s="73">
        <f t="shared" si="12"/>
        <v>0</v>
      </c>
      <c r="J101" s="73">
        <f>SUM(J102:J116)</f>
        <v>7000</v>
      </c>
      <c r="K101" s="73">
        <f t="shared" si="12"/>
        <v>0</v>
      </c>
      <c r="L101" s="73">
        <f>SUM(L102:L116)</f>
        <v>411599</v>
      </c>
      <c r="M101" s="73">
        <f t="shared" si="12"/>
        <v>0</v>
      </c>
      <c r="N101" s="73">
        <f>L101+M101</f>
        <v>411599</v>
      </c>
      <c r="O101" s="73">
        <f t="shared" si="12"/>
        <v>0</v>
      </c>
      <c r="P101" s="73"/>
      <c r="Q101" s="73">
        <f t="shared" si="12"/>
        <v>0</v>
      </c>
      <c r="R101" s="73">
        <f>SUM(R102:R116)</f>
        <v>10800</v>
      </c>
      <c r="S101" s="73">
        <f>C101+F101+G101+I101+J101+K101+N101+O101++R101+Q101+H101</f>
        <v>660580</v>
      </c>
      <c r="T101" s="80">
        <f>[2]март!S106+[2]фев!S109+[2]янв!S102</f>
        <v>734610</v>
      </c>
      <c r="U101" s="80">
        <f>T101-S223</f>
        <v>0</v>
      </c>
    </row>
    <row r="102" spans="1:21">
      <c r="A102" s="42" t="s">
        <v>142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70">
        <f t="shared" ref="S102:S107" si="13">C102+F102+G102+I102+J102+K102+N102+O102++R102+Q102</f>
        <v>260000</v>
      </c>
    </row>
    <row r="103" spans="1:21">
      <c r="A103" s="42" t="s">
        <v>143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70">
        <f t="shared" si="13"/>
        <v>41500</v>
      </c>
    </row>
    <row r="104" spans="1:21">
      <c r="A104" s="42" t="s">
        <v>144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70">
        <f t="shared" si="13"/>
        <v>93000</v>
      </c>
    </row>
    <row r="105" spans="1:21">
      <c r="A105" s="42" t="s">
        <v>145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70">
        <f t="shared" si="13"/>
        <v>5140</v>
      </c>
    </row>
    <row r="106" spans="1:21">
      <c r="A106" s="42" t="s">
        <v>298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70">
        <f t="shared" si="13"/>
        <v>16361</v>
      </c>
    </row>
    <row r="107" spans="1:21">
      <c r="A107" s="42" t="s">
        <v>146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70">
        <f t="shared" si="13"/>
        <v>0</v>
      </c>
    </row>
    <row r="108" spans="1:21" hidden="1">
      <c r="A108" s="42" t="s">
        <v>286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70">
        <f t="shared" ref="S108:S117" si="15">C108+F108+G108+I108+J108+K108+N108+O108++R108+Q108+H108</f>
        <v>234579</v>
      </c>
    </row>
    <row r="109" spans="1:21">
      <c r="A109" s="42" t="s">
        <v>147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70">
        <f t="shared" si="15"/>
        <v>0</v>
      </c>
    </row>
    <row r="110" spans="1:21">
      <c r="A110" s="42" t="s">
        <v>148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70">
        <f t="shared" si="15"/>
        <v>0</v>
      </c>
    </row>
    <row r="111" spans="1:21" hidden="1">
      <c r="A111" s="42" t="s">
        <v>175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70">
        <f t="shared" si="15"/>
        <v>0</v>
      </c>
    </row>
    <row r="112" spans="1:21" hidden="1">
      <c r="A112" s="197" t="s">
        <v>399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70">
        <f t="shared" si="15"/>
        <v>0</v>
      </c>
    </row>
    <row r="113" spans="1:21" hidden="1">
      <c r="A113" s="197" t="s">
        <v>494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70">
        <f t="shared" si="15"/>
        <v>0</v>
      </c>
    </row>
    <row r="114" spans="1:21">
      <c r="A114" s="42" t="s">
        <v>149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70">
        <f t="shared" si="15"/>
        <v>0</v>
      </c>
    </row>
    <row r="115" spans="1:21" hidden="1">
      <c r="A115" s="42" t="s">
        <v>176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73">
        <f t="shared" si="15"/>
        <v>0</v>
      </c>
    </row>
    <row r="116" spans="1:21" hidden="1">
      <c r="A116" s="42" t="s">
        <v>150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73">
        <f t="shared" si="15"/>
        <v>0</v>
      </c>
    </row>
    <row r="117" spans="1:21" hidden="1">
      <c r="A117" s="42" t="s">
        <v>151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73">
        <f t="shared" si="15"/>
        <v>0</v>
      </c>
    </row>
    <row r="118" spans="1:21" s="80" customFormat="1">
      <c r="A118" s="77" t="s">
        <v>152</v>
      </c>
      <c r="B118" s="77"/>
      <c r="C118" s="78">
        <f t="shared" ref="C118:O118" si="16">C5+C100+C101+C99+C98+C97+C96</f>
        <v>2284568.31</v>
      </c>
      <c r="D118" s="78">
        <f>D5+D100+D101+D99+D98+D97+D96</f>
        <v>2280248.31</v>
      </c>
      <c r="E118" s="78">
        <f t="shared" si="16"/>
        <v>4320</v>
      </c>
      <c r="F118" s="78">
        <f t="shared" si="16"/>
        <v>0</v>
      </c>
      <c r="G118" s="79">
        <f t="shared" si="16"/>
        <v>42427</v>
      </c>
      <c r="H118" s="78">
        <f t="shared" si="16"/>
        <v>0</v>
      </c>
      <c r="I118" s="78">
        <f t="shared" si="16"/>
        <v>0</v>
      </c>
      <c r="J118" s="79">
        <f t="shared" si="16"/>
        <v>211363.1</v>
      </c>
      <c r="K118" s="78">
        <f t="shared" si="16"/>
        <v>313850</v>
      </c>
      <c r="L118" s="78">
        <f t="shared" si="16"/>
        <v>7977115.3300000001</v>
      </c>
      <c r="M118" s="79">
        <f t="shared" si="16"/>
        <v>128300.04000000001</v>
      </c>
      <c r="N118" s="79">
        <f t="shared" si="16"/>
        <v>8105415.3700000001</v>
      </c>
      <c r="O118" s="79" t="e">
        <f t="shared" si="16"/>
        <v>#REF!</v>
      </c>
      <c r="P118" s="79"/>
      <c r="Q118" s="79">
        <f>Q5+Q100+Q101+Q99+Q98+Q97+Q96</f>
        <v>132214</v>
      </c>
      <c r="R118" s="79">
        <f>R5+R100+R101+R99+R98+R97+R96</f>
        <v>329477.61</v>
      </c>
      <c r="S118" s="79" t="e">
        <f>S5+S100+S101+S99+S98+S97+S96</f>
        <v>#REF!</v>
      </c>
      <c r="T118" s="81">
        <f>[2]март!S129</f>
        <v>7587739.1400000006</v>
      </c>
      <c r="U118" s="81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60"/>
      <c r="L122" s="19"/>
      <c r="O122" s="957" t="s">
        <v>287</v>
      </c>
      <c r="P122" s="958"/>
      <c r="Q122" s="958"/>
      <c r="R122" s="959"/>
      <c r="S122" s="12" t="e">
        <f>S118</f>
        <v>#REF!</v>
      </c>
    </row>
    <row r="123" spans="1:21" ht="13.5" thickBot="1">
      <c r="A123" s="11"/>
      <c r="O123" s="957" t="s">
        <v>495</v>
      </c>
      <c r="P123" s="958"/>
      <c r="Q123" s="958"/>
      <c r="R123" s="959"/>
      <c r="S123" s="12" t="e">
        <f>N2+S2-S118</f>
        <v>#REF!</v>
      </c>
    </row>
    <row r="124" spans="1:21" ht="15">
      <c r="A124" s="960" t="s">
        <v>412</v>
      </c>
      <c r="B124" s="960"/>
      <c r="C124" s="960"/>
      <c r="D124" s="960"/>
      <c r="E124" s="960"/>
      <c r="F124" s="960"/>
      <c r="G124" s="960"/>
      <c r="H124" s="960"/>
      <c r="I124" s="43"/>
      <c r="J124" s="43"/>
      <c r="K124" s="961" t="s">
        <v>256</v>
      </c>
      <c r="L124" s="961"/>
      <c r="M124" s="961"/>
      <c r="N124" s="962">
        <v>69654.48</v>
      </c>
      <c r="O124" s="962"/>
      <c r="P124" s="149"/>
      <c r="Q124" s="961" t="s">
        <v>273</v>
      </c>
      <c r="R124" s="961"/>
      <c r="S124" s="150">
        <v>8066595.2999999998</v>
      </c>
    </row>
    <row r="125" spans="1:21">
      <c r="A125" s="954" t="s">
        <v>89</v>
      </c>
      <c r="B125" s="954" t="s">
        <v>90</v>
      </c>
      <c r="C125" s="954" t="s">
        <v>249</v>
      </c>
      <c r="D125" s="963" t="s">
        <v>91</v>
      </c>
      <c r="E125" s="964"/>
      <c r="F125" s="954" t="s">
        <v>131</v>
      </c>
      <c r="G125" s="954" t="s">
        <v>274</v>
      </c>
      <c r="H125" s="954" t="s">
        <v>275</v>
      </c>
      <c r="I125" s="954" t="s">
        <v>92</v>
      </c>
      <c r="J125" s="954" t="s">
        <v>167</v>
      </c>
      <c r="K125" s="956" t="s">
        <v>93</v>
      </c>
      <c r="L125" s="956" t="s">
        <v>94</v>
      </c>
      <c r="M125" s="956" t="s">
        <v>71</v>
      </c>
      <c r="N125" s="956" t="s">
        <v>95</v>
      </c>
      <c r="O125" s="956" t="s">
        <v>72</v>
      </c>
      <c r="P125" s="69"/>
      <c r="Q125" s="956" t="s">
        <v>250</v>
      </c>
      <c r="R125" s="956" t="s">
        <v>96</v>
      </c>
      <c r="S125" s="956" t="s">
        <v>97</v>
      </c>
    </row>
    <row r="126" spans="1:21" ht="51">
      <c r="A126" s="955"/>
      <c r="B126" s="955"/>
      <c r="C126" s="955"/>
      <c r="D126" s="70" t="s">
        <v>98</v>
      </c>
      <c r="E126" s="70" t="s">
        <v>251</v>
      </c>
      <c r="F126" s="955"/>
      <c r="G126" s="955"/>
      <c r="H126" s="955"/>
      <c r="I126" s="955"/>
      <c r="J126" s="955"/>
      <c r="K126" s="955"/>
      <c r="L126" s="955"/>
      <c r="M126" s="955"/>
      <c r="N126" s="955"/>
      <c r="O126" s="955"/>
      <c r="P126" s="71"/>
      <c r="Q126" s="955"/>
      <c r="R126" s="955"/>
      <c r="S126" s="955"/>
    </row>
    <row r="127" spans="1:21">
      <c r="A127" s="72" t="s">
        <v>99</v>
      </c>
      <c r="B127" s="73">
        <v>200</v>
      </c>
      <c r="C127" s="73">
        <f>D127+E127</f>
        <v>1849857.6500000001</v>
      </c>
      <c r="D127" s="73">
        <f>SUM(D128+D134+D193+D200+D201+D206+D198+D199)</f>
        <v>1849857.6500000001</v>
      </c>
      <c r="E127" s="73">
        <f>SUM(E128+E134+E193+E200+E201+E206+E198)</f>
        <v>0</v>
      </c>
      <c r="F127" s="73">
        <f>SUM(F128+F134+F193+F200+F201+F206+F198)</f>
        <v>0</v>
      </c>
      <c r="G127" s="73">
        <f>[2]март!G4+[2]фев!G4+[2]янв!G4</f>
        <v>262580.02</v>
      </c>
      <c r="H127" s="73">
        <f>[2]март!H4+[2]фев!H4+[2]янв!H4</f>
        <v>0</v>
      </c>
      <c r="I127" s="73">
        <f>SUM(I128+I134+I193+I200+I201+I206+I198)</f>
        <v>0</v>
      </c>
      <c r="J127" s="73">
        <f>SUM(J128+J134+J193+J200+J201+J206+J198)</f>
        <v>227455.97</v>
      </c>
      <c r="K127" s="73">
        <f>SUM(K128+K134+K193+K200+K201+K206+K198)</f>
        <v>294627</v>
      </c>
      <c r="L127" s="73">
        <f>SUM(L128+L134+L193+L200+L201+L206+L198)</f>
        <v>2804982.17</v>
      </c>
      <c r="M127" s="73">
        <f>SUM(M128+M134+M193+M200+M201+M206+M198)</f>
        <v>47190.29</v>
      </c>
      <c r="N127" s="73">
        <f>L127+M127</f>
        <v>2852172.46</v>
      </c>
      <c r="O127" s="73">
        <f>SUM(O128+O134+O193+O200+O201+O206+O198)</f>
        <v>933212.67</v>
      </c>
      <c r="P127" s="73"/>
      <c r="Q127" s="73">
        <f>SUM(Q128+Q134+Q193+Q200+Q201+Q206+Q198)</f>
        <v>34900</v>
      </c>
      <c r="R127" s="73">
        <f>SUM(R128+R134+R193+R200+R201+R206+R198)</f>
        <v>188808.37</v>
      </c>
      <c r="S127" s="73">
        <f>C127+F127+G127+I127+J127+K127+N127+O127++R127+Q127+H127</f>
        <v>6643614.1399999997</v>
      </c>
    </row>
    <row r="128" spans="1:21">
      <c r="A128" s="74" t="s">
        <v>100</v>
      </c>
      <c r="B128" s="73">
        <v>210</v>
      </c>
      <c r="C128" s="73">
        <f t="shared" ref="C128:C229" si="18">D128+E128</f>
        <v>1219764</v>
      </c>
      <c r="D128" s="73">
        <f>SUM(D129+D130+D133)</f>
        <v>1219764</v>
      </c>
      <c r="E128" s="73">
        <f t="shared" ref="E128:R128" si="19">SUM(E129+E130+E133)</f>
        <v>0</v>
      </c>
      <c r="F128" s="73">
        <f t="shared" si="19"/>
        <v>0</v>
      </c>
      <c r="G128" s="73">
        <f>[2]март!G5+[2]фев!G5+[2]янв!G5</f>
        <v>146397</v>
      </c>
      <c r="H128" s="73">
        <f>[2]март!H5+[2]фев!H5+[2]янв!H5</f>
        <v>0</v>
      </c>
      <c r="I128" s="73">
        <f t="shared" si="19"/>
        <v>0</v>
      </c>
      <c r="J128" s="73">
        <f t="shared" si="19"/>
        <v>159948</v>
      </c>
      <c r="K128" s="73">
        <f t="shared" si="19"/>
        <v>0</v>
      </c>
      <c r="L128" s="73">
        <f t="shared" si="19"/>
        <v>0</v>
      </c>
      <c r="M128" s="73">
        <f t="shared" si="19"/>
        <v>14400</v>
      </c>
      <c r="N128" s="73">
        <f t="shared" si="19"/>
        <v>14400</v>
      </c>
      <c r="O128" s="73">
        <f t="shared" si="19"/>
        <v>0</v>
      </c>
      <c r="P128" s="73"/>
      <c r="Q128" s="73">
        <f t="shared" si="19"/>
        <v>0</v>
      </c>
      <c r="R128" s="73">
        <f t="shared" si="19"/>
        <v>93807</v>
      </c>
      <c r="S128" s="73">
        <f>C128+F128+G128+I128+J128+K128+N128+O128++R128+Q128</f>
        <v>1634316</v>
      </c>
    </row>
    <row r="129" spans="1:19">
      <c r="A129" s="42" t="s">
        <v>101</v>
      </c>
      <c r="B129" s="3">
        <v>211</v>
      </c>
      <c r="C129" s="3">
        <f t="shared" si="18"/>
        <v>1219764</v>
      </c>
      <c r="D129" s="75">
        <f>[2]март!D6+[2]фев!D6+[2]янв!D6</f>
        <v>1219764</v>
      </c>
      <c r="E129" s="75">
        <f>[2]март!E6+[2]фев!E6+[2]янв!E6</f>
        <v>0</v>
      </c>
      <c r="F129" s="75">
        <f>[2]март!F6+[2]фев!F6+[2]янв!F6</f>
        <v>0</v>
      </c>
      <c r="G129" s="75">
        <f>[2]март!G6+[2]фев!G6+[2]янв!G6</f>
        <v>144397</v>
      </c>
      <c r="H129" s="75">
        <f>[2]март!H6+[2]фев!H6+[2]янв!H6</f>
        <v>0</v>
      </c>
      <c r="I129" s="75">
        <f>[2]март!J6+[2]фев!J6+[2]янв!J6</f>
        <v>0</v>
      </c>
      <c r="J129" s="75">
        <f>[2]март!K6+[2]фев!K6+[2]янв!K6</f>
        <v>159948</v>
      </c>
      <c r="K129" s="75">
        <f>[2]март!L6+[2]фев!L6+[2]янв!L6</f>
        <v>0</v>
      </c>
      <c r="L129" s="75">
        <f>[2]март!M6+[2]фев!M6+[2]янв!M6</f>
        <v>0</v>
      </c>
      <c r="M129" s="75">
        <f>[2]март!N6+[2]фев!N6+[2]янв!N6</f>
        <v>0</v>
      </c>
      <c r="N129" s="75">
        <f>[2]март!O6+[2]фев!O6+[2]янв!O6</f>
        <v>0</v>
      </c>
      <c r="O129" s="75">
        <f>[2]март!P6+[2]фев!P6+[2]янв!P6</f>
        <v>0</v>
      </c>
      <c r="P129" s="75"/>
      <c r="Q129" s="75">
        <f>[2]март!Q6+[2]фев!Q6+[2]янв!Q6</f>
        <v>0</v>
      </c>
      <c r="R129" s="75">
        <f>[2]март!R6+[2]фев!R6+[2]янв!R6</f>
        <v>93807</v>
      </c>
      <c r="S129" s="73">
        <f>C129+F129+G129+I129+J129+K129+N129+O129++R129+Q129</f>
        <v>1617916</v>
      </c>
    </row>
    <row r="130" spans="1:19">
      <c r="A130" s="74" t="s">
        <v>102</v>
      </c>
      <c r="B130" s="73">
        <v>212</v>
      </c>
      <c r="C130" s="73">
        <f t="shared" si="18"/>
        <v>0</v>
      </c>
      <c r="D130" s="73">
        <f>SUM(D131:D132)</f>
        <v>0</v>
      </c>
      <c r="E130" s="73">
        <f t="shared" ref="E130:R130" si="20">SUM(E131:E132)</f>
        <v>0</v>
      </c>
      <c r="F130" s="73">
        <f t="shared" si="20"/>
        <v>0</v>
      </c>
      <c r="G130" s="73">
        <f t="shared" si="20"/>
        <v>2000</v>
      </c>
      <c r="H130" s="73"/>
      <c r="I130" s="73">
        <f t="shared" si="20"/>
        <v>0</v>
      </c>
      <c r="J130" s="73">
        <f t="shared" si="20"/>
        <v>0</v>
      </c>
      <c r="K130" s="73">
        <f t="shared" si="20"/>
        <v>0</v>
      </c>
      <c r="L130" s="73">
        <f t="shared" si="20"/>
        <v>0</v>
      </c>
      <c r="M130" s="73">
        <f t="shared" si="20"/>
        <v>14400</v>
      </c>
      <c r="N130" s="73">
        <f t="shared" si="20"/>
        <v>14400</v>
      </c>
      <c r="O130" s="73">
        <f t="shared" si="20"/>
        <v>0</v>
      </c>
      <c r="P130" s="73"/>
      <c r="Q130" s="73">
        <f t="shared" si="20"/>
        <v>0</v>
      </c>
      <c r="R130" s="73">
        <f t="shared" si="20"/>
        <v>0</v>
      </c>
      <c r="S130" s="73">
        <f t="shared" ref="S130:S193" si="21">C130+F130+G130+I130+J130+K130+N130+O130++R130+Q130</f>
        <v>16400</v>
      </c>
    </row>
    <row r="131" spans="1:19">
      <c r="A131" s="42" t="s">
        <v>103</v>
      </c>
      <c r="B131" s="3">
        <v>212</v>
      </c>
      <c r="C131" s="3">
        <f t="shared" si="18"/>
        <v>0</v>
      </c>
      <c r="D131" s="75">
        <f>[2]март!D8+[2]фев!D8+[2]янв!D8</f>
        <v>0</v>
      </c>
      <c r="E131" s="75">
        <f>[2]март!E8+[2]фев!E8+[2]янв!E8</f>
        <v>0</v>
      </c>
      <c r="F131" s="75">
        <f>[2]март!F8+[2]фев!F8+[2]янв!F8</f>
        <v>0</v>
      </c>
      <c r="G131" s="75">
        <f>[2]март!G8+[2]фев!G8+[2]янв!G8</f>
        <v>2000</v>
      </c>
      <c r="H131" s="75"/>
      <c r="I131" s="75">
        <f>[2]март!J8+[2]фев!J8+[2]янв!J8</f>
        <v>0</v>
      </c>
      <c r="J131" s="75">
        <f>[2]март!K8+[2]фев!K8+[2]янв!K8</f>
        <v>0</v>
      </c>
      <c r="K131" s="75">
        <f>[2]март!L8+[2]фев!L8+[2]янв!L8</f>
        <v>0</v>
      </c>
      <c r="L131" s="75">
        <f>[2]март!M8+[2]фев!M8+[2]янв!M8</f>
        <v>0</v>
      </c>
      <c r="M131" s="75">
        <f>[2]март!N8+[2]фев!N8+[2]янв!N8</f>
        <v>14400</v>
      </c>
      <c r="N131" s="75">
        <f>[2]март!O8+[2]фев!O8+[2]янв!O8</f>
        <v>14400</v>
      </c>
      <c r="O131" s="75">
        <f>[2]март!P8+[2]фев!P8+[2]янв!P8</f>
        <v>0</v>
      </c>
      <c r="P131" s="75"/>
      <c r="Q131" s="75">
        <f>[2]март!Q8+[2]фев!Q8+[2]янв!Q8</f>
        <v>0</v>
      </c>
      <c r="R131" s="75">
        <f>[2]март!R8+[2]фев!R8+[2]янв!R8</f>
        <v>0</v>
      </c>
      <c r="S131" s="70">
        <f t="shared" si="21"/>
        <v>16400</v>
      </c>
    </row>
    <row r="132" spans="1:19">
      <c r="A132" s="42" t="s">
        <v>104</v>
      </c>
      <c r="B132" s="3">
        <v>212</v>
      </c>
      <c r="C132" s="3">
        <f t="shared" si="18"/>
        <v>0</v>
      </c>
      <c r="D132" s="75">
        <f>[2]март!D9+[2]фев!D9+[2]янв!D9</f>
        <v>0</v>
      </c>
      <c r="E132" s="75">
        <f>[2]март!E9+[2]фев!E9+[2]янв!E9</f>
        <v>0</v>
      </c>
      <c r="F132" s="75">
        <f>[2]март!F9+[2]фев!F9+[2]янв!F9</f>
        <v>0</v>
      </c>
      <c r="G132" s="75">
        <f>[2]март!G9+[2]фев!G9+[2]янв!G9</f>
        <v>0</v>
      </c>
      <c r="H132" s="75"/>
      <c r="I132" s="75">
        <f>[2]март!J9+[2]фев!J9+[2]янв!J9</f>
        <v>0</v>
      </c>
      <c r="J132" s="75">
        <f>[2]март!K9+[2]фев!K9+[2]янв!K9</f>
        <v>0</v>
      </c>
      <c r="K132" s="75">
        <f>[2]март!L9+[2]фев!L9+[2]янв!L9</f>
        <v>0</v>
      </c>
      <c r="L132" s="75">
        <f>[2]март!M9+[2]фев!M9+[2]янв!M9</f>
        <v>0</v>
      </c>
      <c r="M132" s="75">
        <f>[2]март!N9+[2]фев!N9+[2]янв!N9</f>
        <v>0</v>
      </c>
      <c r="N132" s="75">
        <f>[2]март!O9+[2]фев!O9+[2]янв!O9</f>
        <v>0</v>
      </c>
      <c r="O132" s="75">
        <f>[2]март!P9+[2]фев!P9+[2]янв!P9</f>
        <v>0</v>
      </c>
      <c r="P132" s="75"/>
      <c r="Q132" s="75">
        <f>[2]март!Q9+[2]фев!Q9+[2]янв!Q9</f>
        <v>0</v>
      </c>
      <c r="R132" s="75">
        <f>[2]март!R9+[2]фев!R9+[2]янв!R9</f>
        <v>0</v>
      </c>
      <c r="S132" s="73">
        <f t="shared" si="21"/>
        <v>0</v>
      </c>
    </row>
    <row r="133" spans="1:19">
      <c r="A133" s="41" t="s">
        <v>105</v>
      </c>
      <c r="B133" s="2">
        <v>213</v>
      </c>
      <c r="C133" s="2">
        <f t="shared" si="18"/>
        <v>0</v>
      </c>
      <c r="D133" s="75">
        <f>[2]март!D10+[2]фев!D10+[2]янв!D10</f>
        <v>0</v>
      </c>
      <c r="E133" s="75">
        <f>[2]март!E10+[2]фев!E10+[2]янв!E10</f>
        <v>0</v>
      </c>
      <c r="F133" s="75">
        <f>[2]март!F10+[2]фев!F10+[2]янв!F10</f>
        <v>0</v>
      </c>
      <c r="G133" s="75">
        <f>[2]март!G10+[2]фев!G10+[2]янв!G10</f>
        <v>0</v>
      </c>
      <c r="H133" s="75"/>
      <c r="I133" s="75">
        <f>[2]март!J10+[2]фев!J10+[2]янв!J10</f>
        <v>0</v>
      </c>
      <c r="J133" s="75">
        <f>[2]март!K10+[2]фев!K10+[2]янв!K10</f>
        <v>0</v>
      </c>
      <c r="K133" s="75">
        <f>[2]март!L10+[2]фев!L10+[2]янв!L10</f>
        <v>0</v>
      </c>
      <c r="L133" s="75">
        <f>[2]март!M10+[2]фев!M10+[2]янв!M10</f>
        <v>0</v>
      </c>
      <c r="M133" s="75">
        <f>[2]март!N10+[2]фев!N10+[2]янв!N10</f>
        <v>0</v>
      </c>
      <c r="N133" s="75">
        <f>[2]март!O10+[2]фев!O10+[2]янв!O10</f>
        <v>0</v>
      </c>
      <c r="O133" s="75">
        <f>[2]март!P10+[2]фев!P10+[2]янв!P10</f>
        <v>0</v>
      </c>
      <c r="P133" s="75"/>
      <c r="Q133" s="75">
        <f>[2]март!Q10+[2]фев!Q10+[2]янв!Q10</f>
        <v>0</v>
      </c>
      <c r="R133" s="75">
        <f>[2]март!R10+[2]фев!R10+[2]янв!R10</f>
        <v>0</v>
      </c>
      <c r="S133" s="73">
        <f t="shared" si="21"/>
        <v>0</v>
      </c>
    </row>
    <row r="134" spans="1:19">
      <c r="A134" s="74" t="s">
        <v>106</v>
      </c>
      <c r="B134" s="73">
        <v>220</v>
      </c>
      <c r="C134" s="73">
        <f t="shared" si="18"/>
        <v>586844.65000000014</v>
      </c>
      <c r="D134" s="73">
        <f>SUM(D135+D137+D140+D145+D156+D144+D136)</f>
        <v>586844.65000000014</v>
      </c>
      <c r="E134" s="73">
        <f t="shared" ref="E134:R134" si="22">SUM(E135+E137+E140+E145+E156+E144)</f>
        <v>0</v>
      </c>
      <c r="F134" s="73">
        <f t="shared" si="22"/>
        <v>0</v>
      </c>
      <c r="G134" s="73">
        <f t="shared" si="22"/>
        <v>115607.02</v>
      </c>
      <c r="H134" s="73">
        <f t="shared" si="22"/>
        <v>0</v>
      </c>
      <c r="I134" s="73">
        <f t="shared" si="22"/>
        <v>0</v>
      </c>
      <c r="J134" s="73">
        <f t="shared" si="22"/>
        <v>67030.97</v>
      </c>
      <c r="K134" s="73">
        <f t="shared" si="22"/>
        <v>79000</v>
      </c>
      <c r="L134" s="73">
        <f>SUM(L135+L137+L140+L145+L156+L144+L136)</f>
        <v>2410117.17</v>
      </c>
      <c r="M134" s="73">
        <f>SUM(M135+M137+M140+M145+M156+M144+M136)</f>
        <v>32790.29</v>
      </c>
      <c r="N134" s="73">
        <f>SUM(N135+N137+N140+N145+N156+N144+N136)</f>
        <v>2439850.7399999998</v>
      </c>
      <c r="O134" s="73">
        <f t="shared" si="22"/>
        <v>885149.67</v>
      </c>
      <c r="P134" s="73"/>
      <c r="Q134" s="73">
        <f t="shared" si="22"/>
        <v>0</v>
      </c>
      <c r="R134" s="73">
        <f t="shared" si="22"/>
        <v>93205.37</v>
      </c>
      <c r="S134" s="73">
        <f t="shared" si="21"/>
        <v>4266688.42</v>
      </c>
    </row>
    <row r="135" spans="1:19">
      <c r="A135" s="42" t="s">
        <v>107</v>
      </c>
      <c r="B135" s="3">
        <v>221</v>
      </c>
      <c r="C135" s="3">
        <f t="shared" si="18"/>
        <v>49095.47</v>
      </c>
      <c r="D135" s="75">
        <f>[2]янв!D12+[2]март!D12</f>
        <v>49095.47</v>
      </c>
      <c r="E135" s="75">
        <f>[2]март!E12+[2]фев!E12+[2]янв!E12</f>
        <v>0</v>
      </c>
      <c r="F135" s="75">
        <f>[2]март!F12+[2]фев!F12+[2]янв!F12</f>
        <v>0</v>
      </c>
      <c r="G135" s="75">
        <f>[2]март!G12+[2]фев!G12+[2]янв!G12</f>
        <v>42124.3</v>
      </c>
      <c r="H135" s="75">
        <f>[2]март!H12+[2]фев!H12+[2]янв!H12</f>
        <v>0</v>
      </c>
      <c r="I135" s="75">
        <f>[2]март!J12+[2]фев!J12+[2]янв!J12</f>
        <v>0</v>
      </c>
      <c r="J135" s="75">
        <f>[2]март!K12+[2]фев!K12+[2]янв!K12</f>
        <v>7149.97</v>
      </c>
      <c r="K135" s="75">
        <f>[2]март!L12+[2]фев!L12+[2]янв!L12</f>
        <v>0</v>
      </c>
      <c r="L135" s="75">
        <f>[2]март!M12+[2]фев!M12+[2]янв!M12</f>
        <v>38459.64</v>
      </c>
      <c r="M135" s="75">
        <f>[2]март!N12+[2]фев!N12+[2]янв!N12</f>
        <v>2780</v>
      </c>
      <c r="N135" s="75">
        <f>[2]март!O12+[2]фев!O12+[2]янв!O12</f>
        <v>41239.64</v>
      </c>
      <c r="O135" s="75">
        <f>[2]март!P12+[2]фев!P12+[2]янв!P12</f>
        <v>0</v>
      </c>
      <c r="P135" s="75"/>
      <c r="Q135" s="75">
        <f>[2]март!Q12+[2]фев!Q12+[2]янв!Q12</f>
        <v>0</v>
      </c>
      <c r="R135" s="75">
        <f>[2]март!R12+[2]фев!R12+[2]янв!R12</f>
        <v>14131.37</v>
      </c>
      <c r="S135" s="73">
        <f>C135+F135+G135+I135+J135+K135+N135+O135++R135+Q135+H135</f>
        <v>153740.75</v>
      </c>
    </row>
    <row r="136" spans="1:19">
      <c r="A136" s="61" t="s">
        <v>391</v>
      </c>
      <c r="B136" s="62">
        <v>221</v>
      </c>
      <c r="C136" s="62">
        <f t="shared" si="18"/>
        <v>0</v>
      </c>
      <c r="D136" s="75"/>
      <c r="E136" s="75"/>
      <c r="F136" s="75"/>
      <c r="G136" s="75"/>
      <c r="H136" s="75"/>
      <c r="I136" s="75"/>
      <c r="J136" s="75"/>
      <c r="K136" s="75"/>
      <c r="L136" s="75">
        <f>[2]фев!M13+[2]янв!M13</f>
        <v>0</v>
      </c>
      <c r="M136" s="75">
        <f>[2]фев!N13+[2]янв!N13</f>
        <v>0</v>
      </c>
      <c r="N136" s="75">
        <f>[2]фев!O13+[2]янв!O13</f>
        <v>0</v>
      </c>
      <c r="O136" s="75"/>
      <c r="P136" s="75"/>
      <c r="Q136" s="75"/>
      <c r="R136" s="75"/>
      <c r="S136" s="73">
        <f t="shared" si="21"/>
        <v>0</v>
      </c>
    </row>
    <row r="137" spans="1:19">
      <c r="A137" s="74" t="s">
        <v>108</v>
      </c>
      <c r="B137" s="73">
        <v>222</v>
      </c>
      <c r="C137" s="73">
        <f t="shared" si="18"/>
        <v>0</v>
      </c>
      <c r="D137" s="73">
        <f>D138+D139</f>
        <v>0</v>
      </c>
      <c r="E137" s="73">
        <f t="shared" ref="E137:R137" si="23">E138+E139</f>
        <v>0</v>
      </c>
      <c r="F137" s="73">
        <f t="shared" si="23"/>
        <v>0</v>
      </c>
      <c r="G137" s="73">
        <f>G138+G139</f>
        <v>0</v>
      </c>
      <c r="H137" s="73"/>
      <c r="I137" s="73">
        <f t="shared" si="23"/>
        <v>0</v>
      </c>
      <c r="J137" s="73">
        <f t="shared" si="23"/>
        <v>0</v>
      </c>
      <c r="K137" s="73">
        <f t="shared" si="23"/>
        <v>0</v>
      </c>
      <c r="L137" s="73">
        <f t="shared" si="23"/>
        <v>10900</v>
      </c>
      <c r="M137" s="73">
        <f t="shared" si="23"/>
        <v>0</v>
      </c>
      <c r="N137" s="73">
        <f t="shared" si="23"/>
        <v>10900</v>
      </c>
      <c r="O137" s="73">
        <f t="shared" si="23"/>
        <v>0</v>
      </c>
      <c r="P137" s="73"/>
      <c r="Q137" s="73">
        <f t="shared" si="23"/>
        <v>0</v>
      </c>
      <c r="R137" s="73">
        <f t="shared" si="23"/>
        <v>0</v>
      </c>
      <c r="S137" s="73">
        <f t="shared" si="21"/>
        <v>10900</v>
      </c>
    </row>
    <row r="138" spans="1:19">
      <c r="A138" s="42" t="s">
        <v>109</v>
      </c>
      <c r="B138" s="3">
        <v>222</v>
      </c>
      <c r="C138" s="3">
        <f t="shared" si="18"/>
        <v>0</v>
      </c>
      <c r="D138" s="75">
        <f>[2]март!D14+[2]фев!D15+[2]янв!D15</f>
        <v>0</v>
      </c>
      <c r="E138" s="75">
        <f>[2]март!E14+[2]фев!E15+[2]янв!E15</f>
        <v>0</v>
      </c>
      <c r="F138" s="75">
        <f>[2]март!F14+[2]фев!F15+[2]янв!F15</f>
        <v>0</v>
      </c>
      <c r="G138" s="75">
        <f>[2]март!G14+[2]фев!G15+[2]янв!G15</f>
        <v>0</v>
      </c>
      <c r="H138" s="75"/>
      <c r="I138" s="75">
        <f>[2]март!J14+[2]фев!J15+[2]янв!J15</f>
        <v>0</v>
      </c>
      <c r="J138" s="75">
        <f>[2]март!K14+[2]фев!K15+[2]янв!K15</f>
        <v>0</v>
      </c>
      <c r="K138" s="75">
        <f>[2]март!L14+[2]фев!L15+[2]янв!L15</f>
        <v>0</v>
      </c>
      <c r="L138" s="75">
        <f>[2]март!M14+[2]фев!M15+[2]янв!M15</f>
        <v>10000</v>
      </c>
      <c r="M138" s="75">
        <f>[2]март!N14+[2]фев!N15+[2]янв!N15</f>
        <v>0</v>
      </c>
      <c r="N138" s="75">
        <f>[2]март!O14+[2]фев!O15+[2]янв!O15</f>
        <v>10000</v>
      </c>
      <c r="O138" s="75">
        <f>[2]март!P14+[2]фев!P15+[2]янв!P15</f>
        <v>0</v>
      </c>
      <c r="P138" s="75"/>
      <c r="Q138" s="75">
        <f>[2]март!Q14+[2]фев!Q15+[2]янв!Q15</f>
        <v>0</v>
      </c>
      <c r="R138" s="75">
        <f>[2]март!R14+[2]фев!R15+[2]янв!R15</f>
        <v>0</v>
      </c>
      <c r="S138" s="70">
        <f t="shared" si="21"/>
        <v>10000</v>
      </c>
    </row>
    <row r="139" spans="1:19">
      <c r="A139" s="42" t="s">
        <v>110</v>
      </c>
      <c r="B139" s="3">
        <v>222</v>
      </c>
      <c r="C139" s="3">
        <f t="shared" si="18"/>
        <v>0</v>
      </c>
      <c r="D139" s="75">
        <f>[2]март!D15+[2]фев!D16+[2]янв!D16</f>
        <v>0</v>
      </c>
      <c r="E139" s="75">
        <f>[2]март!E15+[2]фев!E16+[2]янв!E16</f>
        <v>0</v>
      </c>
      <c r="F139" s="75">
        <f>[2]март!F15+[2]фев!F16+[2]янв!F16</f>
        <v>0</v>
      </c>
      <c r="G139" s="75">
        <f>[2]март!G15+[2]фев!G16+[2]янв!G16</f>
        <v>0</v>
      </c>
      <c r="H139" s="75"/>
      <c r="I139" s="75">
        <f>[2]март!J15+[2]фев!J16+[2]янв!J16</f>
        <v>0</v>
      </c>
      <c r="J139" s="75">
        <f>[2]март!K15+[2]фев!K16+[2]янв!K16</f>
        <v>0</v>
      </c>
      <c r="K139" s="75">
        <f>[2]март!L15+[2]фев!L16+[2]янв!L16</f>
        <v>0</v>
      </c>
      <c r="L139" s="75">
        <f>[2]март!M15+[2]фев!M16+[2]янв!M16</f>
        <v>900</v>
      </c>
      <c r="M139" s="75">
        <f>[2]март!N15+[2]фев!N16+[2]янв!N16</f>
        <v>0</v>
      </c>
      <c r="N139" s="75">
        <f>[2]март!O15+[2]фев!O16+[2]янв!O16</f>
        <v>900</v>
      </c>
      <c r="O139" s="75">
        <f>[2]март!P15+[2]фев!P16+[2]янв!P16</f>
        <v>0</v>
      </c>
      <c r="P139" s="75"/>
      <c r="Q139" s="75">
        <f>[2]март!Q15+[2]фев!Q16+[2]янв!Q16</f>
        <v>0</v>
      </c>
      <c r="R139" s="75">
        <f>[2]март!R15+[2]фев!R16+[2]янв!R16</f>
        <v>0</v>
      </c>
      <c r="S139" s="70">
        <f t="shared" si="21"/>
        <v>900</v>
      </c>
    </row>
    <row r="140" spans="1:19">
      <c r="A140" s="74" t="s">
        <v>111</v>
      </c>
      <c r="B140" s="73">
        <v>223</v>
      </c>
      <c r="C140" s="73">
        <f t="shared" si="18"/>
        <v>312582.2</v>
      </c>
      <c r="D140" s="73">
        <f>SUM(D141:D143)</f>
        <v>312582.2</v>
      </c>
      <c r="E140" s="73">
        <f>SUM(E141:E143)</f>
        <v>0</v>
      </c>
      <c r="F140" s="73">
        <f>SUM(F141:F143)</f>
        <v>0</v>
      </c>
      <c r="G140" s="73">
        <f>SUM(G141:G143)</f>
        <v>0</v>
      </c>
      <c r="H140" s="73"/>
      <c r="I140" s="73">
        <f t="shared" ref="I140:R140" si="24">SUM(I141:I143)</f>
        <v>0</v>
      </c>
      <c r="J140" s="73">
        <f t="shared" si="24"/>
        <v>0</v>
      </c>
      <c r="K140" s="73">
        <f t="shared" si="24"/>
        <v>0</v>
      </c>
      <c r="L140" s="73">
        <f t="shared" si="24"/>
        <v>1766108.32</v>
      </c>
      <c r="M140" s="73">
        <f t="shared" si="24"/>
        <v>0</v>
      </c>
      <c r="N140" s="73">
        <f>L140+M140</f>
        <v>1766108.32</v>
      </c>
      <c r="O140" s="73">
        <f t="shared" si="24"/>
        <v>870852.70000000007</v>
      </c>
      <c r="P140" s="73"/>
      <c r="Q140" s="73">
        <f t="shared" si="24"/>
        <v>0</v>
      </c>
      <c r="R140" s="73">
        <f t="shared" si="24"/>
        <v>0</v>
      </c>
      <c r="S140" s="73">
        <f t="shared" si="21"/>
        <v>2949543.22</v>
      </c>
    </row>
    <row r="141" spans="1:19">
      <c r="A141" s="42" t="s">
        <v>112</v>
      </c>
      <c r="B141" s="3">
        <v>223</v>
      </c>
      <c r="C141" s="3">
        <f t="shared" si="18"/>
        <v>141479</v>
      </c>
      <c r="D141" s="75">
        <f>[2]март!D17+[2]фев!D18+[2]янв!D18</f>
        <v>141479</v>
      </c>
      <c r="E141" s="75">
        <f>[2]март!E17+[2]фев!E18+[2]янв!E18</f>
        <v>0</v>
      </c>
      <c r="F141" s="75">
        <f>[2]март!F17+[2]фев!F18+[2]янв!F18</f>
        <v>0</v>
      </c>
      <c r="G141" s="75">
        <f>[2]март!G17+[2]фев!G18+[2]янв!G18</f>
        <v>0</v>
      </c>
      <c r="H141" s="75"/>
      <c r="I141" s="75">
        <f>[2]март!J17+[2]фев!J18+[2]янв!J18</f>
        <v>0</v>
      </c>
      <c r="J141" s="75">
        <f>[2]март!K17+[2]фев!K18+[2]янв!K18</f>
        <v>0</v>
      </c>
      <c r="K141" s="75">
        <f>[2]март!L17+[2]фев!L18+[2]янв!L18</f>
        <v>0</v>
      </c>
      <c r="L141" s="75">
        <f>[2]март!M17+[2]фев!M18+[2]янв!M18</f>
        <v>270000</v>
      </c>
      <c r="M141" s="75">
        <f>[2]март!N17+[2]фев!N18+[2]янв!N18</f>
        <v>0</v>
      </c>
      <c r="N141" s="75">
        <f>[2]март!O17+[2]фев!O18+[2]янв!O18</f>
        <v>270000</v>
      </c>
      <c r="O141" s="75">
        <f>[2]март!P17+[2]фев!P18+[2]янв!P18</f>
        <v>752532.31</v>
      </c>
      <c r="P141" s="75"/>
      <c r="Q141" s="75">
        <f>[2]март!Q17+[2]фев!Q18+[2]янв!Q18</f>
        <v>0</v>
      </c>
      <c r="R141" s="75">
        <f>[2]март!R17+[2]фев!R18+[2]янв!R18</f>
        <v>0</v>
      </c>
      <c r="S141" s="70">
        <f t="shared" si="21"/>
        <v>1164011.31</v>
      </c>
    </row>
    <row r="142" spans="1:19">
      <c r="A142" s="42" t="s">
        <v>113</v>
      </c>
      <c r="B142" s="3">
        <v>223</v>
      </c>
      <c r="C142" s="3">
        <f t="shared" si="18"/>
        <v>158624</v>
      </c>
      <c r="D142" s="75">
        <f>[2]март!D18+[2]фев!D19+[2]янв!D19</f>
        <v>158624</v>
      </c>
      <c r="E142" s="75">
        <f>[2]март!E18+[2]фев!E19+[2]янв!E19</f>
        <v>0</v>
      </c>
      <c r="F142" s="75">
        <f>[2]март!F18+[2]фев!F19+[2]янв!F19</f>
        <v>0</v>
      </c>
      <c r="G142" s="75">
        <f>[2]март!G18+[2]фев!G19+[2]янв!G19</f>
        <v>0</v>
      </c>
      <c r="H142" s="75"/>
      <c r="I142" s="75">
        <f>[2]март!J18+[2]фев!J19+[2]янв!J19</f>
        <v>0</v>
      </c>
      <c r="J142" s="75">
        <f>[2]март!K18+[2]фев!K19+[2]янв!K19</f>
        <v>0</v>
      </c>
      <c r="K142" s="75">
        <f>[2]март!L18+[2]фев!L19+[2]янв!L19</f>
        <v>0</v>
      </c>
      <c r="L142" s="75">
        <f>[2]март!M18+[2]фев!M19+[2]янв!M19</f>
        <v>1124886</v>
      </c>
      <c r="M142" s="75">
        <f>[2]март!N18+[2]фев!N19+[2]янв!N19</f>
        <v>0</v>
      </c>
      <c r="N142" s="75">
        <f>[2]март!O18+[2]фев!O19+[2]янв!O19</f>
        <v>1124886</v>
      </c>
      <c r="O142" s="75">
        <f>[2]март!P18+[2]фев!P19+[2]янв!P19</f>
        <v>96107</v>
      </c>
      <c r="P142" s="75"/>
      <c r="Q142" s="75">
        <f>[2]март!Q18+[2]фев!Q19+[2]янв!Q19</f>
        <v>0</v>
      </c>
      <c r="R142" s="75">
        <f>[2]март!R18+[2]фев!R19+[2]янв!R19</f>
        <v>0</v>
      </c>
      <c r="S142" s="70">
        <f t="shared" si="21"/>
        <v>1379617</v>
      </c>
    </row>
    <row r="143" spans="1:19">
      <c r="A143" s="14" t="s">
        <v>114</v>
      </c>
      <c r="B143" s="3">
        <v>223</v>
      </c>
      <c r="C143" s="3">
        <f t="shared" si="18"/>
        <v>12479.2</v>
      </c>
      <c r="D143" s="75">
        <f>[2]март!D19+[2]фев!D20+[2]янв!D20</f>
        <v>12479.2</v>
      </c>
      <c r="E143" s="75">
        <f>[2]март!E19+[2]фев!E20+[2]янв!E20</f>
        <v>0</v>
      </c>
      <c r="F143" s="75">
        <f>[2]март!F19+[2]фев!F20+[2]янв!F20</f>
        <v>0</v>
      </c>
      <c r="G143" s="75">
        <f>[2]март!G19+[2]фев!G20+[2]янв!G20</f>
        <v>0</v>
      </c>
      <c r="H143" s="75"/>
      <c r="I143" s="75">
        <f>[2]март!J19+[2]фев!J20+[2]янв!J20</f>
        <v>0</v>
      </c>
      <c r="J143" s="75">
        <f>[2]март!K19+[2]фев!K20+[2]янв!K20</f>
        <v>0</v>
      </c>
      <c r="K143" s="75">
        <f>[2]март!L19+[2]фев!L20+[2]янв!L20</f>
        <v>0</v>
      </c>
      <c r="L143" s="75">
        <f>[2]март!M19+[2]фев!M20+[2]янв!M20</f>
        <v>371222.32</v>
      </c>
      <c r="M143" s="75">
        <f>[2]март!N19+[2]фев!N20+[2]янв!N20</f>
        <v>0</v>
      </c>
      <c r="N143" s="75">
        <f>[2]март!O19+[2]фев!O20+[2]янв!O20</f>
        <v>371222.32</v>
      </c>
      <c r="O143" s="75">
        <f>[2]март!P19+[2]фев!P20+[2]янв!P20</f>
        <v>22213.39</v>
      </c>
      <c r="P143" s="75"/>
      <c r="Q143" s="75">
        <f>[2]март!Q19+[2]фев!Q20+[2]янв!Q20</f>
        <v>0</v>
      </c>
      <c r="R143" s="75">
        <f>[2]март!R19+[2]фев!R20+[2]янв!R20</f>
        <v>0</v>
      </c>
      <c r="S143" s="70">
        <f t="shared" si="21"/>
        <v>405914.91000000003</v>
      </c>
    </row>
    <row r="144" spans="1:19">
      <c r="A144" s="44" t="s">
        <v>168</v>
      </c>
      <c r="B144" s="3">
        <v>224</v>
      </c>
      <c r="C144" s="3">
        <f t="shared" si="18"/>
        <v>0</v>
      </c>
      <c r="D144" s="75">
        <f>[2]март!D20+[2]фев!D21+[2]янв!D21</f>
        <v>0</v>
      </c>
      <c r="E144" s="75">
        <f>[2]март!E20+[2]фев!E21+[2]янв!E21</f>
        <v>0</v>
      </c>
      <c r="F144" s="75">
        <f>[2]март!F20+[2]фев!F21+[2]янв!F21</f>
        <v>0</v>
      </c>
      <c r="G144" s="75">
        <f>[2]март!G20+[2]фев!G21+[2]янв!G21</f>
        <v>0</v>
      </c>
      <c r="H144" s="75"/>
      <c r="I144" s="75">
        <f>[2]март!J20+[2]фев!J21+[2]янв!J21</f>
        <v>0</v>
      </c>
      <c r="J144" s="75">
        <f>[2]март!K20+[2]фев!K21+[2]янв!K21</f>
        <v>0</v>
      </c>
      <c r="K144" s="75">
        <f>[2]март!L20+[2]фев!L21+[2]янв!L21</f>
        <v>0</v>
      </c>
      <c r="L144" s="75">
        <f>[2]март!M20+[2]фев!M21+[2]янв!M21</f>
        <v>0</v>
      </c>
      <c r="M144" s="75">
        <f>[2]март!N20+[2]фев!N21+[2]янв!N21</f>
        <v>0</v>
      </c>
      <c r="N144" s="75">
        <f>[2]март!O20+[2]фев!O21+[2]янв!O21</f>
        <v>0</v>
      </c>
      <c r="O144" s="75">
        <f>[2]март!P20+[2]фев!P21+[2]янв!P21</f>
        <v>0</v>
      </c>
      <c r="P144" s="75"/>
      <c r="Q144" s="75">
        <f>[2]март!Q20+[2]фев!Q21+[2]янв!Q21</f>
        <v>0</v>
      </c>
      <c r="R144" s="75">
        <f>[2]март!R20+[2]фев!R21+[2]янв!R21</f>
        <v>0</v>
      </c>
      <c r="S144" s="73">
        <f t="shared" si="21"/>
        <v>0</v>
      </c>
    </row>
    <row r="145" spans="1:19">
      <c r="A145" s="76" t="s">
        <v>115</v>
      </c>
      <c r="B145" s="73">
        <v>225</v>
      </c>
      <c r="C145" s="73">
        <f t="shared" si="18"/>
        <v>7982.53</v>
      </c>
      <c r="D145" s="73">
        <f>SUM(D146:D155)</f>
        <v>7982.53</v>
      </c>
      <c r="E145" s="73">
        <f t="shared" ref="E145:R145" si="25">SUM(E146:E155)</f>
        <v>0</v>
      </c>
      <c r="F145" s="73">
        <f t="shared" si="25"/>
        <v>0</v>
      </c>
      <c r="G145" s="73">
        <f t="shared" si="25"/>
        <v>0</v>
      </c>
      <c r="H145" s="73">
        <f t="shared" si="25"/>
        <v>0</v>
      </c>
      <c r="I145" s="73">
        <f t="shared" si="25"/>
        <v>0</v>
      </c>
      <c r="J145" s="73">
        <f t="shared" si="25"/>
        <v>400</v>
      </c>
      <c r="K145" s="73">
        <f t="shared" si="25"/>
        <v>0</v>
      </c>
      <c r="L145" s="73">
        <f t="shared" si="25"/>
        <v>133743.35999999999</v>
      </c>
      <c r="M145" s="73">
        <f t="shared" si="25"/>
        <v>0</v>
      </c>
      <c r="N145" s="73">
        <f t="shared" si="25"/>
        <v>133743.35999999999</v>
      </c>
      <c r="O145" s="73">
        <f t="shared" si="25"/>
        <v>14296.97</v>
      </c>
      <c r="P145" s="73"/>
      <c r="Q145" s="73">
        <f t="shared" si="25"/>
        <v>0</v>
      </c>
      <c r="R145" s="73">
        <f t="shared" si="25"/>
        <v>2850</v>
      </c>
      <c r="S145" s="73">
        <f>C145+F145+G145+I145+J145+K145+N145+O145++R145+Q145+H145</f>
        <v>159272.85999999999</v>
      </c>
    </row>
    <row r="146" spans="1:19">
      <c r="A146" s="44" t="s">
        <v>116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70">
        <f t="shared" si="21"/>
        <v>0</v>
      </c>
    </row>
    <row r="147" spans="1:19">
      <c r="A147" s="44" t="s">
        <v>117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70">
        <f t="shared" si="21"/>
        <v>146922.86000000002</v>
      </c>
    </row>
    <row r="148" spans="1:19">
      <c r="A148" s="63" t="s">
        <v>276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70">
        <f t="shared" si="21"/>
        <v>400</v>
      </c>
    </row>
    <row r="149" spans="1:19">
      <c r="A149" s="63" t="s">
        <v>291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70">
        <f t="shared" si="21"/>
        <v>0</v>
      </c>
    </row>
    <row r="150" spans="1:19">
      <c r="A150" s="64" t="s">
        <v>172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70">
        <f t="shared" si="21"/>
        <v>0</v>
      </c>
    </row>
    <row r="151" spans="1:19">
      <c r="A151" s="44" t="s">
        <v>276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70">
        <f t="shared" si="21"/>
        <v>4300</v>
      </c>
    </row>
    <row r="152" spans="1:19" ht="15">
      <c r="A152" s="65" t="s">
        <v>392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70">
        <f t="shared" si="21"/>
        <v>1300</v>
      </c>
    </row>
    <row r="153" spans="1:19">
      <c r="A153" s="42" t="s">
        <v>277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70">
        <f>C153+F153+G153+I153+J153+K153+N153+O153++R153+Q153+H153</f>
        <v>0</v>
      </c>
    </row>
    <row r="154" spans="1:19">
      <c r="A154" s="63" t="s">
        <v>393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70">
        <f t="shared" si="21"/>
        <v>0</v>
      </c>
    </row>
    <row r="155" spans="1:19">
      <c r="A155" s="44" t="s">
        <v>230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70">
        <f>C155+F155+G155+I155+J155+K155+N155+O155++R155+Q155+H155</f>
        <v>6350</v>
      </c>
    </row>
    <row r="156" spans="1:19">
      <c r="A156" s="74" t="s">
        <v>118</v>
      </c>
      <c r="B156" s="73">
        <v>226</v>
      </c>
      <c r="C156" s="73">
        <f t="shared" si="18"/>
        <v>217184.45</v>
      </c>
      <c r="D156" s="73">
        <f>SUM(D157:D192)</f>
        <v>217184.45</v>
      </c>
      <c r="E156" s="73">
        <f t="shared" ref="E156:R156" si="26">SUM(E157:E192)</f>
        <v>0</v>
      </c>
      <c r="F156" s="73">
        <f t="shared" si="26"/>
        <v>0</v>
      </c>
      <c r="G156" s="73">
        <f t="shared" si="26"/>
        <v>73482.720000000001</v>
      </c>
      <c r="H156" s="73">
        <f t="shared" si="26"/>
        <v>0</v>
      </c>
      <c r="I156" s="73">
        <f t="shared" si="26"/>
        <v>0</v>
      </c>
      <c r="J156" s="73">
        <f>SUM(J157:J192)</f>
        <v>59481</v>
      </c>
      <c r="K156" s="73">
        <f t="shared" si="26"/>
        <v>79000</v>
      </c>
      <c r="L156" s="73">
        <f t="shared" si="26"/>
        <v>460905.85</v>
      </c>
      <c r="M156" s="73">
        <f t="shared" si="26"/>
        <v>30010.29</v>
      </c>
      <c r="N156" s="73">
        <f t="shared" si="26"/>
        <v>487859.42000000004</v>
      </c>
      <c r="O156" s="73">
        <f t="shared" si="26"/>
        <v>0</v>
      </c>
      <c r="P156" s="73"/>
      <c r="Q156" s="73">
        <f t="shared" si="26"/>
        <v>0</v>
      </c>
      <c r="R156" s="73">
        <f t="shared" si="26"/>
        <v>76224</v>
      </c>
      <c r="S156" s="73">
        <f>C156+F156+G156+I156+J156+K156+N156+O156++R156+Q156+H156</f>
        <v>993231.59000000008</v>
      </c>
    </row>
    <row r="157" spans="1:19">
      <c r="A157" s="42" t="s">
        <v>119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70">
        <f t="shared" si="21"/>
        <v>8084</v>
      </c>
    </row>
    <row r="158" spans="1:19">
      <c r="A158" s="42" t="s">
        <v>169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70">
        <f t="shared" si="21"/>
        <v>54529</v>
      </c>
    </row>
    <row r="159" spans="1:19">
      <c r="A159" s="42" t="s">
        <v>278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70">
        <f t="shared" si="21"/>
        <v>0</v>
      </c>
    </row>
    <row r="160" spans="1:19">
      <c r="A160" s="42" t="s">
        <v>279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70">
        <f t="shared" si="21"/>
        <v>0</v>
      </c>
    </row>
    <row r="161" spans="1:19">
      <c r="A161" s="42" t="s">
        <v>120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70">
        <f t="shared" si="21"/>
        <v>0</v>
      </c>
    </row>
    <row r="162" spans="1:19">
      <c r="A162" s="42" t="s">
        <v>121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70">
        <f t="shared" si="21"/>
        <v>0</v>
      </c>
    </row>
    <row r="163" spans="1:19">
      <c r="A163" s="42" t="s">
        <v>231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70">
        <f t="shared" si="21"/>
        <v>16030</v>
      </c>
    </row>
    <row r="164" spans="1:19">
      <c r="A164" s="61" t="s">
        <v>292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70">
        <f t="shared" si="21"/>
        <v>0</v>
      </c>
    </row>
    <row r="165" spans="1:19">
      <c r="A165" s="61" t="s">
        <v>413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70">
        <f t="shared" si="21"/>
        <v>85400</v>
      </c>
    </row>
    <row r="166" spans="1:19">
      <c r="A166" s="42" t="s">
        <v>123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70">
        <f>C166+F166+G166+I166+J166+K166+N166+O166++R166+Q166+H166</f>
        <v>259040</v>
      </c>
    </row>
    <row r="167" spans="1:19">
      <c r="A167" s="42" t="s">
        <v>414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70">
        <f t="shared" si="21"/>
        <v>7000</v>
      </c>
    </row>
    <row r="168" spans="1:19">
      <c r="A168" s="42" t="s">
        <v>122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70">
        <f t="shared" si="21"/>
        <v>10653.82</v>
      </c>
    </row>
    <row r="169" spans="1:19">
      <c r="A169" s="61" t="s">
        <v>394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70">
        <f t="shared" si="21"/>
        <v>0</v>
      </c>
    </row>
    <row r="170" spans="1:19">
      <c r="A170" s="42" t="s">
        <v>395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70">
        <f t="shared" si="21"/>
        <v>26902.07</v>
      </c>
    </row>
    <row r="171" spans="1:19">
      <c r="A171" s="61" t="s">
        <v>293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70">
        <f t="shared" si="21"/>
        <v>0</v>
      </c>
    </row>
    <row r="172" spans="1:19">
      <c r="A172" s="42" t="s">
        <v>124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70">
        <f t="shared" si="21"/>
        <v>308012.70000000007</v>
      </c>
    </row>
    <row r="173" spans="1:19">
      <c r="A173" s="42" t="s">
        <v>280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70">
        <f t="shared" si="21"/>
        <v>0</v>
      </c>
    </row>
    <row r="174" spans="1:19">
      <c r="A174" s="42" t="s">
        <v>281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70">
        <f t="shared" si="21"/>
        <v>0</v>
      </c>
    </row>
    <row r="175" spans="1:19">
      <c r="A175" s="42" t="s">
        <v>170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70">
        <f t="shared" si="21"/>
        <v>0</v>
      </c>
    </row>
    <row r="176" spans="1:19">
      <c r="A176" s="42" t="s">
        <v>232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70">
        <f t="shared" si="21"/>
        <v>0</v>
      </c>
    </row>
    <row r="177" spans="1:19">
      <c r="A177" s="42" t="s">
        <v>125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70">
        <f t="shared" si="21"/>
        <v>0</v>
      </c>
    </row>
    <row r="178" spans="1:19">
      <c r="A178" s="42" t="s">
        <v>171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70">
        <f t="shared" si="21"/>
        <v>0</v>
      </c>
    </row>
    <row r="179" spans="1:19">
      <c r="A179" s="42" t="s">
        <v>172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70">
        <f t="shared" si="21"/>
        <v>0</v>
      </c>
    </row>
    <row r="180" spans="1:19">
      <c r="A180" s="42" t="s">
        <v>126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70">
        <f t="shared" si="21"/>
        <v>0</v>
      </c>
    </row>
    <row r="181" spans="1:19">
      <c r="A181" s="61" t="s">
        <v>396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70">
        <f t="shared" si="21"/>
        <v>0</v>
      </c>
    </row>
    <row r="182" spans="1:19">
      <c r="A182" s="42" t="s">
        <v>173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70">
        <f t="shared" si="21"/>
        <v>0</v>
      </c>
    </row>
    <row r="183" spans="1:19">
      <c r="A183" s="42" t="s">
        <v>233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70">
        <f t="shared" si="21"/>
        <v>0</v>
      </c>
    </row>
    <row r="184" spans="1:19">
      <c r="A184" s="61" t="s">
        <v>397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70">
        <f t="shared" si="21"/>
        <v>79000</v>
      </c>
    </row>
    <row r="185" spans="1:19">
      <c r="A185" s="61" t="s">
        <v>294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70">
        <f t="shared" si="21"/>
        <v>0</v>
      </c>
    </row>
    <row r="186" spans="1:19">
      <c r="A186" s="42" t="s">
        <v>234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70">
        <f t="shared" si="21"/>
        <v>0</v>
      </c>
    </row>
    <row r="187" spans="1:19">
      <c r="A187" s="42" t="s">
        <v>282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70">
        <f t="shared" si="21"/>
        <v>138580</v>
      </c>
    </row>
    <row r="188" spans="1:19">
      <c r="A188" s="42" t="s">
        <v>235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70">
        <f t="shared" si="21"/>
        <v>0</v>
      </c>
    </row>
    <row r="189" spans="1:19">
      <c r="A189" s="14" t="s">
        <v>252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70">
        <f t="shared" si="21"/>
        <v>0</v>
      </c>
    </row>
    <row r="190" spans="1:19">
      <c r="A190" s="42" t="s">
        <v>236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70">
        <f t="shared" si="21"/>
        <v>0</v>
      </c>
    </row>
    <row r="191" spans="1:19">
      <c r="A191" s="66" t="s">
        <v>295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73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70">
        <f t="shared" si="21"/>
        <v>0</v>
      </c>
    </row>
    <row r="193" spans="1:19">
      <c r="A193" s="74" t="s">
        <v>127</v>
      </c>
      <c r="B193" s="73">
        <v>241</v>
      </c>
      <c r="C193" s="70">
        <f t="shared" si="18"/>
        <v>0</v>
      </c>
      <c r="D193" s="73">
        <f>D194+D196+D197</f>
        <v>0</v>
      </c>
      <c r="E193" s="73">
        <f>E194+E196+E197</f>
        <v>0</v>
      </c>
      <c r="F193" s="73">
        <f>F194+F196+F197</f>
        <v>0</v>
      </c>
      <c r="G193" s="73">
        <f>G194+G196+G197+G195</f>
        <v>0</v>
      </c>
      <c r="H193" s="73"/>
      <c r="I193" s="73">
        <f>I194+I196+I197</f>
        <v>0</v>
      </c>
      <c r="J193" s="73">
        <f>J194+J196+J197</f>
        <v>0</v>
      </c>
      <c r="K193" s="73">
        <f>K194+K196+K197+K199</f>
        <v>210627</v>
      </c>
      <c r="L193" s="73">
        <f>L194+L196+L197</f>
        <v>0</v>
      </c>
      <c r="M193" s="73">
        <f>M194+M196+M197</f>
        <v>0</v>
      </c>
      <c r="N193" s="73">
        <f>L193+M193</f>
        <v>0</v>
      </c>
      <c r="O193" s="73">
        <f>O199</f>
        <v>0</v>
      </c>
      <c r="P193" s="73"/>
      <c r="Q193" s="73">
        <f>Q194+Q196+Q197</f>
        <v>0</v>
      </c>
      <c r="R193" s="73">
        <f>R194+R196+R197</f>
        <v>0</v>
      </c>
      <c r="S193" s="73">
        <f t="shared" si="21"/>
        <v>210627</v>
      </c>
    </row>
    <row r="194" spans="1:19">
      <c r="A194" s="42" t="s">
        <v>128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73">
        <f t="shared" ref="S194:S219" si="27">C194+F194+G194+I194+J194+K194+N194+O194++R194+Q194</f>
        <v>0</v>
      </c>
    </row>
    <row r="195" spans="1:19">
      <c r="A195" s="42" t="s">
        <v>174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73">
        <f t="shared" si="27"/>
        <v>0</v>
      </c>
    </row>
    <row r="196" spans="1:19">
      <c r="A196" s="42" t="s">
        <v>129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70">
        <f t="shared" si="27"/>
        <v>150627</v>
      </c>
    </row>
    <row r="197" spans="1:19">
      <c r="A197" s="42" t="s">
        <v>117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73">
        <f t="shared" si="27"/>
        <v>60000</v>
      </c>
    </row>
    <row r="198" spans="1:19">
      <c r="A198" s="45" t="s">
        <v>415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73">
        <f t="shared" si="27"/>
        <v>5000</v>
      </c>
    </row>
    <row r="199" spans="1:19">
      <c r="A199" s="45" t="s">
        <v>130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73">
        <f t="shared" si="27"/>
        <v>0</v>
      </c>
    </row>
    <row r="200" spans="1:19">
      <c r="A200" s="7" t="s">
        <v>132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73">
        <f t="shared" si="27"/>
        <v>0</v>
      </c>
    </row>
    <row r="201" spans="1:19">
      <c r="A201" s="7" t="s">
        <v>133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73">
        <f t="shared" si="27"/>
        <v>0</v>
      </c>
    </row>
    <row r="202" spans="1:19">
      <c r="A202" s="44" t="s">
        <v>134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73">
        <f t="shared" si="27"/>
        <v>0</v>
      </c>
    </row>
    <row r="203" spans="1:19">
      <c r="A203" s="7" t="s">
        <v>283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70">
        <f t="shared" si="27"/>
        <v>0</v>
      </c>
    </row>
    <row r="204" spans="1:19">
      <c r="A204" s="44" t="s">
        <v>284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70">
        <f t="shared" si="27"/>
        <v>0</v>
      </c>
    </row>
    <row r="205" spans="1:19">
      <c r="A205" s="44" t="s">
        <v>135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73">
        <f t="shared" si="27"/>
        <v>0</v>
      </c>
    </row>
    <row r="206" spans="1:19">
      <c r="A206" s="74" t="s">
        <v>67</v>
      </c>
      <c r="B206" s="73">
        <v>290</v>
      </c>
      <c r="C206" s="73">
        <f t="shared" si="18"/>
        <v>43249</v>
      </c>
      <c r="D206" s="73">
        <f>SUM(D207:D217)</f>
        <v>43249</v>
      </c>
      <c r="E206" s="73">
        <f t="shared" ref="E206:R206" si="29">SUM(E207:E217)</f>
        <v>0</v>
      </c>
      <c r="F206" s="73">
        <f t="shared" si="29"/>
        <v>0</v>
      </c>
      <c r="G206" s="73">
        <f t="shared" si="29"/>
        <v>576</v>
      </c>
      <c r="H206" s="73"/>
      <c r="I206" s="73">
        <f t="shared" si="29"/>
        <v>0</v>
      </c>
      <c r="J206" s="73">
        <f t="shared" si="29"/>
        <v>477</v>
      </c>
      <c r="K206" s="73">
        <f t="shared" si="29"/>
        <v>0</v>
      </c>
      <c r="L206" s="73">
        <f>SUM(L207:L217)</f>
        <v>394865</v>
      </c>
      <c r="M206" s="73">
        <f t="shared" si="29"/>
        <v>0</v>
      </c>
      <c r="N206" s="73">
        <f t="shared" si="29"/>
        <v>360865</v>
      </c>
      <c r="O206" s="73">
        <f t="shared" si="29"/>
        <v>48063</v>
      </c>
      <c r="P206" s="73"/>
      <c r="Q206" s="73">
        <f t="shared" si="29"/>
        <v>34900</v>
      </c>
      <c r="R206" s="73">
        <f t="shared" si="29"/>
        <v>1796</v>
      </c>
      <c r="S206" s="73">
        <f t="shared" si="27"/>
        <v>489926</v>
      </c>
    </row>
    <row r="207" spans="1:19">
      <c r="A207" s="42" t="s">
        <v>136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70">
        <f t="shared" si="27"/>
        <v>149526</v>
      </c>
    </row>
    <row r="208" spans="1:19">
      <c r="A208" s="42" t="s">
        <v>137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70">
        <f t="shared" si="27"/>
        <v>8500</v>
      </c>
    </row>
    <row r="209" spans="1:19">
      <c r="A209" s="42" t="s">
        <v>138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70">
        <f t="shared" si="27"/>
        <v>32000</v>
      </c>
    </row>
    <row r="210" spans="1:19">
      <c r="A210" s="42" t="s">
        <v>285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70">
        <f t="shared" si="27"/>
        <v>400</v>
      </c>
    </row>
    <row r="211" spans="1:19">
      <c r="A211" s="42" t="s">
        <v>253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70">
        <f t="shared" si="27"/>
        <v>0</v>
      </c>
    </row>
    <row r="212" spans="1:19">
      <c r="A212" s="42" t="s">
        <v>237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70">
        <f t="shared" si="27"/>
        <v>0</v>
      </c>
    </row>
    <row r="213" spans="1:19">
      <c r="A213" s="42" t="s">
        <v>241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70">
        <f t="shared" si="27"/>
        <v>0</v>
      </c>
    </row>
    <row r="214" spans="1:19">
      <c r="A214" s="42" t="s">
        <v>254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70">
        <f t="shared" si="27"/>
        <v>0</v>
      </c>
    </row>
    <row r="215" spans="1:19">
      <c r="A215" s="42" t="s">
        <v>139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70">
        <f t="shared" si="27"/>
        <v>0</v>
      </c>
    </row>
    <row r="216" spans="1:19">
      <c r="A216" s="42" t="s">
        <v>140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70">
        <f t="shared" si="27"/>
        <v>103500</v>
      </c>
    </row>
    <row r="217" spans="1:19">
      <c r="A217" s="42" t="s">
        <v>416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70">
        <f>C217+F217+G217+I217+J217+K217+N217+O217++R217+Q217</f>
        <v>196000</v>
      </c>
    </row>
    <row r="218" spans="1:19">
      <c r="A218" s="67" t="s">
        <v>296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70">
        <f t="shared" si="27"/>
        <v>0</v>
      </c>
    </row>
    <row r="219" spans="1:19">
      <c r="A219" s="41" t="s">
        <v>297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70">
        <f t="shared" si="27"/>
        <v>94015</v>
      </c>
    </row>
    <row r="220" spans="1:19">
      <c r="A220" s="41" t="s">
        <v>238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70">
        <f>C220+F220+G220+I220+J220+K220+N220+O220++R220+Q220+H220</f>
        <v>0</v>
      </c>
    </row>
    <row r="221" spans="1:19">
      <c r="A221" s="42" t="s">
        <v>175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70">
        <f>C221+F221+G221+I221+J221+K221+N221+O221++R221+Q221</f>
        <v>100100</v>
      </c>
    </row>
    <row r="222" spans="1:19">
      <c r="A222" s="67" t="s">
        <v>398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73">
        <f>C222+F222+G222+I222+J222+K222+N222+O222++R222+Q222</f>
        <v>15000</v>
      </c>
    </row>
    <row r="223" spans="1:19">
      <c r="A223" s="74" t="s">
        <v>141</v>
      </c>
      <c r="B223" s="73">
        <v>340</v>
      </c>
      <c r="C223" s="73">
        <f t="shared" si="18"/>
        <v>173845</v>
      </c>
      <c r="D223" s="73">
        <f>SUM(D224:D238)</f>
        <v>173845</v>
      </c>
      <c r="E223" s="73">
        <f>SUM(E224:E238)</f>
        <v>0</v>
      </c>
      <c r="F223" s="73">
        <f>SUM(F224:F238)</f>
        <v>0</v>
      </c>
      <c r="G223" s="73">
        <f t="shared" ref="G223:Q223" si="30">SUM(G224:G238)</f>
        <v>23930</v>
      </c>
      <c r="H223" s="73">
        <f t="shared" si="30"/>
        <v>0</v>
      </c>
      <c r="I223" s="73">
        <f t="shared" si="30"/>
        <v>0</v>
      </c>
      <c r="J223" s="73">
        <f>SUM(J224:J238)</f>
        <v>25500</v>
      </c>
      <c r="K223" s="73">
        <f t="shared" si="30"/>
        <v>0</v>
      </c>
      <c r="L223" s="73">
        <f>SUM(L224:L238)</f>
        <v>470535</v>
      </c>
      <c r="M223" s="73">
        <f t="shared" si="30"/>
        <v>0</v>
      </c>
      <c r="N223" s="73">
        <f>L223+M223</f>
        <v>470535</v>
      </c>
      <c r="O223" s="73">
        <f t="shared" si="30"/>
        <v>0</v>
      </c>
      <c r="P223" s="73"/>
      <c r="Q223" s="73">
        <f t="shared" si="30"/>
        <v>0</v>
      </c>
      <c r="R223" s="73">
        <f>SUM(R224:R238)</f>
        <v>40800</v>
      </c>
      <c r="S223" s="73">
        <f>C223+F223+G223+I223+J223+K223+N223+O223++R223+Q223+H223</f>
        <v>734610</v>
      </c>
    </row>
    <row r="224" spans="1:19">
      <c r="A224" s="42" t="s">
        <v>142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70">
        <f t="shared" ref="S224:S229" si="31">C224+F224+G224+I224+J224+K224+N224+O224++R224+Q224</f>
        <v>10000</v>
      </c>
    </row>
    <row r="225" spans="1:19">
      <c r="A225" s="42" t="s">
        <v>143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70">
        <f t="shared" si="31"/>
        <v>300000</v>
      </c>
    </row>
    <row r="226" spans="1:19">
      <c r="A226" s="42" t="s">
        <v>144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70">
        <f t="shared" si="31"/>
        <v>36500</v>
      </c>
    </row>
    <row r="227" spans="1:19">
      <c r="A227" s="42" t="s">
        <v>145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70">
        <f t="shared" si="31"/>
        <v>133600</v>
      </c>
    </row>
    <row r="228" spans="1:19">
      <c r="A228" s="42" t="s">
        <v>298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70">
        <f t="shared" si="31"/>
        <v>12000</v>
      </c>
    </row>
    <row r="229" spans="1:19">
      <c r="A229" s="42" t="s">
        <v>146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70">
        <f t="shared" si="31"/>
        <v>46385</v>
      </c>
    </row>
    <row r="230" spans="1:19">
      <c r="A230" s="42" t="s">
        <v>286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70">
        <f t="shared" ref="S230:S239" si="33">C230+F230+G230+I230+J230+K230+N230+O230++R230+Q230+H230</f>
        <v>0</v>
      </c>
    </row>
    <row r="231" spans="1:19">
      <c r="A231" s="42" t="s">
        <v>147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70">
        <f t="shared" si="33"/>
        <v>52325</v>
      </c>
    </row>
    <row r="232" spans="1:19">
      <c r="A232" s="42" t="s">
        <v>148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70">
        <f t="shared" si="33"/>
        <v>36300</v>
      </c>
    </row>
    <row r="233" spans="1:19">
      <c r="A233" s="42" t="s">
        <v>175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70">
        <f t="shared" si="33"/>
        <v>0</v>
      </c>
    </row>
    <row r="234" spans="1:19">
      <c r="A234" s="61" t="s">
        <v>399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70">
        <f t="shared" si="33"/>
        <v>0</v>
      </c>
    </row>
    <row r="235" spans="1:19">
      <c r="A235" s="61" t="s">
        <v>299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70">
        <f t="shared" si="33"/>
        <v>0</v>
      </c>
    </row>
    <row r="236" spans="1:19">
      <c r="A236" s="42" t="s">
        <v>149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70">
        <f t="shared" si="33"/>
        <v>107500</v>
      </c>
    </row>
    <row r="237" spans="1:19">
      <c r="A237" s="42" t="s">
        <v>176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73">
        <f t="shared" si="33"/>
        <v>0</v>
      </c>
    </row>
    <row r="238" spans="1:19">
      <c r="A238" s="42" t="s">
        <v>150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73">
        <f t="shared" si="33"/>
        <v>0</v>
      </c>
    </row>
    <row r="239" spans="1:19">
      <c r="A239" s="42" t="s">
        <v>151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73">
        <f t="shared" si="33"/>
        <v>0</v>
      </c>
    </row>
    <row r="240" spans="1:19">
      <c r="A240" s="77" t="s">
        <v>152</v>
      </c>
      <c r="B240" s="77"/>
      <c r="C240" s="78">
        <f t="shared" ref="C240:O240" si="34">C127+C222+C223+C221+C220+C219+C218</f>
        <v>2117717.6500000004</v>
      </c>
      <c r="D240" s="78">
        <f>D127+D222+D223+D221+D220+D219+D218</f>
        <v>2117717.6500000004</v>
      </c>
      <c r="E240" s="78">
        <f t="shared" si="34"/>
        <v>0</v>
      </c>
      <c r="F240" s="78">
        <f t="shared" si="34"/>
        <v>0</v>
      </c>
      <c r="G240" s="79">
        <f t="shared" si="34"/>
        <v>286510.02</v>
      </c>
      <c r="H240" s="78">
        <f t="shared" si="34"/>
        <v>0</v>
      </c>
      <c r="I240" s="78">
        <f t="shared" si="34"/>
        <v>0</v>
      </c>
      <c r="J240" s="79">
        <f t="shared" si="34"/>
        <v>252955.97</v>
      </c>
      <c r="K240" s="78">
        <f t="shared" si="34"/>
        <v>394727</v>
      </c>
      <c r="L240" s="78">
        <f t="shared" si="34"/>
        <v>3290517.17</v>
      </c>
      <c r="M240" s="79">
        <f t="shared" si="34"/>
        <v>47190.29</v>
      </c>
      <c r="N240" s="79">
        <f t="shared" si="34"/>
        <v>3337707.46</v>
      </c>
      <c r="O240" s="79">
        <f t="shared" si="34"/>
        <v>933212.67</v>
      </c>
      <c r="P240" s="79"/>
      <c r="Q240" s="79">
        <f>Q127+Q222+Q223+Q221+Q220+Q219+Q218</f>
        <v>34900</v>
      </c>
      <c r="R240" s="79">
        <f>R127+R222+R223+R221+R220+R219+R218</f>
        <v>229608.37</v>
      </c>
      <c r="S240" s="79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60"/>
      <c r="L244" s="19"/>
      <c r="O244" s="957" t="s">
        <v>287</v>
      </c>
      <c r="P244" s="958"/>
      <c r="Q244" s="958"/>
      <c r="R244" s="959"/>
      <c r="S244" s="12">
        <f>S240</f>
        <v>7587339.1399999997</v>
      </c>
    </row>
    <row r="245" spans="1:19" ht="13.5" thickBot="1">
      <c r="A245" s="11"/>
      <c r="O245" s="957" t="s">
        <v>417</v>
      </c>
      <c r="P245" s="958"/>
      <c r="Q245" s="958"/>
      <c r="R245" s="959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>
      <c r="A1" s="976" t="s">
        <v>637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</row>
    <row r="2" spans="1:16" ht="15" customHeight="1">
      <c r="A2" s="976" t="s">
        <v>423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</row>
    <row r="3" spans="1:16" ht="15" customHeight="1">
      <c r="A3" s="976" t="s">
        <v>768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</row>
    <row r="4" spans="1:16" ht="14.25" customHeight="1" thickBot="1">
      <c r="A4" s="86"/>
      <c r="B4" s="984"/>
      <c r="C4" s="984"/>
      <c r="D4" s="984"/>
      <c r="E4" s="984"/>
      <c r="F4" s="984"/>
      <c r="G4" s="984"/>
      <c r="H4" s="984"/>
      <c r="I4" s="984"/>
      <c r="J4" s="984"/>
      <c r="K4" s="984"/>
      <c r="L4" s="984"/>
      <c r="M4" s="981" t="s">
        <v>424</v>
      </c>
      <c r="N4" s="981"/>
    </row>
    <row r="5" spans="1:16" ht="15.75" customHeight="1">
      <c r="A5" s="982" t="s">
        <v>626</v>
      </c>
      <c r="B5" s="970" t="s">
        <v>714</v>
      </c>
      <c r="C5" s="970" t="s">
        <v>627</v>
      </c>
      <c r="D5" s="985" t="s">
        <v>715</v>
      </c>
      <c r="E5" s="985"/>
      <c r="F5" s="985"/>
      <c r="G5" s="985"/>
      <c r="H5" s="986" t="s">
        <v>628</v>
      </c>
      <c r="I5" s="970" t="s">
        <v>717</v>
      </c>
      <c r="J5" s="970" t="s">
        <v>718</v>
      </c>
      <c r="K5" s="970"/>
      <c r="L5" s="970"/>
      <c r="M5" s="970"/>
      <c r="N5" s="979" t="s">
        <v>456</v>
      </c>
      <c r="O5" s="974" t="s">
        <v>457</v>
      </c>
      <c r="P5" s="972" t="s">
        <v>651</v>
      </c>
    </row>
    <row r="6" spans="1:16" ht="55.5" customHeight="1">
      <c r="A6" s="983"/>
      <c r="B6" s="971"/>
      <c r="C6" s="971"/>
      <c r="D6" s="354" t="s">
        <v>425</v>
      </c>
      <c r="E6" s="253" t="s">
        <v>426</v>
      </c>
      <c r="F6" s="253" t="s">
        <v>607</v>
      </c>
      <c r="G6" s="354" t="s">
        <v>606</v>
      </c>
      <c r="H6" s="987"/>
      <c r="I6" s="971"/>
      <c r="J6" s="354" t="s">
        <v>425</v>
      </c>
      <c r="K6" s="253" t="s">
        <v>300</v>
      </c>
      <c r="L6" s="253" t="s">
        <v>629</v>
      </c>
      <c r="M6" s="354" t="s">
        <v>630</v>
      </c>
      <c r="N6" s="980"/>
      <c r="O6" s="975"/>
      <c r="P6" s="973"/>
    </row>
    <row r="7" spans="1:16" ht="15">
      <c r="A7" s="87" t="s">
        <v>427</v>
      </c>
      <c r="B7" s="88">
        <v>1</v>
      </c>
      <c r="C7" s="88">
        <v>2</v>
      </c>
      <c r="D7" s="88">
        <v>3</v>
      </c>
      <c r="E7" s="89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9">
        <v>10</v>
      </c>
      <c r="L7" s="90">
        <v>11</v>
      </c>
      <c r="M7" s="90">
        <v>12</v>
      </c>
      <c r="N7" s="90">
        <v>12</v>
      </c>
      <c r="O7" s="90">
        <v>12</v>
      </c>
      <c r="P7" s="90">
        <v>13</v>
      </c>
    </row>
    <row r="8" spans="1:16" ht="24" customHeight="1">
      <c r="A8" s="296" t="s">
        <v>428</v>
      </c>
      <c r="B8" s="297">
        <f>SUM(B9+B11+B12+B16+B21)</f>
        <v>21038.957719999999</v>
      </c>
      <c r="C8" s="297">
        <f>SUM(C9+C11+C12+C16+C21)</f>
        <v>32923</v>
      </c>
      <c r="D8" s="297">
        <f t="shared" ref="D8:J8" si="0">SUM(D9+D11+D12+D16+D21)</f>
        <v>21044</v>
      </c>
      <c r="E8" s="355">
        <f t="shared" si="0"/>
        <v>21835.960769999998</v>
      </c>
      <c r="F8" s="297">
        <f t="shared" si="0"/>
        <v>791.96076999999855</v>
      </c>
      <c r="G8" s="297">
        <f t="shared" si="0"/>
        <v>505.08415152017653</v>
      </c>
      <c r="H8" s="297">
        <f t="shared" si="0"/>
        <v>4.8370748175302598</v>
      </c>
      <c r="I8" s="297">
        <f t="shared" si="0"/>
        <v>1880.6383699999997</v>
      </c>
      <c r="J8" s="297">
        <f t="shared" si="0"/>
        <v>1957</v>
      </c>
      <c r="K8" s="297">
        <f>SUM(K9+K11+K12+K16+K21)</f>
        <v>2159.9407699999997</v>
      </c>
      <c r="L8" s="297">
        <f t="shared" ref="L8:L38" si="1">+K8-J8</f>
        <v>202.9407699999997</v>
      </c>
      <c r="M8" s="297">
        <f t="shared" ref="M8:M21" si="2">SUM(K8/J8*100)</f>
        <v>110.36999335717934</v>
      </c>
      <c r="N8" s="91">
        <f t="shared" ref="N8:O23" si="3">SUM(L8/K8*100)</f>
        <v>9.3956636597956216</v>
      </c>
      <c r="O8" s="91">
        <f t="shared" si="3"/>
        <v>54.385323046315193</v>
      </c>
      <c r="P8" s="91">
        <f>SUM(N8/M8*100)</f>
        <v>8.5128787037155824</v>
      </c>
    </row>
    <row r="9" spans="1:16" ht="19.5" customHeight="1">
      <c r="A9" s="92" t="s">
        <v>429</v>
      </c>
      <c r="B9" s="94">
        <f>SUM(B10)</f>
        <v>12280.271210000001</v>
      </c>
      <c r="C9" s="93">
        <f>+C10</f>
        <v>20370</v>
      </c>
      <c r="D9" s="94">
        <f>+D10</f>
        <v>13250</v>
      </c>
      <c r="E9" s="356">
        <f>SUM(E10)</f>
        <v>13995.957999999999</v>
      </c>
      <c r="F9" s="94">
        <f t="shared" ref="F9:F38" si="4">+E9-D9</f>
        <v>745.95799999999872</v>
      </c>
      <c r="G9" s="94">
        <f t="shared" ref="G9:G31" si="5">E9/D9*100</f>
        <v>105.62987169811319</v>
      </c>
      <c r="H9" s="94">
        <f t="shared" ref="H9:H38" si="6">E9/B9</f>
        <v>1.1397108223964052</v>
      </c>
      <c r="I9" s="94">
        <f>SUM(I10)</f>
        <v>1070.2714399999998</v>
      </c>
      <c r="J9" s="94">
        <f>+J10</f>
        <v>1450</v>
      </c>
      <c r="K9" s="94">
        <f>SUM(K10)</f>
        <v>1725.3879999999999</v>
      </c>
      <c r="L9" s="94">
        <f t="shared" si="1"/>
        <v>275.38799999999992</v>
      </c>
      <c r="M9" s="94">
        <f t="shared" si="2"/>
        <v>118.99227586206895</v>
      </c>
      <c r="N9" s="94">
        <f t="shared" si="3"/>
        <v>15.960931686090312</v>
      </c>
      <c r="O9" s="94">
        <f t="shared" si="3"/>
        <v>43.208954588460273</v>
      </c>
      <c r="P9" s="94">
        <f>SUM(N9/M9*100)</f>
        <v>13.413418283209896</v>
      </c>
    </row>
    <row r="10" spans="1:16" ht="19.5" customHeight="1">
      <c r="A10" s="95" t="s">
        <v>430</v>
      </c>
      <c r="B10" s="99">
        <f>11166.34071+244.17734+43.65906+67.413+82.15-24.17266+52.6108+97.79347+401.43669+70.5268+78.336</f>
        <v>12280.271210000001</v>
      </c>
      <c r="C10" s="97">
        <v>20370</v>
      </c>
      <c r="D10" s="98">
        <v>13250</v>
      </c>
      <c r="E10" s="303">
        <f>12270.57+K10</f>
        <v>13995.957999999999</v>
      </c>
      <c r="F10" s="98">
        <f t="shared" si="4"/>
        <v>745.95799999999872</v>
      </c>
      <c r="G10" s="98">
        <f t="shared" si="5"/>
        <v>105.62987169811319</v>
      </c>
      <c r="H10" s="98">
        <f t="shared" si="6"/>
        <v>1.1397108223964052</v>
      </c>
      <c r="I10" s="99">
        <f>244.17734+67.413+82.15-24.17266+52.6108+97.79347+401.43669+70.5268+78.336</f>
        <v>1070.2714399999998</v>
      </c>
      <c r="J10" s="98">
        <v>1450</v>
      </c>
      <c r="K10" s="99">
        <f>586.38+31.39-26.042+90.67+34.6+44.447+12.681+95.537+221.828+633.897</f>
        <v>1725.3879999999999</v>
      </c>
      <c r="L10" s="98">
        <f t="shared" si="1"/>
        <v>275.38799999999992</v>
      </c>
      <c r="M10" s="98">
        <f t="shared" si="2"/>
        <v>118.99227586206895</v>
      </c>
      <c r="N10" s="98">
        <f t="shared" si="3"/>
        <v>15.960931686090312</v>
      </c>
      <c r="O10" s="98">
        <f t="shared" si="3"/>
        <v>43.208954588460273</v>
      </c>
      <c r="P10" s="98">
        <f>K10/I10</f>
        <v>1.6121031875801528</v>
      </c>
    </row>
    <row r="11" spans="1:16" ht="19.5" customHeight="1">
      <c r="A11" s="92" t="s">
        <v>431</v>
      </c>
      <c r="B11" s="100">
        <f>698.64476+2.13661+0.0679+5.63087+100.845</f>
        <v>807.32514000000003</v>
      </c>
      <c r="C11" s="93">
        <v>1253</v>
      </c>
      <c r="D11" s="94">
        <v>940</v>
      </c>
      <c r="E11" s="357">
        <f>904.92+K11</f>
        <v>1038.26199</v>
      </c>
      <c r="F11" s="94">
        <f t="shared" si="4"/>
        <v>98.261989999999969</v>
      </c>
      <c r="G11" s="94">
        <f t="shared" si="5"/>
        <v>110.45340319148936</v>
      </c>
      <c r="H11" s="98">
        <f t="shared" si="6"/>
        <v>1.2860518501876455</v>
      </c>
      <c r="I11" s="100">
        <f>0.0679+5.63087+100.845</f>
        <v>106.54376999999999</v>
      </c>
      <c r="J11" s="94">
        <v>102</v>
      </c>
      <c r="K11" s="100">
        <f>3.9+0.06899+0.449+8.339+120.585</f>
        <v>133.34198999999998</v>
      </c>
      <c r="L11" s="94">
        <f t="shared" si="1"/>
        <v>31.341989999999981</v>
      </c>
      <c r="M11" s="98">
        <f t="shared" si="2"/>
        <v>130.72744117647056</v>
      </c>
      <c r="N11" s="98">
        <f t="shared" si="3"/>
        <v>23.504966440053867</v>
      </c>
      <c r="O11" s="98">
        <f t="shared" si="3"/>
        <v>417.10000282838024</v>
      </c>
      <c r="P11" s="94">
        <f t="shared" ref="P11:P19" si="7">K11/I11</f>
        <v>1.2515231064190799</v>
      </c>
    </row>
    <row r="12" spans="1:16" ht="19.5" customHeight="1">
      <c r="A12" s="92" t="s">
        <v>432</v>
      </c>
      <c r="B12" s="94">
        <f>SUM(B13+B14+B15)</f>
        <v>5573.4466999999995</v>
      </c>
      <c r="C12" s="93">
        <f>C13+C14+C15</f>
        <v>7210</v>
      </c>
      <c r="D12" s="94">
        <f>SUM(D13:D15)</f>
        <v>4671</v>
      </c>
      <c r="E12" s="356">
        <f>SUM(E13:E15)</f>
        <v>4906.9589999999998</v>
      </c>
      <c r="F12" s="94">
        <f t="shared" si="4"/>
        <v>235.95899999999983</v>
      </c>
      <c r="G12" s="94">
        <f t="shared" si="5"/>
        <v>105.05157353885677</v>
      </c>
      <c r="H12" s="94">
        <f t="shared" si="6"/>
        <v>0.88041731878408391</v>
      </c>
      <c r="I12" s="94">
        <f>SUM(I13:I15)</f>
        <v>226.46300000000002</v>
      </c>
      <c r="J12" s="94">
        <f>J13+J14+J15</f>
        <v>85</v>
      </c>
      <c r="K12" s="94">
        <f>SUM(K13:K15)</f>
        <v>88.388999999999996</v>
      </c>
      <c r="L12" s="94">
        <f t="shared" si="1"/>
        <v>3.3889999999999958</v>
      </c>
      <c r="M12" s="94">
        <f t="shared" si="2"/>
        <v>103.98705882352941</v>
      </c>
      <c r="N12" s="94">
        <f t="shared" si="3"/>
        <v>3.8341875120207218</v>
      </c>
      <c r="O12" s="94">
        <f t="shared" si="3"/>
        <v>3068.369985940677</v>
      </c>
      <c r="P12" s="94">
        <f t="shared" si="7"/>
        <v>0.39030216856616751</v>
      </c>
    </row>
    <row r="13" spans="1:16" ht="36" customHeight="1">
      <c r="A13" s="101" t="s">
        <v>433</v>
      </c>
      <c r="B13" s="99">
        <f>538.25+10+6.62</f>
        <v>554.87</v>
      </c>
      <c r="C13" s="97">
        <v>680</v>
      </c>
      <c r="D13" s="98">
        <v>460</v>
      </c>
      <c r="E13" s="303">
        <f>555.7+K13</f>
        <v>565.30000000000007</v>
      </c>
      <c r="F13" s="98">
        <f t="shared" si="4"/>
        <v>105.30000000000007</v>
      </c>
      <c r="G13" s="98">
        <f t="shared" si="5"/>
        <v>122.89130434782609</v>
      </c>
      <c r="H13" s="98">
        <f t="shared" si="6"/>
        <v>1.0187971957395427</v>
      </c>
      <c r="I13" s="99">
        <f>10+6.62</f>
        <v>16.62</v>
      </c>
      <c r="J13" s="98">
        <v>35</v>
      </c>
      <c r="K13" s="99">
        <v>9.6</v>
      </c>
      <c r="L13" s="98">
        <f t="shared" si="1"/>
        <v>-25.4</v>
      </c>
      <c r="M13" s="98">
        <f t="shared" si="2"/>
        <v>27.428571428571431</v>
      </c>
      <c r="N13" s="98">
        <f t="shared" si="3"/>
        <v>-264.58333333333337</v>
      </c>
      <c r="O13" s="98">
        <f t="shared" si="3"/>
        <v>-107.98650168728909</v>
      </c>
      <c r="P13" s="98">
        <f t="shared" si="7"/>
        <v>0.57761732851985559</v>
      </c>
    </row>
    <row r="14" spans="1:16" ht="41.25" customHeight="1">
      <c r="A14" s="101" t="s">
        <v>434</v>
      </c>
      <c r="B14" s="99">
        <f>4789.8027+27.802+1.223+10.603+10.632+1+23.811+111.834+12.987+8.965</f>
        <v>4998.6596999999992</v>
      </c>
      <c r="C14" s="97">
        <v>6508</v>
      </c>
      <c r="D14" s="98">
        <v>4210</v>
      </c>
      <c r="E14" s="303">
        <f>4248.87+K14</f>
        <v>4327.6419999999998</v>
      </c>
      <c r="F14" s="98">
        <f t="shared" si="4"/>
        <v>117.64199999999983</v>
      </c>
      <c r="G14" s="98">
        <f t="shared" si="5"/>
        <v>102.79434679334915</v>
      </c>
      <c r="H14" s="98">
        <f t="shared" si="6"/>
        <v>0.86576047575313053</v>
      </c>
      <c r="I14" s="99">
        <f>27.802+1.223+10.6+10.632+1+23.8+111.834+12.987+8.965</f>
        <v>208.84300000000002</v>
      </c>
      <c r="J14" s="98">
        <v>50</v>
      </c>
      <c r="K14" s="99">
        <f>54.636+3+12.533+2.884+3.004+2.715</f>
        <v>78.772000000000006</v>
      </c>
      <c r="L14" s="98">
        <f t="shared" si="1"/>
        <v>28.772000000000006</v>
      </c>
      <c r="M14" s="98">
        <f t="shared" si="2"/>
        <v>157.54400000000001</v>
      </c>
      <c r="N14" s="98">
        <f t="shared" si="3"/>
        <v>36.525669019448543</v>
      </c>
      <c r="O14" s="98">
        <f t="shared" si="3"/>
        <v>547.56012790212708</v>
      </c>
      <c r="P14" s="98">
        <f t="shared" si="7"/>
        <v>0.37718285985165889</v>
      </c>
    </row>
    <row r="15" spans="1:16" ht="22.5" customHeight="1">
      <c r="A15" s="101" t="s">
        <v>248</v>
      </c>
      <c r="B15" s="99">
        <f>18.917+1</f>
        <v>19.917000000000002</v>
      </c>
      <c r="C15" s="97">
        <v>22</v>
      </c>
      <c r="D15" s="98">
        <v>1</v>
      </c>
      <c r="E15" s="303">
        <f>14+K15</f>
        <v>14.016999999999999</v>
      </c>
      <c r="F15" s="98">
        <f t="shared" si="4"/>
        <v>13.016999999999999</v>
      </c>
      <c r="G15" s="98">
        <f t="shared" si="5"/>
        <v>1401.7</v>
      </c>
      <c r="H15" s="98">
        <f t="shared" si="6"/>
        <v>0.70377064818998836</v>
      </c>
      <c r="I15" s="99">
        <v>1</v>
      </c>
      <c r="J15" s="98">
        <v>0</v>
      </c>
      <c r="K15" s="99">
        <v>1.7000000000000001E-2</v>
      </c>
      <c r="L15" s="98">
        <f t="shared" si="1"/>
        <v>1.7000000000000001E-2</v>
      </c>
      <c r="M15" s="98" t="e">
        <f t="shared" si="2"/>
        <v>#DIV/0!</v>
      </c>
      <c r="N15" s="98">
        <f t="shared" si="3"/>
        <v>100</v>
      </c>
      <c r="O15" s="98" t="e">
        <f t="shared" si="3"/>
        <v>#DIV/0!</v>
      </c>
      <c r="P15" s="98">
        <f t="shared" si="7"/>
        <v>1.7000000000000001E-2</v>
      </c>
    </row>
    <row r="16" spans="1:16" ht="22.5" customHeight="1">
      <c r="A16" s="92" t="s">
        <v>435</v>
      </c>
      <c r="B16" s="93">
        <f>SUM(B17:B18)</f>
        <v>1469.2111800000002</v>
      </c>
      <c r="C16" s="93">
        <f>SUM(C17:C18)</f>
        <v>3290</v>
      </c>
      <c r="D16" s="94">
        <f>SUM(D17:D18)</f>
        <v>1623</v>
      </c>
      <c r="E16" s="356">
        <f>SUM(E17:E18)</f>
        <v>1320.181</v>
      </c>
      <c r="F16" s="94">
        <f t="shared" si="4"/>
        <v>-302.81899999999996</v>
      </c>
      <c r="G16" s="94">
        <f t="shared" si="5"/>
        <v>81.342020948860139</v>
      </c>
      <c r="H16" s="94">
        <f>E16/B16</f>
        <v>0.89856449363528512</v>
      </c>
      <c r="I16" s="94">
        <f>I18+I17</f>
        <v>447.59285</v>
      </c>
      <c r="J16" s="94">
        <f>J18+J17</f>
        <v>250</v>
      </c>
      <c r="K16" s="94">
        <f>SUM(K17:K18)</f>
        <v>134.90100000000001</v>
      </c>
      <c r="L16" s="94">
        <f t="shared" si="1"/>
        <v>-115.09899999999999</v>
      </c>
      <c r="M16" s="94">
        <f t="shared" si="2"/>
        <v>53.960400000000007</v>
      </c>
      <c r="N16" s="94">
        <f t="shared" si="3"/>
        <v>-85.321087315883489</v>
      </c>
      <c r="O16" s="94">
        <f t="shared" si="3"/>
        <v>-46.88172790380456</v>
      </c>
      <c r="P16" s="94">
        <f t="shared" si="7"/>
        <v>0.30139221392835031</v>
      </c>
    </row>
    <row r="17" spans="1:16" ht="22.5" customHeight="1">
      <c r="A17" s="95" t="s">
        <v>18</v>
      </c>
      <c r="B17" s="99">
        <f>508.38533+1.0565+0.533+3.605+1.649+1.86536+9.272+9.65836+28.7652-85.92057+28.542</f>
        <v>507.41118000000017</v>
      </c>
      <c r="C17" s="97">
        <v>1600</v>
      </c>
      <c r="D17" s="98">
        <v>640</v>
      </c>
      <c r="E17" s="303">
        <f>432.73+K17</f>
        <v>495.971</v>
      </c>
      <c r="F17" s="98">
        <f t="shared" si="4"/>
        <v>-144.029</v>
      </c>
      <c r="G17" s="98">
        <f t="shared" si="5"/>
        <v>77.495468750000001</v>
      </c>
      <c r="H17" s="98">
        <f t="shared" si="6"/>
        <v>0.97745382748562981</v>
      </c>
      <c r="I17" s="99">
        <f>1.0565+3.605+1.649+1.86536+9.272+9.65836+28.7652-85.92057+28.542</f>
        <v>-1.5071499999999958</v>
      </c>
      <c r="J17" s="98">
        <v>150</v>
      </c>
      <c r="K17" s="303">
        <f>14.632+9.3+16.472+1.16+5.705+9.47+2.171+5.105+1.154-1.928</f>
        <v>63.241</v>
      </c>
      <c r="L17" s="98">
        <f t="shared" si="1"/>
        <v>-86.759</v>
      </c>
      <c r="M17" s="98">
        <f t="shared" si="2"/>
        <v>42.160666666666671</v>
      </c>
      <c r="N17" s="98">
        <f t="shared" si="3"/>
        <v>-137.18790025458168</v>
      </c>
      <c r="O17" s="98">
        <f t="shared" si="3"/>
        <v>-48.595150551143597</v>
      </c>
      <c r="P17" s="98">
        <f t="shared" si="7"/>
        <v>-41.960654214909049</v>
      </c>
    </row>
    <row r="18" spans="1:16" ht="22.5" customHeight="1">
      <c r="A18" s="92" t="s">
        <v>631</v>
      </c>
      <c r="B18" s="94">
        <f>B19+B20</f>
        <v>961.8</v>
      </c>
      <c r="C18" s="94">
        <f>C19+C20</f>
        <v>1690</v>
      </c>
      <c r="D18" s="94">
        <f>D19+D20</f>
        <v>983</v>
      </c>
      <c r="E18" s="356">
        <f>E19+E20</f>
        <v>824.20999999999992</v>
      </c>
      <c r="F18" s="94">
        <f t="shared" si="4"/>
        <v>-158.79000000000008</v>
      </c>
      <c r="G18" s="94">
        <f t="shared" si="5"/>
        <v>83.846388606307215</v>
      </c>
      <c r="H18" s="94">
        <f t="shared" si="6"/>
        <v>0.85694531087544179</v>
      </c>
      <c r="I18" s="94">
        <f>I19+I20</f>
        <v>449.1</v>
      </c>
      <c r="J18" s="94">
        <f>J19+J20</f>
        <v>100</v>
      </c>
      <c r="K18" s="94">
        <f>K19+K20</f>
        <v>71.66</v>
      </c>
      <c r="L18" s="94">
        <f>L19+L20</f>
        <v>-28.340000000000003</v>
      </c>
      <c r="M18" s="94">
        <f t="shared" si="2"/>
        <v>71.66</v>
      </c>
      <c r="N18" s="98">
        <f t="shared" si="3"/>
        <v>-39.547864917666764</v>
      </c>
      <c r="O18" s="98">
        <f t="shared" si="3"/>
        <v>-252.8581510232886</v>
      </c>
      <c r="P18" s="98">
        <f t="shared" si="7"/>
        <v>0.15956357158761966</v>
      </c>
    </row>
    <row r="19" spans="1:16" ht="22.5" customHeight="1">
      <c r="A19" s="95" t="s">
        <v>632</v>
      </c>
      <c r="B19" s="99">
        <v>365.32</v>
      </c>
      <c r="C19" s="97">
        <v>850</v>
      </c>
      <c r="D19" s="98">
        <v>360</v>
      </c>
      <c r="E19" s="304">
        <f>162.14+K19</f>
        <v>219.38899999999998</v>
      </c>
      <c r="F19" s="98">
        <f t="shared" si="4"/>
        <v>-140.61100000000002</v>
      </c>
      <c r="G19" s="98">
        <f t="shared" si="5"/>
        <v>60.941388888888881</v>
      </c>
      <c r="H19" s="98">
        <f t="shared" si="6"/>
        <v>0.60053925325741808</v>
      </c>
      <c r="I19" s="99">
        <v>239.2</v>
      </c>
      <c r="J19" s="98">
        <v>90</v>
      </c>
      <c r="K19" s="304">
        <f>8.484+6.023+6.8+1.334+4.577+2.278+1.247+3.038+0.317+23.151</f>
        <v>57.248999999999995</v>
      </c>
      <c r="L19" s="98">
        <f t="shared" si="1"/>
        <v>-32.751000000000005</v>
      </c>
      <c r="M19" s="98">
        <f t="shared" si="2"/>
        <v>63.61</v>
      </c>
      <c r="N19" s="94">
        <f t="shared" si="3"/>
        <v>-57.207986165697235</v>
      </c>
      <c r="O19" s="94">
        <f t="shared" si="3"/>
        <v>-194.22307715794935</v>
      </c>
      <c r="P19" s="94">
        <f t="shared" si="7"/>
        <v>0.23933528428093645</v>
      </c>
    </row>
    <row r="20" spans="1:16" ht="22.5" customHeight="1">
      <c r="A20" s="95" t="s">
        <v>633</v>
      </c>
      <c r="B20" s="98">
        <v>596.48</v>
      </c>
      <c r="C20" s="97">
        <v>840</v>
      </c>
      <c r="D20" s="98">
        <v>623</v>
      </c>
      <c r="E20" s="304">
        <f>590.41+K20</f>
        <v>604.82099999999991</v>
      </c>
      <c r="F20" s="98">
        <f>+E20-D20</f>
        <v>-18.179000000000087</v>
      </c>
      <c r="G20" s="98">
        <f>E20/D20*100</f>
        <v>97.082022471910108</v>
      </c>
      <c r="H20" s="98">
        <f>E20/B20</f>
        <v>1.0139837043991415</v>
      </c>
      <c r="I20" s="98">
        <v>209.9</v>
      </c>
      <c r="J20" s="98">
        <v>10</v>
      </c>
      <c r="K20" s="98">
        <f>0.007+0.047+0.002+14.355</f>
        <v>14.411</v>
      </c>
      <c r="L20" s="98">
        <f>+K20-J20</f>
        <v>4.4109999999999996</v>
      </c>
      <c r="M20" s="98">
        <f>SUM(K20/J20*100)</f>
        <v>144.11000000000001</v>
      </c>
      <c r="N20" s="91">
        <f t="shared" si="3"/>
        <v>30.608562903337727</v>
      </c>
      <c r="O20" s="91">
        <f t="shared" si="3"/>
        <v>3267.0596236681026</v>
      </c>
      <c r="P20" s="91">
        <f>SUM(N20/M20*100)</f>
        <v>21.239721673261901</v>
      </c>
    </row>
    <row r="21" spans="1:16" ht="22.5" customHeight="1">
      <c r="A21" s="92" t="s">
        <v>436</v>
      </c>
      <c r="B21" s="94">
        <f>878.68907+0.59155+0.24344+3.65558+7.92832+10.30367+7.29186</f>
        <v>908.70348999999999</v>
      </c>
      <c r="C21" s="93">
        <v>800</v>
      </c>
      <c r="D21" s="94">
        <v>560</v>
      </c>
      <c r="E21" s="357">
        <f>496.68+K21</f>
        <v>574.60077999999999</v>
      </c>
      <c r="F21" s="94">
        <f t="shared" si="4"/>
        <v>14.600779999999986</v>
      </c>
      <c r="G21" s="94">
        <f t="shared" si="5"/>
        <v>102.60728214285714</v>
      </c>
      <c r="H21" s="94">
        <f t="shared" si="6"/>
        <v>0.63233033252684001</v>
      </c>
      <c r="I21" s="100">
        <f>0.59155+3.65558+7.92832+10.3+7.29186</f>
        <v>29.767310000000002</v>
      </c>
      <c r="J21" s="94">
        <v>70</v>
      </c>
      <c r="K21" s="100">
        <f>11.585+7.891+15.963+11.346+11.747+11.363+0.05+1.524+6.45+0.00178</f>
        <v>77.920779999999993</v>
      </c>
      <c r="L21" s="94">
        <f t="shared" si="1"/>
        <v>7.9207799999999935</v>
      </c>
      <c r="M21" s="94">
        <f t="shared" si="2"/>
        <v>111.3154</v>
      </c>
      <c r="N21" s="93">
        <f t="shared" si="3"/>
        <v>10.165170317853587</v>
      </c>
      <c r="O21" s="93">
        <f t="shared" si="3"/>
        <v>1405.35906817258</v>
      </c>
      <c r="P21" s="93">
        <f>K21/I21</f>
        <v>2.6176627985531775</v>
      </c>
    </row>
    <row r="22" spans="1:16" ht="24.75" customHeight="1">
      <c r="A22" s="299" t="s">
        <v>26</v>
      </c>
      <c r="B22" s="297">
        <f>SUM(B23+B26+B28+B31+B34+B35+B37)</f>
        <v>3479.8981699999995</v>
      </c>
      <c r="C22" s="297">
        <f>SUM(C23+C26+C28+C31+C34+C35+C37)</f>
        <v>4905</v>
      </c>
      <c r="D22" s="297">
        <f>SUM(D23+D26+D28+D31+D34+D35+D37)</f>
        <v>3539</v>
      </c>
      <c r="E22" s="355">
        <f>SUM(E23+E26+E28+E31+E34+E35+E37)</f>
        <v>3306.8470000000002</v>
      </c>
      <c r="F22" s="297">
        <f t="shared" si="4"/>
        <v>-232.15299999999979</v>
      </c>
      <c r="G22" s="297">
        <f t="shared" si="5"/>
        <v>93.440152585476127</v>
      </c>
      <c r="H22" s="297">
        <f t="shared" si="6"/>
        <v>0.95027119715977226</v>
      </c>
      <c r="I22" s="297">
        <f>SUM(I23+I26+I28+I31+I34+I35+I37)</f>
        <v>857.11315999999999</v>
      </c>
      <c r="J22" s="297">
        <f>SUM(J23+J26+J28+J31+J34+J35+J37)</f>
        <v>428</v>
      </c>
      <c r="K22" s="297">
        <f>SUM(K23+K26+K28+K31+K34+K35+K37)</f>
        <v>601.50699999999995</v>
      </c>
      <c r="L22" s="297">
        <f>+K22-J22</f>
        <v>173.50699999999995</v>
      </c>
      <c r="M22" s="297">
        <f>SUM(K22/J22*100)</f>
        <v>140.53901869158878</v>
      </c>
      <c r="N22" s="98">
        <f t="shared" si="3"/>
        <v>28.845383345497222</v>
      </c>
      <c r="O22" s="98">
        <f t="shared" si="3"/>
        <v>80.999048275625086</v>
      </c>
      <c r="P22" s="93">
        <f t="shared" ref="P22:P35" si="8">K22/I22</f>
        <v>0.70178248109036145</v>
      </c>
    </row>
    <row r="23" spans="1:16" ht="21" customHeight="1">
      <c r="A23" s="92" t="s">
        <v>437</v>
      </c>
      <c r="B23" s="93">
        <f>SUM(B24:B25)</f>
        <v>2047.4498199999998</v>
      </c>
      <c r="C23" s="93">
        <f>SUM(C24:C25)</f>
        <v>4147</v>
      </c>
      <c r="D23" s="93">
        <f t="shared" ref="D23:K23" si="9">SUM(D24:D25)</f>
        <v>3014</v>
      </c>
      <c r="E23" s="358">
        <f t="shared" si="9"/>
        <v>2471.9740000000002</v>
      </c>
      <c r="F23" s="93">
        <f t="shared" si="9"/>
        <v>-542.02599999999984</v>
      </c>
      <c r="G23" s="93">
        <f t="shared" si="9"/>
        <v>173.79258023573686</v>
      </c>
      <c r="H23" s="93">
        <f t="shared" si="9"/>
        <v>2.3569397736524444</v>
      </c>
      <c r="I23" s="94">
        <f t="shared" si="9"/>
        <v>176.77</v>
      </c>
      <c r="J23" s="93">
        <f t="shared" si="9"/>
        <v>380</v>
      </c>
      <c r="K23" s="93">
        <f t="shared" si="9"/>
        <v>349.57399999999996</v>
      </c>
      <c r="L23" s="94">
        <f t="shared" si="1"/>
        <v>-30.426000000000045</v>
      </c>
      <c r="M23" s="93">
        <f>SUM(K23/J23*100)</f>
        <v>91.993157894736839</v>
      </c>
      <c r="N23" s="98">
        <f t="shared" si="3"/>
        <v>-8.7037365479126159</v>
      </c>
      <c r="O23" s="98">
        <f t="shared" si="3"/>
        <v>-302.35048279345528</v>
      </c>
      <c r="P23" s="93">
        <f t="shared" si="8"/>
        <v>1.9775640663008425</v>
      </c>
    </row>
    <row r="24" spans="1:16" ht="21" customHeight="1">
      <c r="A24" s="101" t="s">
        <v>439</v>
      </c>
      <c r="B24" s="99">
        <f>426.7447+15.93298+0.95597+3.6+10.43159+2.623</f>
        <v>460.28824000000003</v>
      </c>
      <c r="C24" s="97">
        <v>2518</v>
      </c>
      <c r="D24" s="98">
        <v>1640</v>
      </c>
      <c r="E24" s="303">
        <f>364.26+K24</f>
        <v>518.28899999999999</v>
      </c>
      <c r="F24" s="98">
        <f>+E24-D24</f>
        <v>-1121.711</v>
      </c>
      <c r="G24" s="98">
        <f>E24/D24*100</f>
        <v>31.602987804878047</v>
      </c>
      <c r="H24" s="98">
        <f>E24/B24</f>
        <v>1.1260096499532553</v>
      </c>
      <c r="I24" s="99">
        <v>35</v>
      </c>
      <c r="J24" s="98">
        <v>260</v>
      </c>
      <c r="K24" s="99">
        <f>72.8+11.068+27.117+6.1+25.317+6.527+5.1</f>
        <v>154.02899999999997</v>
      </c>
      <c r="L24" s="98">
        <f>+K24-J24</f>
        <v>-105.97100000000003</v>
      </c>
      <c r="M24" s="98">
        <f>SUM(K24/J24*100)</f>
        <v>59.241923076923065</v>
      </c>
      <c r="N24" s="94">
        <f t="shared" ref="N24:O29" si="10">SUM(L24/K24*100)</f>
        <v>-68.799381934570803</v>
      </c>
      <c r="O24" s="94">
        <f t="shared" si="10"/>
        <v>-55.903901139861887</v>
      </c>
      <c r="P24" s="93">
        <f t="shared" si="8"/>
        <v>4.4008285714285709</v>
      </c>
    </row>
    <row r="25" spans="1:16" ht="21" customHeight="1">
      <c r="A25" s="101" t="s">
        <v>438</v>
      </c>
      <c r="B25" s="99">
        <f>1438.35009+37.88431+5.635+9.568+6.455+14.383+23.01785+1.40833+45.57+4.89</f>
        <v>1587.1615799999997</v>
      </c>
      <c r="C25" s="97">
        <v>1629</v>
      </c>
      <c r="D25" s="98">
        <v>1374</v>
      </c>
      <c r="E25" s="303">
        <f>1758.14+K25</f>
        <v>1953.6850000000002</v>
      </c>
      <c r="F25" s="98">
        <f t="shared" si="4"/>
        <v>579.68500000000017</v>
      </c>
      <c r="G25" s="98">
        <f t="shared" si="5"/>
        <v>142.18959243085882</v>
      </c>
      <c r="H25" s="98">
        <f t="shared" si="6"/>
        <v>1.2309301236991892</v>
      </c>
      <c r="I25" s="99">
        <v>141.77000000000001</v>
      </c>
      <c r="J25" s="98">
        <v>120</v>
      </c>
      <c r="K25" s="99">
        <f>28.634+1.5+14.168+21.792+94.38+6.751+7.708+12.387+8.225</f>
        <v>195.54499999999999</v>
      </c>
      <c r="L25" s="98">
        <f t="shared" si="1"/>
        <v>75.544999999999987</v>
      </c>
      <c r="M25" s="98">
        <f>SUM(K25/J25*100)</f>
        <v>162.95416666666668</v>
      </c>
      <c r="N25" s="98">
        <f t="shared" si="10"/>
        <v>38.633051215832673</v>
      </c>
      <c r="O25" s="98">
        <f t="shared" si="10"/>
        <v>215.70476757782342</v>
      </c>
      <c r="P25" s="93">
        <f t="shared" si="8"/>
        <v>1.3793115609790503</v>
      </c>
    </row>
    <row r="26" spans="1:16" ht="21" customHeight="1">
      <c r="A26" s="102" t="s">
        <v>440</v>
      </c>
      <c r="B26" s="94">
        <f>SUM(B27:B27)</f>
        <v>183.71958000000001</v>
      </c>
      <c r="C26" s="93">
        <f>SUM(C27:C27)</f>
        <v>258</v>
      </c>
      <c r="D26" s="94">
        <f>SUM(D27:D27)</f>
        <v>180</v>
      </c>
      <c r="E26" s="356">
        <f>SUM(E27:E27)</f>
        <v>141.59</v>
      </c>
      <c r="F26" s="94">
        <f t="shared" si="4"/>
        <v>-38.409999999999997</v>
      </c>
      <c r="G26" s="94">
        <f t="shared" si="5"/>
        <v>78.661111111111111</v>
      </c>
      <c r="H26" s="94">
        <f t="shared" si="6"/>
        <v>0.77068541088543741</v>
      </c>
      <c r="I26" s="94">
        <f>SUM(I27:I27)</f>
        <v>1.65</v>
      </c>
      <c r="J26" s="94">
        <f>J27</f>
        <v>4</v>
      </c>
      <c r="K26" s="94">
        <f>SUM(K27:K27)</f>
        <v>0</v>
      </c>
      <c r="L26" s="94">
        <f t="shared" si="1"/>
        <v>-4</v>
      </c>
      <c r="M26" s="94">
        <f t="shared" ref="M26:M31" si="11">SUM(K26/J26*100)</f>
        <v>0</v>
      </c>
      <c r="N26" s="98" t="e">
        <f t="shared" si="10"/>
        <v>#DIV/0!</v>
      </c>
      <c r="O26" s="98">
        <f t="shared" si="10"/>
        <v>0</v>
      </c>
      <c r="P26" s="93">
        <f t="shared" si="8"/>
        <v>0</v>
      </c>
    </row>
    <row r="27" spans="1:16" ht="21" customHeight="1">
      <c r="A27" s="103" t="s">
        <v>40</v>
      </c>
      <c r="B27" s="99">
        <f>182.06958+1.65</f>
        <v>183.71958000000001</v>
      </c>
      <c r="C27" s="97">
        <v>258</v>
      </c>
      <c r="D27" s="98">
        <v>180</v>
      </c>
      <c r="E27" s="303">
        <f>141.59+K27</f>
        <v>141.59</v>
      </c>
      <c r="F27" s="98">
        <f t="shared" si="4"/>
        <v>-38.409999999999997</v>
      </c>
      <c r="G27" s="98">
        <f t="shared" si="5"/>
        <v>78.661111111111111</v>
      </c>
      <c r="H27" s="98">
        <f t="shared" si="6"/>
        <v>0.77068541088543741</v>
      </c>
      <c r="I27" s="99">
        <v>1.65</v>
      </c>
      <c r="J27" s="98">
        <v>4</v>
      </c>
      <c r="K27" s="99">
        <v>0</v>
      </c>
      <c r="L27" s="98">
        <f t="shared" si="1"/>
        <v>-4</v>
      </c>
      <c r="M27" s="98">
        <f t="shared" si="11"/>
        <v>0</v>
      </c>
      <c r="N27" s="98" t="e">
        <f t="shared" si="10"/>
        <v>#DIV/0!</v>
      </c>
      <c r="O27" s="98">
        <f t="shared" si="10"/>
        <v>0</v>
      </c>
      <c r="P27" s="93">
        <f t="shared" si="8"/>
        <v>0</v>
      </c>
    </row>
    <row r="28" spans="1:16" ht="34.5" customHeight="1">
      <c r="A28" s="102" t="s">
        <v>441</v>
      </c>
      <c r="B28" s="94">
        <f>SUM(B29:B30)</f>
        <v>27.371199999999998</v>
      </c>
      <c r="C28" s="93">
        <f>SUM(C29:C30)</f>
        <v>62</v>
      </c>
      <c r="D28" s="94">
        <f>SUM(D29:D30)</f>
        <v>46</v>
      </c>
      <c r="E28" s="356">
        <f>SUM(E29:E30)</f>
        <v>44.52</v>
      </c>
      <c r="F28" s="94">
        <f t="shared" si="4"/>
        <v>-1.4799999999999969</v>
      </c>
      <c r="G28" s="94">
        <f t="shared" si="5"/>
        <v>96.782608695652186</v>
      </c>
      <c r="H28" s="94">
        <f t="shared" si="6"/>
        <v>1.6265271526275795</v>
      </c>
      <c r="I28" s="94">
        <f>SUM(I29:I30)</f>
        <v>5.1740000000000004</v>
      </c>
      <c r="J28" s="94">
        <f>SUM(J29:J30)</f>
        <v>5</v>
      </c>
      <c r="K28" s="94">
        <f>SUM(K29:K30)</f>
        <v>0</v>
      </c>
      <c r="L28" s="94">
        <f t="shared" si="1"/>
        <v>-5</v>
      </c>
      <c r="M28" s="98">
        <f t="shared" si="11"/>
        <v>0</v>
      </c>
      <c r="N28" s="98" t="e">
        <f t="shared" si="10"/>
        <v>#DIV/0!</v>
      </c>
      <c r="O28" s="98">
        <f t="shared" si="10"/>
        <v>0</v>
      </c>
      <c r="P28" s="93">
        <f t="shared" si="8"/>
        <v>0</v>
      </c>
    </row>
    <row r="29" spans="1:16" ht="24.75" hidden="1" customHeight="1">
      <c r="A29" s="95" t="s">
        <v>442</v>
      </c>
      <c r="B29" s="98">
        <v>0</v>
      </c>
      <c r="C29" s="97">
        <v>0</v>
      </c>
      <c r="D29" s="98"/>
      <c r="E29" s="304"/>
      <c r="F29" s="94">
        <f t="shared" si="4"/>
        <v>0</v>
      </c>
      <c r="G29" s="94" t="e">
        <f t="shared" si="5"/>
        <v>#DIV/0!</v>
      </c>
      <c r="H29" s="94" t="e">
        <f t="shared" si="6"/>
        <v>#DIV/0!</v>
      </c>
      <c r="I29" s="98"/>
      <c r="J29" s="98"/>
      <c r="K29" s="98"/>
      <c r="L29" s="98">
        <f t="shared" si="1"/>
        <v>0</v>
      </c>
      <c r="M29" s="98" t="e">
        <f t="shared" si="11"/>
        <v>#DIV/0!</v>
      </c>
      <c r="N29" s="94" t="e">
        <f t="shared" si="10"/>
        <v>#DIV/0!</v>
      </c>
      <c r="O29" s="94" t="e">
        <f t="shared" si="10"/>
        <v>#DIV/0!</v>
      </c>
      <c r="P29" s="93" t="e">
        <f t="shared" si="8"/>
        <v>#DIV/0!</v>
      </c>
    </row>
    <row r="30" spans="1:16" ht="36" customHeight="1">
      <c r="A30" s="95" t="s">
        <v>443</v>
      </c>
      <c r="B30" s="99">
        <f>22.1972+5.174</f>
        <v>27.371199999999998</v>
      </c>
      <c r="C30" s="97">
        <v>62</v>
      </c>
      <c r="D30" s="98">
        <v>46</v>
      </c>
      <c r="E30" s="357">
        <f>44.52+K30</f>
        <v>44.52</v>
      </c>
      <c r="F30" s="98">
        <f t="shared" si="4"/>
        <v>-1.4799999999999969</v>
      </c>
      <c r="G30" s="98">
        <f t="shared" si="5"/>
        <v>96.782608695652186</v>
      </c>
      <c r="H30" s="98">
        <f t="shared" si="6"/>
        <v>1.6265271526275795</v>
      </c>
      <c r="I30" s="100">
        <v>5.1740000000000004</v>
      </c>
      <c r="J30" s="98">
        <v>5</v>
      </c>
      <c r="K30" s="100">
        <v>0</v>
      </c>
      <c r="L30" s="98">
        <f t="shared" si="1"/>
        <v>-5</v>
      </c>
      <c r="M30" s="98">
        <f t="shared" si="11"/>
        <v>0</v>
      </c>
      <c r="N30" s="97"/>
      <c r="O30" s="97"/>
      <c r="P30" s="93">
        <f t="shared" si="8"/>
        <v>0</v>
      </c>
    </row>
    <row r="31" spans="1:16" ht="33.75" customHeight="1">
      <c r="A31" s="92" t="s">
        <v>444</v>
      </c>
      <c r="B31" s="94">
        <f>SUM(B32:B33)</f>
        <v>179.87485999999998</v>
      </c>
      <c r="C31" s="93">
        <f>SUM(C32:C33)</f>
        <v>110</v>
      </c>
      <c r="D31" s="94">
        <f>SUM(D32:D33)</f>
        <v>81</v>
      </c>
      <c r="E31" s="356">
        <f>SUM(E32:E33)</f>
        <v>535.43299999999999</v>
      </c>
      <c r="F31" s="94">
        <f t="shared" si="4"/>
        <v>454.43299999999999</v>
      </c>
      <c r="G31" s="94">
        <f t="shared" si="5"/>
        <v>661.02839506172836</v>
      </c>
      <c r="H31" s="94">
        <f t="shared" si="6"/>
        <v>2.9766972438505306</v>
      </c>
      <c r="I31" s="94">
        <f>SUM(I32:I33)</f>
        <v>11.138159999999999</v>
      </c>
      <c r="J31" s="94">
        <f>SUM(J32:J33)</f>
        <v>9</v>
      </c>
      <c r="K31" s="94">
        <f>SUM(K32:K33)</f>
        <v>240.43299999999999</v>
      </c>
      <c r="L31" s="94">
        <f t="shared" si="1"/>
        <v>231.43299999999999</v>
      </c>
      <c r="M31" s="94">
        <f t="shared" si="11"/>
        <v>2671.4777777777776</v>
      </c>
      <c r="N31" s="97">
        <f t="shared" ref="N31:O36" si="12">SUM(L31/K31*100)</f>
        <v>96.256753440667467</v>
      </c>
      <c r="O31" s="97">
        <f t="shared" si="12"/>
        <v>1154.3201608144809</v>
      </c>
      <c r="P31" s="93">
        <f t="shared" si="8"/>
        <v>21.586420019105489</v>
      </c>
    </row>
    <row r="32" spans="1:16" ht="21" customHeight="1">
      <c r="A32" s="95" t="s">
        <v>445</v>
      </c>
      <c r="B32" s="97">
        <v>35.75</v>
      </c>
      <c r="C32" s="97"/>
      <c r="D32" s="98"/>
      <c r="E32" s="359"/>
      <c r="F32" s="97">
        <f t="shared" si="4"/>
        <v>0</v>
      </c>
      <c r="G32" s="97"/>
      <c r="H32" s="97">
        <f t="shared" si="6"/>
        <v>0</v>
      </c>
      <c r="I32" s="98">
        <v>0</v>
      </c>
      <c r="J32" s="97">
        <v>0</v>
      </c>
      <c r="K32" s="97"/>
      <c r="L32" s="97">
        <f t="shared" si="1"/>
        <v>0</v>
      </c>
      <c r="M32" s="97"/>
      <c r="N32" s="93" t="e">
        <f t="shared" si="12"/>
        <v>#DIV/0!</v>
      </c>
      <c r="O32" s="93" t="e">
        <f t="shared" si="12"/>
        <v>#DIV/0!</v>
      </c>
      <c r="P32" s="93" t="e">
        <f t="shared" si="8"/>
        <v>#DIV/0!</v>
      </c>
    </row>
    <row r="33" spans="1:16" ht="21" customHeight="1">
      <c r="A33" s="95" t="s">
        <v>446</v>
      </c>
      <c r="B33" s="96">
        <f>132.9867+3.3653+4.85886+2.914</f>
        <v>144.12485999999998</v>
      </c>
      <c r="C33" s="97">
        <v>110</v>
      </c>
      <c r="D33" s="98">
        <v>81</v>
      </c>
      <c r="E33" s="96">
        <f>295+K33</f>
        <v>535.43299999999999</v>
      </c>
      <c r="F33" s="98">
        <f t="shared" si="4"/>
        <v>454.43299999999999</v>
      </c>
      <c r="G33" s="97">
        <f t="shared" ref="G33:G38" si="13">E33/D33*100</f>
        <v>661.02839506172836</v>
      </c>
      <c r="H33" s="97">
        <f t="shared" si="6"/>
        <v>3.7150634526201798</v>
      </c>
      <c r="I33" s="99">
        <f>3.3653+4.85886+2.914</f>
        <v>11.138159999999999</v>
      </c>
      <c r="J33" s="97">
        <v>9</v>
      </c>
      <c r="K33" s="96">
        <f>5.456+105.11+125.273+4.594</f>
        <v>240.43299999999999</v>
      </c>
      <c r="L33" s="97">
        <f t="shared" si="1"/>
        <v>231.43299999999999</v>
      </c>
      <c r="M33" s="97">
        <f t="shared" ref="M33:M38" si="14">SUM(K33/J33*100)</f>
        <v>2671.4777777777776</v>
      </c>
      <c r="N33" s="93">
        <f t="shared" si="12"/>
        <v>96.256753440667467</v>
      </c>
      <c r="O33" s="93">
        <f t="shared" si="12"/>
        <v>1154.3201608144809</v>
      </c>
      <c r="P33" s="93">
        <f t="shared" si="8"/>
        <v>21.586420019105489</v>
      </c>
    </row>
    <row r="34" spans="1:16" ht="14.25" hidden="1" customHeight="1">
      <c r="A34" s="92" t="s">
        <v>447</v>
      </c>
      <c r="B34" s="93">
        <f>157.30508+9+11.5+10+3.44509</f>
        <v>191.25017</v>
      </c>
      <c r="C34" s="93">
        <v>308</v>
      </c>
      <c r="D34" s="94">
        <v>208</v>
      </c>
      <c r="E34" s="93">
        <f>101.83+K34</f>
        <v>113.33</v>
      </c>
      <c r="F34" s="93">
        <f t="shared" si="4"/>
        <v>-94.67</v>
      </c>
      <c r="G34" s="93">
        <f t="shared" si="13"/>
        <v>54.48557692307692</v>
      </c>
      <c r="H34" s="93">
        <f t="shared" si="6"/>
        <v>0.59257463666568244</v>
      </c>
      <c r="I34" s="94">
        <v>24.9</v>
      </c>
      <c r="J34" s="93">
        <v>30</v>
      </c>
      <c r="K34" s="93">
        <f>8+1+0.5+0.5+1+0.5</f>
        <v>11.5</v>
      </c>
      <c r="L34" s="93">
        <f t="shared" si="1"/>
        <v>-18.5</v>
      </c>
      <c r="M34" s="93">
        <f t="shared" si="14"/>
        <v>38.333333333333336</v>
      </c>
      <c r="N34" s="93">
        <f t="shared" si="12"/>
        <v>-160.86956521739131</v>
      </c>
      <c r="O34" s="93">
        <f t="shared" si="12"/>
        <v>-207.20720720720723</v>
      </c>
      <c r="P34" s="93">
        <f t="shared" si="8"/>
        <v>0.46184738955823296</v>
      </c>
    </row>
    <row r="35" spans="1:16" ht="15.75" hidden="1" customHeight="1">
      <c r="A35" s="92" t="s">
        <v>263</v>
      </c>
      <c r="B35" s="97">
        <f>212.75154+72.2+298.689+71+72.342+123.25</f>
        <v>850.23254000000009</v>
      </c>
      <c r="C35" s="93">
        <v>20</v>
      </c>
      <c r="D35" s="94">
        <f>5+5</f>
        <v>10</v>
      </c>
      <c r="E35" s="360">
        <f>K35</f>
        <v>0</v>
      </c>
      <c r="F35" s="97">
        <f t="shared" si="4"/>
        <v>-10</v>
      </c>
      <c r="G35" s="93">
        <f t="shared" si="13"/>
        <v>0</v>
      </c>
      <c r="H35" s="93">
        <f t="shared" si="6"/>
        <v>0</v>
      </c>
      <c r="I35" s="99">
        <f>72.2+298.689+71+72.342+123.25</f>
        <v>637.48099999999999</v>
      </c>
      <c r="J35" s="93">
        <v>0</v>
      </c>
      <c r="K35" s="96">
        <v>0</v>
      </c>
      <c r="L35" s="93">
        <f t="shared" si="1"/>
        <v>0</v>
      </c>
      <c r="M35" s="93" t="e">
        <f t="shared" si="14"/>
        <v>#DIV/0!</v>
      </c>
      <c r="N35" s="93" t="e">
        <f t="shared" si="12"/>
        <v>#DIV/0!</v>
      </c>
      <c r="O35" s="93" t="e">
        <f t="shared" si="12"/>
        <v>#DIV/0!</v>
      </c>
      <c r="P35" s="93">
        <f t="shared" si="8"/>
        <v>0</v>
      </c>
    </row>
    <row r="36" spans="1:16" ht="14.25" hidden="1" customHeight="1">
      <c r="A36" s="95" t="s">
        <v>448</v>
      </c>
      <c r="B36" s="97"/>
      <c r="C36" s="97"/>
      <c r="D36" s="98"/>
      <c r="E36" s="359"/>
      <c r="F36" s="97">
        <f t="shared" si="4"/>
        <v>0</v>
      </c>
      <c r="G36" s="93" t="e">
        <f t="shared" si="13"/>
        <v>#DIV/0!</v>
      </c>
      <c r="H36" s="93" t="e">
        <f t="shared" si="6"/>
        <v>#DIV/0!</v>
      </c>
      <c r="I36" s="97"/>
      <c r="J36" s="97"/>
      <c r="K36" s="97"/>
      <c r="L36" s="93">
        <f t="shared" si="1"/>
        <v>0</v>
      </c>
      <c r="M36" s="93" t="e">
        <f t="shared" si="14"/>
        <v>#DIV/0!</v>
      </c>
      <c r="N36" s="91" t="e">
        <f t="shared" si="12"/>
        <v>#DIV/0!</v>
      </c>
      <c r="O36" s="91" t="e">
        <f t="shared" si="12"/>
        <v>#DIV/0!</v>
      </c>
      <c r="P36" s="91" t="e">
        <f>K36/I36</f>
        <v>#DIV/0!</v>
      </c>
    </row>
    <row r="37" spans="1:16" ht="14.25" hidden="1" customHeight="1">
      <c r="A37" s="95" t="s">
        <v>449</v>
      </c>
      <c r="B37" s="97"/>
      <c r="C37" s="97">
        <v>0</v>
      </c>
      <c r="D37" s="98">
        <v>0</v>
      </c>
      <c r="E37" s="359"/>
      <c r="F37" s="97">
        <f t="shared" si="4"/>
        <v>0</v>
      </c>
      <c r="G37" s="93" t="e">
        <f t="shared" si="13"/>
        <v>#DIV/0!</v>
      </c>
      <c r="H37" s="93" t="e">
        <f t="shared" si="6"/>
        <v>#DIV/0!</v>
      </c>
      <c r="I37" s="97">
        <v>0</v>
      </c>
      <c r="J37" s="97">
        <v>0</v>
      </c>
      <c r="K37" s="97"/>
      <c r="L37" s="93">
        <f t="shared" si="1"/>
        <v>0</v>
      </c>
      <c r="M37" s="93" t="e">
        <f t="shared" si="14"/>
        <v>#DIV/0!</v>
      </c>
      <c r="N37" s="298" t="e">
        <f>K37/O37</f>
        <v>#DIV/0!</v>
      </c>
      <c r="O37" s="97">
        <v>0</v>
      </c>
    </row>
    <row r="38" spans="1:16" ht="27.75" customHeight="1">
      <c r="A38" s="299" t="s">
        <v>450</v>
      </c>
      <c r="B38" s="297">
        <f>+B8+B22</f>
        <v>24518.855889999999</v>
      </c>
      <c r="C38" s="297">
        <f>SUM(C22+C8)</f>
        <v>37828</v>
      </c>
      <c r="D38" s="297">
        <f>D8+D22</f>
        <v>24583</v>
      </c>
      <c r="E38" s="355">
        <f>E8+E22</f>
        <v>25142.807769999999</v>
      </c>
      <c r="F38" s="297">
        <f t="shared" si="4"/>
        <v>559.80776999999944</v>
      </c>
      <c r="G38" s="297">
        <f t="shared" si="13"/>
        <v>102.27721502664441</v>
      </c>
      <c r="H38" s="297">
        <f t="shared" si="6"/>
        <v>1.0254478383004191</v>
      </c>
      <c r="I38" s="297">
        <f>I8+I22</f>
        <v>2737.7515299999995</v>
      </c>
      <c r="J38" s="297">
        <f>J8+J22</f>
        <v>2385</v>
      </c>
      <c r="K38" s="297">
        <f>K8+K22</f>
        <v>2761.4477699999998</v>
      </c>
      <c r="L38" s="297">
        <f t="shared" si="1"/>
        <v>376.44776999999976</v>
      </c>
      <c r="M38" s="297">
        <f t="shared" si="14"/>
        <v>115.78397358490564</v>
      </c>
      <c r="N38" s="298">
        <f>K38/O38</f>
        <v>20.397094162614632</v>
      </c>
      <c r="O38" s="91">
        <f>O8+O22</f>
        <v>135.38437132194028</v>
      </c>
    </row>
    <row r="39" spans="1:16" ht="39" hidden="1" customHeight="1">
      <c r="A39" s="295" t="s">
        <v>634</v>
      </c>
    </row>
    <row r="40" spans="1:16" ht="18.75" hidden="1">
      <c r="A40" s="977" t="s">
        <v>635</v>
      </c>
      <c r="B40" s="977"/>
      <c r="C40" s="300"/>
      <c r="D40" s="104"/>
      <c r="E40" s="104"/>
      <c r="F40" s="104"/>
      <c r="G40" s="978" t="s">
        <v>618</v>
      </c>
      <c r="H40" s="978"/>
      <c r="I40" s="978"/>
      <c r="J40" s="978"/>
      <c r="K40" s="978"/>
      <c r="L40" s="978"/>
      <c r="M40" s="105"/>
      <c r="O40" s="157"/>
    </row>
    <row r="41" spans="1:16" hidden="1">
      <c r="A41" s="242" t="s">
        <v>636</v>
      </c>
    </row>
    <row r="42" spans="1:16" hidden="1">
      <c r="A42" s="242" t="s">
        <v>619</v>
      </c>
    </row>
  </sheetData>
  <mergeCells count="17">
    <mergeCell ref="H5:H6"/>
    <mergeCell ref="I5:I6"/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</mergeCells>
  <pageMargins left="0.68" right="0" top="0.39" bottom="0" header="0" footer="0"/>
  <pageSetup paperSize="9" scale="7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2.75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>
      <c r="B1" s="856" t="s">
        <v>264</v>
      </c>
      <c r="C1" s="856"/>
      <c r="D1" s="856"/>
      <c r="E1" s="856"/>
      <c r="F1" s="988" t="s">
        <v>496</v>
      </c>
      <c r="G1" s="988"/>
      <c r="H1" s="988"/>
    </row>
    <row r="2" spans="1:8" ht="15.75">
      <c r="A2" s="856" t="s">
        <v>649</v>
      </c>
      <c r="B2" s="856"/>
      <c r="C2" s="856"/>
      <c r="D2" s="856"/>
      <c r="E2" s="856"/>
      <c r="F2" s="856"/>
      <c r="G2" s="856"/>
    </row>
    <row r="3" spans="1:8" ht="14.25">
      <c r="B3" s="989" t="s">
        <v>767</v>
      </c>
      <c r="C3" s="989"/>
      <c r="D3" s="989"/>
      <c r="E3" s="989"/>
      <c r="F3" s="989"/>
      <c r="G3" s="26" t="s">
        <v>265</v>
      </c>
      <c r="H3" s="26"/>
    </row>
    <row r="4" spans="1:8" ht="56.25" customHeight="1">
      <c r="A4" s="171" t="s">
        <v>0</v>
      </c>
      <c r="B4" s="172" t="s">
        <v>1</v>
      </c>
      <c r="C4" s="167" t="s">
        <v>482</v>
      </c>
      <c r="D4" s="167" t="s">
        <v>484</v>
      </c>
      <c r="E4" s="166" t="s">
        <v>483</v>
      </c>
      <c r="F4" s="166" t="s">
        <v>716</v>
      </c>
      <c r="G4" s="166" t="s">
        <v>2</v>
      </c>
      <c r="H4" s="166" t="s">
        <v>3</v>
      </c>
    </row>
    <row r="5" spans="1:8">
      <c r="A5" s="162"/>
      <c r="B5" s="163" t="s">
        <v>4</v>
      </c>
      <c r="C5" s="126">
        <f>SUM(C6+C11+C15+C20+C23+C10)</f>
        <v>31233</v>
      </c>
      <c r="D5" s="126">
        <f>E5-C5</f>
        <v>1690</v>
      </c>
      <c r="E5" s="126">
        <f>SUM(E6+E11+E15+E20+E23+E10)</f>
        <v>32923</v>
      </c>
      <c r="F5" s="164">
        <f>SUM(F6+F11+F15+F20+F23+F10)</f>
        <v>21835.957999999999</v>
      </c>
      <c r="G5" s="165">
        <f>SUM(F5/E5%)</f>
        <v>66.324326458706665</v>
      </c>
      <c r="H5" s="165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61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301</v>
      </c>
      <c r="B10" s="28" t="s">
        <v>302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247</v>
      </c>
      <c r="B13" s="20" t="s">
        <v>248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258</v>
      </c>
      <c r="B14" s="27" t="s">
        <v>259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631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639</v>
      </c>
      <c r="B18" s="20" t="s">
        <v>632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640</v>
      </c>
      <c r="B19" s="20" t="s">
        <v>633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156</v>
      </c>
      <c r="B23" s="28" t="s">
        <v>158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157</v>
      </c>
      <c r="B24" s="20" t="s">
        <v>159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62"/>
      <c r="B25" s="163" t="s">
        <v>26</v>
      </c>
      <c r="C25" s="126">
        <f>SUM(C26+C31+C38+C52+C33+C35+C51)</f>
        <v>4905</v>
      </c>
      <c r="D25" s="126">
        <f t="shared" si="0"/>
        <v>0</v>
      </c>
      <c r="E25" s="126">
        <f>SUM(E26+E31+E38+E52+E33+E35+E51)</f>
        <v>4905</v>
      </c>
      <c r="F25" s="164">
        <f>SUM(F26+F31+F38+F52+F33+F35+F51)</f>
        <v>3306.85</v>
      </c>
      <c r="G25" s="165">
        <f t="shared" si="1"/>
        <v>67.417940876656473</v>
      </c>
      <c r="H25" s="165">
        <f t="shared" si="2"/>
        <v>-1598.15</v>
      </c>
    </row>
    <row r="26" spans="1:8" ht="36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>
      <c r="A33" s="31" t="s">
        <v>161</v>
      </c>
      <c r="B33" s="28" t="s">
        <v>160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162</v>
      </c>
      <c r="B34" s="20" t="s">
        <v>163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>
      <c r="A35" s="31" t="s">
        <v>164</v>
      </c>
      <c r="B35" s="28" t="s">
        <v>165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>
      <c r="A36" s="30" t="s">
        <v>239</v>
      </c>
      <c r="B36" s="20" t="s">
        <v>240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166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260</v>
      </c>
      <c r="B47" s="20" t="s">
        <v>261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153</v>
      </c>
      <c r="B48" s="20" t="s">
        <v>154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262</v>
      </c>
      <c r="B51" s="20" t="s">
        <v>263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62" t="s">
        <v>65</v>
      </c>
      <c r="B53" s="163" t="s">
        <v>186</v>
      </c>
      <c r="C53" s="126">
        <f>C5+C25</f>
        <v>36138</v>
      </c>
      <c r="D53" s="126">
        <f t="shared" si="0"/>
        <v>1690</v>
      </c>
      <c r="E53" s="126">
        <f>E5+E25</f>
        <v>37828</v>
      </c>
      <c r="F53" s="164">
        <f>SUM(F5+F25)</f>
        <v>25142.807999999997</v>
      </c>
      <c r="G53" s="165">
        <f t="shared" si="1"/>
        <v>66.466130908321873</v>
      </c>
      <c r="H53" s="165">
        <f t="shared" si="2"/>
        <v>-12685.192000000003</v>
      </c>
      <c r="I53" s="68"/>
    </row>
    <row r="54" spans="1:9" s="37" customFormat="1" ht="24">
      <c r="A54" s="173" t="s">
        <v>671</v>
      </c>
      <c r="B54" s="174" t="s">
        <v>177</v>
      </c>
      <c r="C54" s="185">
        <f>C55+C56</f>
        <v>139913.70000000001</v>
      </c>
      <c r="D54" s="186">
        <f>D55+D56</f>
        <v>23273.199999999997</v>
      </c>
      <c r="E54" s="185">
        <f>E55+E56</f>
        <v>163186.9</v>
      </c>
      <c r="F54" s="185">
        <f>F55+F56</f>
        <v>126359.5</v>
      </c>
      <c r="G54" s="175">
        <f>SUM(F54/E54%)</f>
        <v>77.432379682437755</v>
      </c>
      <c r="H54" s="175">
        <f t="shared" si="2"/>
        <v>-36827.399999999994</v>
      </c>
    </row>
    <row r="55" spans="1:9" ht="24">
      <c r="A55" s="30" t="s">
        <v>652</v>
      </c>
      <c r="B55" s="20" t="s">
        <v>178</v>
      </c>
      <c r="C55" s="158">
        <v>128803.2</v>
      </c>
      <c r="D55" s="32">
        <f t="shared" si="0"/>
        <v>0</v>
      </c>
      <c r="E55" s="160">
        <v>128803.2</v>
      </c>
      <c r="F55" s="235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653</v>
      </c>
      <c r="B56" s="20" t="s">
        <v>155</v>
      </c>
      <c r="C56" s="158">
        <v>11110.5</v>
      </c>
      <c r="D56" s="35">
        <f t="shared" si="0"/>
        <v>23273.199999999997</v>
      </c>
      <c r="E56" s="160">
        <v>34383.699999999997</v>
      </c>
      <c r="F56" s="235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>
      <c r="A57" s="173" t="s">
        <v>654</v>
      </c>
      <c r="B57" s="174" t="s">
        <v>458</v>
      </c>
      <c r="C57" s="176">
        <f>SUM(C58:C66)</f>
        <v>38712.800000000003</v>
      </c>
      <c r="D57" s="176">
        <f>SUM(D58:D66)</f>
        <v>51533.151300000005</v>
      </c>
      <c r="E57" s="176">
        <f>SUM(E58:E66)</f>
        <v>90245.951300000015</v>
      </c>
      <c r="F57" s="176">
        <f>SUM(F58:F66)</f>
        <v>34060.657299999999</v>
      </c>
      <c r="G57" s="177">
        <f>SUM(F57/E57%)</f>
        <v>37.742033641790634</v>
      </c>
      <c r="H57" s="177">
        <f>SUM(F57-E57)</f>
        <v>-56185.294000000016</v>
      </c>
    </row>
    <row r="58" spans="1:9" ht="38.25" customHeight="1">
      <c r="A58" s="30" t="s">
        <v>672</v>
      </c>
      <c r="B58" s="20" t="s">
        <v>575</v>
      </c>
      <c r="C58" s="158">
        <v>0</v>
      </c>
      <c r="D58" s="237">
        <f>E58-C58</f>
        <v>40841</v>
      </c>
      <c r="E58" s="239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655</v>
      </c>
      <c r="B59" s="20" t="s">
        <v>573</v>
      </c>
      <c r="C59" s="187">
        <v>0</v>
      </c>
      <c r="D59" s="237">
        <f>E59-C59</f>
        <v>0</v>
      </c>
      <c r="E59" s="239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656</v>
      </c>
      <c r="B60" s="20" t="s">
        <v>574</v>
      </c>
      <c r="C60" s="160">
        <v>0</v>
      </c>
      <c r="D60" s="241">
        <f>E60-C60</f>
        <v>2.1053000000000002</v>
      </c>
      <c r="E60" s="160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657</v>
      </c>
      <c r="B61" s="20" t="s">
        <v>608</v>
      </c>
      <c r="C61" s="160">
        <v>0</v>
      </c>
      <c r="D61" s="241">
        <f t="shared" si="0"/>
        <v>7786.0460000000003</v>
      </c>
      <c r="E61" s="160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658</v>
      </c>
      <c r="B62" s="20" t="s">
        <v>485</v>
      </c>
      <c r="C62" s="160">
        <v>0</v>
      </c>
      <c r="D62" s="237">
        <f t="shared" si="0"/>
        <v>3000</v>
      </c>
      <c r="E62" s="240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659</v>
      </c>
      <c r="B63" s="20" t="s">
        <v>572</v>
      </c>
      <c r="C63" s="158">
        <v>0</v>
      </c>
      <c r="D63" s="241">
        <f>E63-C63</f>
        <v>0</v>
      </c>
      <c r="E63" s="236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660</v>
      </c>
      <c r="B64" s="20" t="s">
        <v>459</v>
      </c>
      <c r="C64" s="158">
        <v>36167.800000000003</v>
      </c>
      <c r="D64" s="241">
        <f t="shared" si="0"/>
        <v>-2700</v>
      </c>
      <c r="E64" s="236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660</v>
      </c>
      <c r="B65" s="168" t="s">
        <v>460</v>
      </c>
      <c r="C65" s="158">
        <v>2545</v>
      </c>
      <c r="D65" s="237">
        <f t="shared" si="0"/>
        <v>0</v>
      </c>
      <c r="E65" s="160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660</v>
      </c>
      <c r="B66" s="168" t="s">
        <v>609</v>
      </c>
      <c r="C66" s="158"/>
      <c r="D66" s="237">
        <f>E66-C66</f>
        <v>2604</v>
      </c>
      <c r="E66" s="160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73" t="s">
        <v>661</v>
      </c>
      <c r="B67" s="174" t="s">
        <v>183</v>
      </c>
      <c r="C67" s="178">
        <f>SUM(C68:C90)</f>
        <v>403691.60000000003</v>
      </c>
      <c r="D67" s="178">
        <f>SUM(D68:D90)</f>
        <v>-55677.51</v>
      </c>
      <c r="E67" s="178">
        <f>SUM(E68:E90)</f>
        <v>348014.08999999991</v>
      </c>
      <c r="F67" s="178">
        <f>SUM(F68:F90)</f>
        <v>261613.35593999998</v>
      </c>
      <c r="G67" s="177">
        <f>SUM(F67/E67%)</f>
        <v>75.173208056030163</v>
      </c>
      <c r="H67" s="177">
        <f>SUM(F67-E67)</f>
        <v>-86400.73405999993</v>
      </c>
    </row>
    <row r="68" spans="1:8" s="37" customFormat="1" ht="36">
      <c r="A68" s="30" t="s">
        <v>662</v>
      </c>
      <c r="B68" s="20" t="s">
        <v>180</v>
      </c>
      <c r="C68" s="158">
        <v>10.7</v>
      </c>
      <c r="D68" s="237">
        <f t="shared" si="0"/>
        <v>0</v>
      </c>
      <c r="E68" s="160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>
      <c r="A69" s="30" t="s">
        <v>461</v>
      </c>
      <c r="B69" s="168" t="s">
        <v>462</v>
      </c>
      <c r="C69" s="159"/>
      <c r="D69" s="237">
        <f t="shared" si="0"/>
        <v>0</v>
      </c>
      <c r="E69" s="160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463</v>
      </c>
      <c r="B70" s="20" t="s">
        <v>464</v>
      </c>
      <c r="C70" s="159"/>
      <c r="D70" s="237">
        <f t="shared" si="0"/>
        <v>0</v>
      </c>
      <c r="E70" s="160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663</v>
      </c>
      <c r="B71" s="20" t="s">
        <v>182</v>
      </c>
      <c r="C71" s="159">
        <v>84870</v>
      </c>
      <c r="D71" s="237">
        <f t="shared" si="0"/>
        <v>-25870</v>
      </c>
      <c r="E71" s="160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664</v>
      </c>
      <c r="B72" s="20" t="s">
        <v>465</v>
      </c>
      <c r="C72" s="158">
        <v>937</v>
      </c>
      <c r="D72" s="237">
        <f t="shared" si="0"/>
        <v>0</v>
      </c>
      <c r="E72" s="160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486</v>
      </c>
      <c r="B73" s="20" t="s">
        <v>466</v>
      </c>
      <c r="C73" s="158"/>
      <c r="D73" s="237">
        <f t="shared" si="0"/>
        <v>0</v>
      </c>
      <c r="E73" s="238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664</v>
      </c>
      <c r="B74" s="20" t="s">
        <v>467</v>
      </c>
      <c r="C74" s="158">
        <v>3769.5</v>
      </c>
      <c r="D74" s="241">
        <f t="shared" ref="D74:D95" si="3">E74-C74</f>
        <v>0</v>
      </c>
      <c r="E74" s="236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>
      <c r="A75" s="30" t="s">
        <v>664</v>
      </c>
      <c r="B75" s="20" t="s">
        <v>468</v>
      </c>
      <c r="C75" s="158">
        <v>8405.9</v>
      </c>
      <c r="D75" s="237">
        <f t="shared" si="3"/>
        <v>0</v>
      </c>
      <c r="E75" s="236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664</v>
      </c>
      <c r="B76" s="20" t="s">
        <v>469</v>
      </c>
      <c r="C76" s="158">
        <v>437.2</v>
      </c>
      <c r="D76" s="237">
        <f t="shared" si="3"/>
        <v>0</v>
      </c>
      <c r="E76" s="236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664</v>
      </c>
      <c r="B77" s="20" t="s">
        <v>470</v>
      </c>
      <c r="C77" s="158">
        <v>441.7</v>
      </c>
      <c r="D77" s="237">
        <f t="shared" si="3"/>
        <v>0</v>
      </c>
      <c r="E77" s="236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664</v>
      </c>
      <c r="B78" s="20" t="s">
        <v>471</v>
      </c>
      <c r="C78" s="187">
        <v>129070</v>
      </c>
      <c r="D78" s="237">
        <f t="shared" si="3"/>
        <v>0</v>
      </c>
      <c r="E78" s="239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664</v>
      </c>
      <c r="B79" s="20" t="s">
        <v>472</v>
      </c>
      <c r="C79" s="158">
        <v>79012</v>
      </c>
      <c r="D79" s="237">
        <f t="shared" si="3"/>
        <v>0</v>
      </c>
      <c r="E79" s="239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664</v>
      </c>
      <c r="B80" s="20" t="s">
        <v>473</v>
      </c>
      <c r="C80" s="187">
        <v>97</v>
      </c>
      <c r="D80" s="237">
        <f t="shared" si="3"/>
        <v>0</v>
      </c>
      <c r="E80" s="239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486</v>
      </c>
      <c r="B81" s="170" t="s">
        <v>474</v>
      </c>
      <c r="C81" s="160"/>
      <c r="D81" s="237">
        <f t="shared" si="3"/>
        <v>0</v>
      </c>
      <c r="E81" s="238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664</v>
      </c>
      <c r="B82" s="20" t="s">
        <v>478</v>
      </c>
      <c r="C82" s="158">
        <v>337.4</v>
      </c>
      <c r="D82" s="237">
        <f>E82-C82</f>
        <v>0</v>
      </c>
      <c r="E82" s="160">
        <v>337.4</v>
      </c>
      <c r="F82" s="188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664</v>
      </c>
      <c r="B83" s="20" t="s">
        <v>479</v>
      </c>
      <c r="C83" s="158">
        <v>10961.8</v>
      </c>
      <c r="D83" s="237">
        <f>E83-C83</f>
        <v>0</v>
      </c>
      <c r="E83" s="160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476</v>
      </c>
      <c r="B84" s="20" t="s">
        <v>477</v>
      </c>
      <c r="C84" s="158"/>
      <c r="D84" s="237">
        <f t="shared" si="3"/>
        <v>0</v>
      </c>
      <c r="E84" s="160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665</v>
      </c>
      <c r="B85" s="20" t="s">
        <v>181</v>
      </c>
      <c r="C85" s="158">
        <v>1123.2</v>
      </c>
      <c r="D85" s="241">
        <f>E85-C85</f>
        <v>129.09999999999991</v>
      </c>
      <c r="E85" s="160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666</v>
      </c>
      <c r="B86" s="20" t="s">
        <v>475</v>
      </c>
      <c r="C86" s="160">
        <v>5.8</v>
      </c>
      <c r="D86" s="237">
        <f>E86-C86</f>
        <v>0</v>
      </c>
      <c r="E86" s="160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667</v>
      </c>
      <c r="B87" s="20" t="s">
        <v>179</v>
      </c>
      <c r="C87" s="158">
        <v>8135</v>
      </c>
      <c r="D87" s="241">
        <f>E87-C87</f>
        <v>1735.5400000000009</v>
      </c>
      <c r="E87" s="160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668</v>
      </c>
      <c r="B88" s="20" t="s">
        <v>480</v>
      </c>
      <c r="C88" s="158">
        <v>33624.1</v>
      </c>
      <c r="D88" s="237">
        <f t="shared" si="3"/>
        <v>0</v>
      </c>
      <c r="E88" s="160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669</v>
      </c>
      <c r="B89" s="169" t="s">
        <v>641</v>
      </c>
      <c r="C89" s="75">
        <v>234.4</v>
      </c>
      <c r="D89" s="241">
        <f>E89-C89</f>
        <v>-231.85</v>
      </c>
      <c r="E89" s="160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670</v>
      </c>
      <c r="B90" s="20" t="s">
        <v>571</v>
      </c>
      <c r="C90" s="158">
        <v>42218.9</v>
      </c>
      <c r="D90" s="241">
        <f>E90-C90</f>
        <v>-31440.300000000003</v>
      </c>
      <c r="E90" s="236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73" t="s">
        <v>489</v>
      </c>
      <c r="B91" s="174" t="s">
        <v>184</v>
      </c>
      <c r="C91" s="178">
        <f>C92+C93</f>
        <v>0</v>
      </c>
      <c r="D91" s="178">
        <f>D92+D93</f>
        <v>0</v>
      </c>
      <c r="E91" s="178">
        <f>E92+E93</f>
        <v>0</v>
      </c>
      <c r="F91" s="178">
        <f>F92+F93</f>
        <v>0</v>
      </c>
      <c r="G91" s="175" t="e">
        <f t="shared" si="6"/>
        <v>#DIV/0!</v>
      </c>
      <c r="H91" s="175">
        <f t="shared" si="5"/>
        <v>0</v>
      </c>
    </row>
    <row r="92" spans="1:10" ht="36" hidden="1">
      <c r="A92" s="30" t="s">
        <v>422</v>
      </c>
      <c r="B92" s="20" t="s">
        <v>185</v>
      </c>
      <c r="C92" s="161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487</v>
      </c>
      <c r="B93" s="20" t="s">
        <v>488</v>
      </c>
      <c r="C93" s="161">
        <v>0</v>
      </c>
      <c r="D93" s="32">
        <f t="shared" si="3"/>
        <v>0</v>
      </c>
      <c r="E93" s="179">
        <v>0</v>
      </c>
      <c r="F93" s="179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80" t="s">
        <v>66</v>
      </c>
      <c r="B94" s="181" t="s">
        <v>481</v>
      </c>
      <c r="C94" s="182">
        <f>C54+C67+C57+C91</f>
        <v>582318.10000000009</v>
      </c>
      <c r="D94" s="183">
        <f>E94-C94</f>
        <v>19128.841299999738</v>
      </c>
      <c r="E94" s="182">
        <f>E54+E67+E57+E91</f>
        <v>601446.94129999983</v>
      </c>
      <c r="F94" s="322">
        <f>F54+F67+F57+F91</f>
        <v>422033.51324</v>
      </c>
      <c r="G94" s="184">
        <f>SUM(F94/E94%)</f>
        <v>70.16969981222185</v>
      </c>
      <c r="H94" s="177">
        <f t="shared" si="5"/>
        <v>-179413.42805999983</v>
      </c>
      <c r="I94" s="37"/>
      <c r="J94" s="37"/>
    </row>
    <row r="95" spans="1:10">
      <c r="A95" s="173"/>
      <c r="B95" s="174" t="s">
        <v>255</v>
      </c>
      <c r="C95" s="183">
        <f>C94+C53</f>
        <v>618456.10000000009</v>
      </c>
      <c r="D95" s="183">
        <f t="shared" si="3"/>
        <v>20818.841299999738</v>
      </c>
      <c r="E95" s="183">
        <f>E94+E53</f>
        <v>639274.94129999983</v>
      </c>
      <c r="F95" s="321">
        <f>F94+F53</f>
        <v>447176.32124000002</v>
      </c>
      <c r="G95" s="184">
        <f>SUM(F95/E95%)</f>
        <v>69.950547464075939</v>
      </c>
      <c r="H95" s="175">
        <f>SUM(F95-E95)</f>
        <v>-192098.62005999981</v>
      </c>
      <c r="I95" s="37"/>
      <c r="J95" s="37"/>
    </row>
    <row r="96" spans="1:10">
      <c r="F96" s="68"/>
    </row>
    <row r="97" spans="6:6">
      <c r="F97" s="39"/>
    </row>
    <row r="99" spans="6:6">
      <c r="F99" s="68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X154"/>
  <sheetViews>
    <sheetView view="pageBreakPreview" zoomScale="106" zoomScaleSheetLayoutView="106" workbookViewId="0">
      <pane xSplit="2" ySplit="13" topLeftCell="L143" activePane="bottomRight" state="frozen"/>
      <selection pane="topRight" activeCell="C1" sqref="C1"/>
      <selection pane="bottomLeft" activeCell="A6" sqref="A6"/>
      <selection pane="bottomRight" activeCell="A2" sqref="A2:G2"/>
    </sheetView>
  </sheetViews>
  <sheetFormatPr defaultColWidth="9.140625" defaultRowHeight="12"/>
  <cols>
    <col min="1" max="1" width="38.42578125" style="317" customWidth="1"/>
    <col min="2" max="2" width="6.28515625" style="316" customWidth="1"/>
    <col min="3" max="3" width="9.140625" style="624" customWidth="1"/>
    <col min="4" max="4" width="9.5703125" style="624" customWidth="1"/>
    <col min="5" max="5" width="8.85546875" style="317" hidden="1" customWidth="1"/>
    <col min="6" max="6" width="11" style="624" customWidth="1"/>
    <col min="7" max="7" width="10.42578125" style="625" customWidth="1"/>
    <col min="8" max="8" width="10.5703125" style="501" hidden="1" customWidth="1"/>
    <col min="9" max="9" width="11.85546875" style="501" hidden="1" customWidth="1"/>
    <col min="10" max="10" width="9.5703125" style="624" customWidth="1"/>
    <col min="11" max="11" width="10.5703125" style="624" customWidth="1"/>
    <col min="12" max="12" width="10" style="624" customWidth="1"/>
    <col min="13" max="13" width="11" style="624" customWidth="1"/>
    <col min="14" max="14" width="9.140625" style="624" customWidth="1"/>
    <col min="15" max="15" width="11.5703125" style="498" customWidth="1"/>
    <col min="16" max="16" width="13" style="624" customWidth="1"/>
    <col min="17" max="17" width="12.28515625" style="498" hidden="1" customWidth="1"/>
    <col min="18" max="18" width="10" style="624" customWidth="1"/>
    <col min="19" max="19" width="9" style="624" customWidth="1"/>
    <col min="20" max="20" width="11.85546875" style="498" customWidth="1"/>
    <col min="21" max="21" width="15.42578125" style="317" customWidth="1"/>
    <col min="22" max="22" width="10.85546875" style="317" customWidth="1"/>
    <col min="23" max="23" width="9.7109375" style="317" bestFit="1" customWidth="1"/>
    <col min="24" max="24" width="11.140625" style="317" bestFit="1" customWidth="1"/>
    <col min="25" max="16384" width="9.140625" style="317"/>
  </cols>
  <sheetData>
    <row r="1" spans="1:24" ht="15" thickBot="1">
      <c r="J1" s="498"/>
      <c r="K1" s="498"/>
      <c r="L1" s="498"/>
      <c r="M1" s="498"/>
      <c r="N1" s="498"/>
      <c r="P1" s="498"/>
      <c r="R1" s="1003" t="s">
        <v>759</v>
      </c>
      <c r="S1" s="1003"/>
      <c r="T1" s="1003"/>
    </row>
    <row r="2" spans="1:24" ht="15.75" customHeight="1" thickBot="1">
      <c r="A2" s="993" t="s">
        <v>962</v>
      </c>
      <c r="B2" s="993"/>
      <c r="C2" s="993"/>
      <c r="D2" s="993"/>
      <c r="E2" s="993"/>
      <c r="F2" s="993"/>
      <c r="G2" s="993"/>
      <c r="H2" s="577"/>
      <c r="I2" s="577"/>
      <c r="J2" s="994" t="s">
        <v>719</v>
      </c>
      <c r="K2" s="994"/>
      <c r="L2" s="994"/>
      <c r="M2" s="578"/>
      <c r="N2" s="995">
        <v>580.10083999999995</v>
      </c>
      <c r="O2" s="995"/>
      <c r="P2" s="996" t="s">
        <v>681</v>
      </c>
      <c r="Q2" s="996"/>
      <c r="R2" s="996"/>
      <c r="S2" s="578" t="s">
        <v>889</v>
      </c>
      <c r="T2" s="584">
        <v>23078.407800000001</v>
      </c>
    </row>
    <row r="3" spans="1:24" s="582" customFormat="1" ht="16.5" customHeight="1">
      <c r="A3" s="997" t="s">
        <v>89</v>
      </c>
      <c r="B3" s="997" t="s">
        <v>90</v>
      </c>
      <c r="C3" s="997" t="s">
        <v>720</v>
      </c>
      <c r="D3" s="999" t="s">
        <v>91</v>
      </c>
      <c r="E3" s="1000"/>
      <c r="F3" s="997" t="s">
        <v>923</v>
      </c>
      <c r="G3" s="997" t="s">
        <v>673</v>
      </c>
      <c r="H3" s="997" t="s">
        <v>585</v>
      </c>
      <c r="I3" s="997" t="s">
        <v>275</v>
      </c>
      <c r="J3" s="997" t="s">
        <v>888</v>
      </c>
      <c r="K3" s="997" t="s">
        <v>721</v>
      </c>
      <c r="L3" s="997" t="s">
        <v>491</v>
      </c>
      <c r="M3" s="1001" t="s">
        <v>617</v>
      </c>
      <c r="N3" s="997" t="s">
        <v>71</v>
      </c>
      <c r="O3" s="997" t="s">
        <v>95</v>
      </c>
      <c r="P3" s="997" t="s">
        <v>576</v>
      </c>
      <c r="Q3" s="679"/>
      <c r="R3" s="1001" t="s">
        <v>674</v>
      </c>
      <c r="S3" s="1002" t="s">
        <v>885</v>
      </c>
      <c r="T3" s="1002" t="s">
        <v>97</v>
      </c>
    </row>
    <row r="4" spans="1:24" s="582" customFormat="1" ht="14.25" customHeight="1">
      <c r="A4" s="998"/>
      <c r="B4" s="998"/>
      <c r="C4" s="998"/>
      <c r="D4" s="167" t="s">
        <v>98</v>
      </c>
      <c r="E4" s="167" t="s">
        <v>722</v>
      </c>
      <c r="F4" s="998"/>
      <c r="G4" s="998"/>
      <c r="H4" s="998"/>
      <c r="I4" s="998"/>
      <c r="J4" s="998"/>
      <c r="K4" s="998"/>
      <c r="L4" s="998"/>
      <c r="M4" s="998"/>
      <c r="N4" s="998"/>
      <c r="O4" s="998"/>
      <c r="P4" s="998"/>
      <c r="Q4" s="678" t="s">
        <v>617</v>
      </c>
      <c r="R4" s="998"/>
      <c r="S4" s="998"/>
      <c r="T4" s="998"/>
    </row>
    <row r="5" spans="1:24" ht="22.5" customHeight="1">
      <c r="A5" s="503" t="s">
        <v>99</v>
      </c>
      <c r="B5" s="446">
        <v>200</v>
      </c>
      <c r="C5" s="448">
        <f t="shared" ref="C5:K5" si="0">SUM(C6+C12+C79+C88+C94+C107+C115)</f>
        <v>4616.7411700000002</v>
      </c>
      <c r="D5" s="448">
        <f t="shared" si="0"/>
        <v>4616.7411700000002</v>
      </c>
      <c r="E5" s="448">
        <f t="shared" si="0"/>
        <v>0</v>
      </c>
      <c r="F5" s="448">
        <f t="shared" si="0"/>
        <v>1838.4880500000002</v>
      </c>
      <c r="G5" s="448">
        <f t="shared" si="0"/>
        <v>465.53059999999999</v>
      </c>
      <c r="H5" s="448">
        <f t="shared" si="0"/>
        <v>0</v>
      </c>
      <c r="I5" s="448">
        <f t="shared" si="0"/>
        <v>0</v>
      </c>
      <c r="J5" s="448">
        <f t="shared" si="0"/>
        <v>154.60894000000002</v>
      </c>
      <c r="K5" s="448">
        <f t="shared" si="0"/>
        <v>2511.1467199999997</v>
      </c>
      <c r="L5" s="448">
        <f>SUM(L6+L12+L79+L88+L94+L107+L115)</f>
        <v>8692.6242600000005</v>
      </c>
      <c r="M5" s="448">
        <f t="shared" ref="M5:N5" si="1">SUM(M6+M12+M79+M88+M94+M107+M115)</f>
        <v>565.27616999999998</v>
      </c>
      <c r="N5" s="448">
        <f t="shared" si="1"/>
        <v>235.20686000000001</v>
      </c>
      <c r="O5" s="450">
        <f>L5+N5+M5</f>
        <v>9493.1072899999999</v>
      </c>
      <c r="P5" s="448">
        <f t="shared" ref="P5:R5" si="2">SUM(P6+P12+P79+P88+P94+P107+P115)</f>
        <v>1657.9350399999996</v>
      </c>
      <c r="Q5" s="448">
        <f t="shared" si="2"/>
        <v>0</v>
      </c>
      <c r="R5" s="448">
        <f t="shared" si="2"/>
        <v>1007.7740900000001</v>
      </c>
      <c r="S5" s="448">
        <f>SUM(S6+S12+S88+S94+S115)</f>
        <v>842.53537000000006</v>
      </c>
      <c r="T5" s="450">
        <f t="shared" ref="T5:T13" si="3">C5+F5+G5+J5+K5+O5+P5+Q5+R5+S5</f>
        <v>22587.867270000002</v>
      </c>
      <c r="U5" s="364"/>
      <c r="V5" s="364"/>
      <c r="W5" s="318"/>
      <c r="X5" s="318"/>
    </row>
    <row r="6" spans="1:24" ht="15.75" customHeight="1">
      <c r="A6" s="504" t="s">
        <v>100</v>
      </c>
      <c r="B6" s="446">
        <v>210</v>
      </c>
      <c r="C6" s="448">
        <f t="shared" ref="C6:S6" si="4">SUM(C7+C8+C11)</f>
        <v>0</v>
      </c>
      <c r="D6" s="448">
        <f>SUM(D7+D8+D11)</f>
        <v>0</v>
      </c>
      <c r="E6" s="448">
        <f t="shared" si="4"/>
        <v>0</v>
      </c>
      <c r="F6" s="448">
        <f t="shared" si="4"/>
        <v>0</v>
      </c>
      <c r="G6" s="448">
        <f t="shared" si="4"/>
        <v>0</v>
      </c>
      <c r="H6" s="448">
        <f t="shared" si="4"/>
        <v>0</v>
      </c>
      <c r="I6" s="448">
        <f t="shared" si="4"/>
        <v>0</v>
      </c>
      <c r="J6" s="448">
        <f t="shared" si="4"/>
        <v>0</v>
      </c>
      <c r="K6" s="448">
        <f t="shared" si="4"/>
        <v>0</v>
      </c>
      <c r="L6" s="448">
        <f t="shared" si="4"/>
        <v>492.16899999999998</v>
      </c>
      <c r="M6" s="448">
        <f t="shared" si="4"/>
        <v>0</v>
      </c>
      <c r="N6" s="448">
        <f t="shared" si="4"/>
        <v>0</v>
      </c>
      <c r="O6" s="450">
        <f t="shared" ref="O6:O69" si="5">L6+N6+M6</f>
        <v>492.16899999999998</v>
      </c>
      <c r="P6" s="448">
        <f t="shared" si="4"/>
        <v>0</v>
      </c>
      <c r="Q6" s="448">
        <f t="shared" si="4"/>
        <v>0</v>
      </c>
      <c r="R6" s="448">
        <f t="shared" si="4"/>
        <v>0</v>
      </c>
      <c r="S6" s="448">
        <f t="shared" si="4"/>
        <v>0</v>
      </c>
      <c r="T6" s="450">
        <f t="shared" si="3"/>
        <v>492.16899999999998</v>
      </c>
      <c r="U6" s="364"/>
      <c r="V6" s="364"/>
      <c r="W6" s="318"/>
      <c r="X6" s="318"/>
    </row>
    <row r="7" spans="1:24" ht="16.5" customHeight="1">
      <c r="A7" s="505" t="s">
        <v>723</v>
      </c>
      <c r="B7" s="445">
        <v>211</v>
      </c>
      <c r="C7" s="449"/>
      <c r="D7" s="447"/>
      <c r="E7" s="447">
        <f>'[4]3кв'!E6+'[4]1 полуг'!E6</f>
        <v>0</v>
      </c>
      <c r="F7" s="447">
        <f>'[4]3кв'!F6+'[4]1 полуг'!F6</f>
        <v>0</v>
      </c>
      <c r="G7" s="447"/>
      <c r="H7" s="447">
        <v>0</v>
      </c>
      <c r="I7" s="447">
        <f>'[4]3кв'!I6+'[4]1 полуг'!H6</f>
        <v>0</v>
      </c>
      <c r="J7" s="447"/>
      <c r="K7" s="447">
        <f>'[4]3кв'!M6+'[4]1 полуг'!K6</f>
        <v>0</v>
      </c>
      <c r="L7" s="447">
        <v>492.16899999999998</v>
      </c>
      <c r="M7" s="447"/>
      <c r="N7" s="447">
        <f>'[4]3кв'!P6+'[4]1 полуг'!N6</f>
        <v>0</v>
      </c>
      <c r="O7" s="450">
        <f t="shared" si="5"/>
        <v>492.16899999999998</v>
      </c>
      <c r="P7" s="447"/>
      <c r="Q7" s="447"/>
      <c r="R7" s="447">
        <f>'[4]3кв'!S6+'[4]1 полуг'!R6</f>
        <v>0</v>
      </c>
      <c r="S7" s="447"/>
      <c r="T7" s="450">
        <f t="shared" si="3"/>
        <v>492.16899999999998</v>
      </c>
      <c r="U7" s="364"/>
      <c r="V7" s="364"/>
      <c r="W7" s="318"/>
      <c r="X7" s="318"/>
    </row>
    <row r="8" spans="1:24" hidden="1">
      <c r="A8" s="505" t="s">
        <v>102</v>
      </c>
      <c r="B8" s="445">
        <v>212</v>
      </c>
      <c r="C8" s="447">
        <f t="shared" ref="C8:S8" si="6">SUM(C9:C10)</f>
        <v>0</v>
      </c>
      <c r="D8" s="448">
        <f>SUM(D9:D10)</f>
        <v>0</v>
      </c>
      <c r="E8" s="448">
        <f t="shared" si="6"/>
        <v>0</v>
      </c>
      <c r="F8" s="448">
        <f t="shared" si="6"/>
        <v>0</v>
      </c>
      <c r="G8" s="448">
        <f t="shared" si="6"/>
        <v>0</v>
      </c>
      <c r="H8" s="448">
        <f>SUM(H9:H10)</f>
        <v>0</v>
      </c>
      <c r="I8" s="448">
        <f t="shared" si="6"/>
        <v>0</v>
      </c>
      <c r="J8" s="448">
        <f t="shared" si="6"/>
        <v>0</v>
      </c>
      <c r="K8" s="448">
        <f t="shared" si="6"/>
        <v>0</v>
      </c>
      <c r="L8" s="448">
        <f>SUM(L9:L10)</f>
        <v>0</v>
      </c>
      <c r="M8" s="448">
        <f>SUM(M9:M10)</f>
        <v>0</v>
      </c>
      <c r="N8" s="448">
        <f t="shared" si="6"/>
        <v>0</v>
      </c>
      <c r="O8" s="450">
        <f t="shared" si="5"/>
        <v>0</v>
      </c>
      <c r="P8" s="448">
        <f t="shared" si="6"/>
        <v>0</v>
      </c>
      <c r="Q8" s="448">
        <f t="shared" si="6"/>
        <v>0</v>
      </c>
      <c r="R8" s="448">
        <f t="shared" si="6"/>
        <v>0</v>
      </c>
      <c r="S8" s="448">
        <f t="shared" si="6"/>
        <v>0</v>
      </c>
      <c r="T8" s="450">
        <f t="shared" si="3"/>
        <v>0</v>
      </c>
      <c r="U8" s="364"/>
      <c r="V8" s="364"/>
      <c r="W8" s="318"/>
      <c r="X8" s="318"/>
    </row>
    <row r="9" spans="1:24" ht="12.75" hidden="1" customHeight="1">
      <c r="A9" s="505" t="s">
        <v>103</v>
      </c>
      <c r="B9" s="445">
        <v>212</v>
      </c>
      <c r="C9" s="449"/>
      <c r="D9" s="449"/>
      <c r="E9" s="447">
        <f>'[4]3кв'!E8+'[4]1 полуг'!E8</f>
        <v>0</v>
      </c>
      <c r="F9" s="447">
        <f>'[4]3кв'!F8+'[4]1 полуг'!F8</f>
        <v>0</v>
      </c>
      <c r="G9" s="447"/>
      <c r="H9" s="447">
        <f>'[4]3кв'!I8+'[4]1 полуг'!H8</f>
        <v>0</v>
      </c>
      <c r="I9" s="447">
        <f>'[4]3кв'!I8+'[4]1 полуг'!H8</f>
        <v>0</v>
      </c>
      <c r="J9" s="447">
        <f>'[4]3кв'!L8+'[4]1 полуг'!J8</f>
        <v>0</v>
      </c>
      <c r="K9" s="447">
        <f>'[4]3кв'!M8+'[4]1 полуг'!K8</f>
        <v>0</v>
      </c>
      <c r="L9" s="447">
        <f>'[4]3кв'!N8+'[4]1 полуг'!L8</f>
        <v>0</v>
      </c>
      <c r="M9" s="447"/>
      <c r="N9" s="447"/>
      <c r="O9" s="450">
        <f t="shared" si="5"/>
        <v>0</v>
      </c>
      <c r="P9" s="447"/>
      <c r="Q9" s="447"/>
      <c r="R9" s="447"/>
      <c r="S9" s="447">
        <f>'[4]3кв'!T8+'[4]1 полуг'!S8</f>
        <v>0</v>
      </c>
      <c r="T9" s="450">
        <f t="shared" si="3"/>
        <v>0</v>
      </c>
      <c r="U9" s="364"/>
      <c r="V9" s="364"/>
      <c r="W9" s="318"/>
      <c r="X9" s="318"/>
    </row>
    <row r="10" spans="1:24" ht="12" hidden="1" customHeight="1">
      <c r="A10" s="505" t="s">
        <v>104</v>
      </c>
      <c r="B10" s="445">
        <v>212</v>
      </c>
      <c r="C10" s="447"/>
      <c r="D10" s="447">
        <f>'[4]3кв'!D9+'[4]1 полуг'!D9</f>
        <v>0</v>
      </c>
      <c r="E10" s="447">
        <f>'[4]3кв'!E9+'[4]1 полуг'!E9</f>
        <v>0</v>
      </c>
      <c r="F10" s="447">
        <f>'[4]3кв'!F9+'[4]1 полуг'!F9</f>
        <v>0</v>
      </c>
      <c r="G10" s="447">
        <f>'[4]3кв'!H9+'[4]1 полуг'!G9</f>
        <v>0</v>
      </c>
      <c r="H10" s="447">
        <f>'[4]3кв'!I9+'[4]1 полуг'!H9</f>
        <v>0</v>
      </c>
      <c r="I10" s="447">
        <f>'[4]3кв'!I9+'[4]1 полуг'!H9</f>
        <v>0</v>
      </c>
      <c r="J10" s="447">
        <f>'[4]3кв'!L9+'[4]1 полуг'!J9</f>
        <v>0</v>
      </c>
      <c r="K10" s="447">
        <f>'[4]3кв'!M9+'[4]1 полуг'!K9</f>
        <v>0</v>
      </c>
      <c r="L10" s="447">
        <f>'[4]3кв'!N9+'[4]1 полуг'!L9</f>
        <v>0</v>
      </c>
      <c r="M10" s="447"/>
      <c r="N10" s="447">
        <f>'[4]3кв'!P9+'[4]1 полуг'!N9</f>
        <v>0</v>
      </c>
      <c r="O10" s="450">
        <f t="shared" si="5"/>
        <v>0</v>
      </c>
      <c r="P10" s="447">
        <f>'[4]3кв'!R9+'[4]1 полуг'!P9</f>
        <v>0</v>
      </c>
      <c r="Q10" s="447"/>
      <c r="R10" s="447"/>
      <c r="S10" s="447">
        <f>'[4]3кв'!T9+'[4]1 полуг'!S9</f>
        <v>0</v>
      </c>
      <c r="T10" s="450">
        <f t="shared" si="3"/>
        <v>0</v>
      </c>
      <c r="U10" s="364"/>
      <c r="V10" s="364"/>
      <c r="W10" s="318"/>
      <c r="X10" s="318"/>
    </row>
    <row r="11" spans="1:24" ht="12" hidden="1" customHeight="1">
      <c r="A11" s="505" t="s">
        <v>105</v>
      </c>
      <c r="B11" s="445">
        <v>213</v>
      </c>
      <c r="C11" s="447"/>
      <c r="D11" s="447">
        <f>'[4]3кв'!D10+'[4]1 полуг'!D10</f>
        <v>0</v>
      </c>
      <c r="E11" s="447">
        <f>'[4]3кв'!E10+'[4]1 полуг'!E10</f>
        <v>0</v>
      </c>
      <c r="F11" s="447">
        <f>'[4]3кв'!F10+'[4]1 полуг'!F10</f>
        <v>0</v>
      </c>
      <c r="G11" s="447"/>
      <c r="H11" s="447">
        <f>'[4]3кв'!I10+'[4]1 полуг'!H10</f>
        <v>0</v>
      </c>
      <c r="I11" s="447">
        <f>'[4]3кв'!I10+'[4]1 полуг'!H10</f>
        <v>0</v>
      </c>
      <c r="J11" s="447">
        <f>'[4]3кв'!L10+'[4]1 полуг'!J10</f>
        <v>0</v>
      </c>
      <c r="K11" s="447">
        <f>'[4]3кв'!M10+'[4]1 полуг'!K10</f>
        <v>0</v>
      </c>
      <c r="L11" s="447">
        <f>'[4]3кв'!N10+'[4]1 полуг'!L10</f>
        <v>0</v>
      </c>
      <c r="M11" s="447"/>
      <c r="N11" s="447">
        <f>'[4]3кв'!P10+'[4]1 полуг'!N10</f>
        <v>0</v>
      </c>
      <c r="O11" s="450">
        <f t="shared" si="5"/>
        <v>0</v>
      </c>
      <c r="P11" s="447"/>
      <c r="Q11" s="447"/>
      <c r="R11" s="447"/>
      <c r="S11" s="447"/>
      <c r="T11" s="450">
        <f t="shared" si="3"/>
        <v>0</v>
      </c>
      <c r="U11" s="364"/>
      <c r="V11" s="364"/>
      <c r="W11" s="318"/>
      <c r="X11" s="318"/>
    </row>
    <row r="12" spans="1:24" s="319" customFormat="1" ht="12" customHeight="1">
      <c r="A12" s="41" t="s">
        <v>922</v>
      </c>
      <c r="B12" s="446">
        <v>220</v>
      </c>
      <c r="C12" s="448">
        <f>SUM(C13+C15+C18+C23+C39)</f>
        <v>2283.8104000000003</v>
      </c>
      <c r="D12" s="448">
        <f t="shared" ref="D12:E12" si="7">SUM(D13+D15+D18+D22+D23+D39)</f>
        <v>2283.8104000000003</v>
      </c>
      <c r="E12" s="448">
        <f t="shared" si="7"/>
        <v>0</v>
      </c>
      <c r="F12" s="448">
        <f>SUM(F13+F15+F18+F23+F39)</f>
        <v>1773.8500500000002</v>
      </c>
      <c r="G12" s="448">
        <f>SUM(G13+G15+G18+G23+G39)</f>
        <v>364.89159999999998</v>
      </c>
      <c r="H12" s="448">
        <f t="shared" ref="H12:P12" si="8">SUM(H13+H15+H18+H23+H39)</f>
        <v>0</v>
      </c>
      <c r="I12" s="448">
        <f t="shared" si="8"/>
        <v>0</v>
      </c>
      <c r="J12" s="448">
        <f t="shared" si="8"/>
        <v>105.86994000000001</v>
      </c>
      <c r="K12" s="448">
        <f t="shared" si="8"/>
        <v>1788.8028899999999</v>
      </c>
      <c r="L12" s="448">
        <f>SUM(L13+L14+L15+L18+L23+L39)</f>
        <v>5731.4265599999999</v>
      </c>
      <c r="M12" s="448">
        <f t="shared" si="8"/>
        <v>498.92617000000001</v>
      </c>
      <c r="N12" s="448">
        <f t="shared" si="8"/>
        <v>235.20686000000001</v>
      </c>
      <c r="O12" s="450">
        <f t="shared" si="5"/>
        <v>6465.5595899999998</v>
      </c>
      <c r="P12" s="448">
        <f t="shared" si="8"/>
        <v>1558.4980399999997</v>
      </c>
      <c r="Q12" s="448">
        <f t="shared" ref="Q12" si="9">SUM(Q13+Q15+Q18+Q23+Q39)</f>
        <v>0</v>
      </c>
      <c r="R12" s="448">
        <f t="shared" ref="R12" si="10">SUM(R13+R15+R18+R23+R39)</f>
        <v>733.12309000000005</v>
      </c>
      <c r="S12" s="448">
        <f>SUM(S13+S14+S15+S18+S23+S39)</f>
        <v>735.93137000000002</v>
      </c>
      <c r="T12" s="450">
        <f t="shared" si="3"/>
        <v>15810.336969999998</v>
      </c>
      <c r="U12" s="573"/>
      <c r="V12" s="573"/>
      <c r="W12" s="574"/>
      <c r="X12" s="574"/>
    </row>
    <row r="13" spans="1:24" ht="15" customHeight="1">
      <c r="A13" s="505" t="s">
        <v>724</v>
      </c>
      <c r="B13" s="445">
        <v>221</v>
      </c>
      <c r="C13" s="449">
        <v>260.39368999999999</v>
      </c>
      <c r="D13" s="449">
        <v>260.39368999999999</v>
      </c>
      <c r="E13" s="449">
        <f>'[4]3кв'!E12+'[4]1 полуг'!E12</f>
        <v>0</v>
      </c>
      <c r="F13" s="449">
        <f>'[4]3кв'!F12+'[4]1 полуг'!F12</f>
        <v>0</v>
      </c>
      <c r="G13" s="447">
        <v>110.03455</v>
      </c>
      <c r="H13" s="447">
        <v>0</v>
      </c>
      <c r="I13" s="447">
        <f>'[4]3кв'!I12+'[4]1 полуг'!H12</f>
        <v>0</v>
      </c>
      <c r="J13" s="447">
        <v>24.25994</v>
      </c>
      <c r="K13" s="447">
        <f>'[4]3кв'!M12+'[4]1 полуг'!K12</f>
        <v>0</v>
      </c>
      <c r="L13" s="449">
        <f>40.64656+21.48796</f>
        <v>62.134520000000002</v>
      </c>
      <c r="M13" s="447"/>
      <c r="N13" s="447">
        <v>15.30786</v>
      </c>
      <c r="O13" s="450">
        <f t="shared" si="5"/>
        <v>77.44238</v>
      </c>
      <c r="P13" s="447"/>
      <c r="Q13" s="447"/>
      <c r="R13" s="447"/>
      <c r="S13" s="447">
        <v>53.207369999999997</v>
      </c>
      <c r="T13" s="450">
        <f t="shared" si="3"/>
        <v>525.33793000000003</v>
      </c>
      <c r="U13" s="364"/>
      <c r="V13" s="364"/>
      <c r="W13" s="318"/>
      <c r="X13" s="318"/>
    </row>
    <row r="14" spans="1:24" ht="12.75" customHeight="1">
      <c r="A14" s="197" t="s">
        <v>934</v>
      </c>
      <c r="B14" s="445">
        <v>221</v>
      </c>
      <c r="C14" s="629">
        <f t="shared" ref="C14:D93" si="11">D14+E14</f>
        <v>0</v>
      </c>
      <c r="D14" s="449"/>
      <c r="E14" s="449"/>
      <c r="F14" s="449"/>
      <c r="G14" s="447"/>
      <c r="H14" s="447"/>
      <c r="I14" s="447"/>
      <c r="J14" s="447"/>
      <c r="K14" s="447"/>
      <c r="L14" s="820">
        <f>84.02391+9.81121</f>
        <v>93.835120000000003</v>
      </c>
      <c r="M14" s="447">
        <f>'[4]1 полуг'!M13</f>
        <v>0</v>
      </c>
      <c r="N14" s="447">
        <f>'[4]1 полуг'!N13</f>
        <v>0</v>
      </c>
      <c r="O14" s="450">
        <f t="shared" si="5"/>
        <v>93.835120000000003</v>
      </c>
      <c r="P14" s="447"/>
      <c r="Q14" s="447"/>
      <c r="R14" s="447"/>
      <c r="S14" s="447"/>
      <c r="T14" s="450">
        <f t="shared" ref="T14:T77" si="12">C14+F14+G14+J14+K14+O14+P14+Q14+R14+S14</f>
        <v>93.835120000000003</v>
      </c>
      <c r="U14" s="364"/>
      <c r="V14" s="364"/>
      <c r="W14" s="318"/>
      <c r="X14" s="318"/>
    </row>
    <row r="15" spans="1:24" ht="12.75">
      <c r="A15" s="570" t="s">
        <v>108</v>
      </c>
      <c r="B15" s="445">
        <v>222</v>
      </c>
      <c r="C15" s="450">
        <f>C16+C17</f>
        <v>0</v>
      </c>
      <c r="D15" s="450">
        <f>D16+D17</f>
        <v>0</v>
      </c>
      <c r="E15" s="450">
        <f t="shared" ref="E15" si="13">E16+E17</f>
        <v>0</v>
      </c>
      <c r="F15" s="450">
        <f>F16+F17</f>
        <v>0</v>
      </c>
      <c r="G15" s="450">
        <f t="shared" ref="G15:P15" si="14">G16+G17</f>
        <v>0</v>
      </c>
      <c r="H15" s="450">
        <f t="shared" si="14"/>
        <v>0</v>
      </c>
      <c r="I15" s="450">
        <f t="shared" si="14"/>
        <v>0</v>
      </c>
      <c r="J15" s="450">
        <f t="shared" si="14"/>
        <v>0</v>
      </c>
      <c r="K15" s="450">
        <f t="shared" si="14"/>
        <v>0</v>
      </c>
      <c r="L15" s="450">
        <f t="shared" si="14"/>
        <v>10.5</v>
      </c>
      <c r="M15" s="450">
        <f t="shared" si="14"/>
        <v>20</v>
      </c>
      <c r="N15" s="450">
        <f t="shared" si="14"/>
        <v>0</v>
      </c>
      <c r="O15" s="450">
        <f t="shared" si="5"/>
        <v>30.5</v>
      </c>
      <c r="P15" s="450">
        <f t="shared" si="14"/>
        <v>0</v>
      </c>
      <c r="Q15" s="450">
        <f t="shared" ref="Q15" si="15">Q16+Q17</f>
        <v>0</v>
      </c>
      <c r="R15" s="450">
        <f t="shared" ref="R15" si="16">R16+R17</f>
        <v>0</v>
      </c>
      <c r="S15" s="450">
        <f>S16</f>
        <v>24.5</v>
      </c>
      <c r="T15" s="450">
        <f t="shared" si="12"/>
        <v>55</v>
      </c>
      <c r="U15" s="364"/>
      <c r="V15" s="364"/>
      <c r="W15" s="318"/>
      <c r="X15" s="318"/>
    </row>
    <row r="16" spans="1:24" ht="12.75" customHeight="1">
      <c r="A16" s="308" t="s">
        <v>109</v>
      </c>
      <c r="B16" s="445">
        <v>222</v>
      </c>
      <c r="C16" s="449">
        <f t="shared" si="11"/>
        <v>0</v>
      </c>
      <c r="D16" s="449">
        <f>'[4]3кв'!D14+'[4]1 полуг'!D15</f>
        <v>0</v>
      </c>
      <c r="E16" s="449">
        <f>'[4]3кв'!E14+'[4]1 полуг'!E15</f>
        <v>0</v>
      </c>
      <c r="F16" s="449"/>
      <c r="G16" s="447">
        <f>'[4]3кв'!H14+'[4]1 полуг'!G15</f>
        <v>0</v>
      </c>
      <c r="H16" s="447">
        <f>'[4]3кв'!I14+'[4]1 полуг'!H15</f>
        <v>0</v>
      </c>
      <c r="I16" s="447">
        <f>'[4]3кв'!I14+'[4]1 полуг'!H15</f>
        <v>0</v>
      </c>
      <c r="J16" s="447">
        <f>'[4]3кв'!L14+'[4]1 полуг'!J15</f>
        <v>0</v>
      </c>
      <c r="K16" s="447"/>
      <c r="L16" s="820">
        <v>10.5</v>
      </c>
      <c r="M16" s="447">
        <v>20</v>
      </c>
      <c r="N16" s="447">
        <f>'[4]3кв'!P14+'[4]1 полуг'!N15</f>
        <v>0</v>
      </c>
      <c r="O16" s="450">
        <f t="shared" si="5"/>
        <v>30.5</v>
      </c>
      <c r="P16" s="447">
        <f>'[4]3кв'!R14+'[4]1 полуг'!P15</f>
        <v>0</v>
      </c>
      <c r="Q16" s="447">
        <f>'[4]3кв'!K14</f>
        <v>0</v>
      </c>
      <c r="R16" s="447">
        <f>'[4]3кв'!S14+'[4]1 полуг'!R15</f>
        <v>0</v>
      </c>
      <c r="S16" s="447">
        <v>24.5</v>
      </c>
      <c r="T16" s="450">
        <f t="shared" si="12"/>
        <v>55</v>
      </c>
      <c r="U16" s="364"/>
      <c r="V16" s="364"/>
      <c r="W16" s="318"/>
      <c r="X16" s="318"/>
    </row>
    <row r="17" spans="1:24" ht="15" hidden="1" customHeight="1">
      <c r="A17" s="308" t="s">
        <v>110</v>
      </c>
      <c r="B17" s="445">
        <v>222</v>
      </c>
      <c r="C17" s="449">
        <f t="shared" si="11"/>
        <v>0</v>
      </c>
      <c r="D17" s="449">
        <f>'[4]3кв'!D15+'[4]1 полуг'!D16</f>
        <v>0</v>
      </c>
      <c r="E17" s="449">
        <f>'[4]3кв'!E15+'[4]1 полуг'!E16</f>
        <v>0</v>
      </c>
      <c r="F17" s="449"/>
      <c r="G17" s="447">
        <f>'[4]3кв'!H15+'[4]1 полуг'!G16</f>
        <v>0</v>
      </c>
      <c r="H17" s="447">
        <f>'[4]3кв'!I15+'[4]1 полуг'!H16</f>
        <v>0</v>
      </c>
      <c r="I17" s="447">
        <f>'[4]3кв'!I15+'[4]1 полуг'!H16</f>
        <v>0</v>
      </c>
      <c r="J17" s="447">
        <f>'[4]3кв'!L15+'[4]1 полуг'!J16</f>
        <v>0</v>
      </c>
      <c r="K17" s="447">
        <f>'[4]3кв'!M15+'[4]1 полуг'!K16</f>
        <v>0</v>
      </c>
      <c r="L17" s="449">
        <f>'[4]3кв'!N15+'[4]1 полуг'!L16</f>
        <v>0</v>
      </c>
      <c r="M17" s="447">
        <f>'[4]1 полуг'!M16+'[4]3кв'!O15</f>
        <v>0</v>
      </c>
      <c r="N17" s="447">
        <f>'[4]3кв'!P15+'[4]1 полуг'!N16</f>
        <v>0</v>
      </c>
      <c r="O17" s="450">
        <f t="shared" si="5"/>
        <v>0</v>
      </c>
      <c r="P17" s="447">
        <f>'[4]3кв'!R15+'[4]1 полуг'!P16</f>
        <v>0</v>
      </c>
      <c r="Q17" s="447"/>
      <c r="R17" s="447">
        <f>'[4]3кв'!S15+'[4]1 полуг'!R16</f>
        <v>0</v>
      </c>
      <c r="S17" s="447">
        <f>'[4]3кв'!T15+'[4]1 полуг'!S16</f>
        <v>0</v>
      </c>
      <c r="T17" s="450">
        <f t="shared" si="12"/>
        <v>0</v>
      </c>
      <c r="U17" s="364"/>
      <c r="V17" s="364"/>
      <c r="W17" s="318"/>
      <c r="X17" s="318"/>
    </row>
    <row r="18" spans="1:24" ht="12.75">
      <c r="A18" s="570" t="s">
        <v>111</v>
      </c>
      <c r="B18" s="445">
        <v>223</v>
      </c>
      <c r="C18" s="449">
        <f>SUM(C19:C22)</f>
        <v>1291.0046400000001</v>
      </c>
      <c r="D18" s="450">
        <f>SUM(D19:D22)</f>
        <v>1291.0046400000001</v>
      </c>
      <c r="E18" s="450">
        <f t="shared" ref="E18" si="17">SUM(E19:E21)</f>
        <v>0</v>
      </c>
      <c r="F18" s="450">
        <f>SUM(F19:F21)</f>
        <v>0</v>
      </c>
      <c r="G18" s="450">
        <f t="shared" ref="G18:P18" si="18">SUM(G19:G21)</f>
        <v>0</v>
      </c>
      <c r="H18" s="450">
        <f t="shared" si="18"/>
        <v>0</v>
      </c>
      <c r="I18" s="450">
        <f t="shared" si="18"/>
        <v>0</v>
      </c>
      <c r="J18" s="450">
        <f t="shared" si="18"/>
        <v>0</v>
      </c>
      <c r="K18" s="450">
        <f t="shared" si="18"/>
        <v>1242.74432</v>
      </c>
      <c r="L18" s="450">
        <f>SUM(L19:L22)</f>
        <v>4940.0316199999997</v>
      </c>
      <c r="M18" s="450">
        <f t="shared" si="18"/>
        <v>0</v>
      </c>
      <c r="N18" s="450">
        <f t="shared" si="18"/>
        <v>0</v>
      </c>
      <c r="O18" s="450">
        <f t="shared" si="5"/>
        <v>4940.0316199999997</v>
      </c>
      <c r="P18" s="450">
        <f t="shared" si="18"/>
        <v>1444.2635599999999</v>
      </c>
      <c r="Q18" s="450">
        <f t="shared" ref="Q18" si="19">SUM(Q19:Q21)</f>
        <v>0</v>
      </c>
      <c r="R18" s="450">
        <f t="shared" ref="R18" si="20">SUM(R19:R21)</f>
        <v>733.12309000000005</v>
      </c>
      <c r="S18" s="450">
        <f>SUM(S19:S22)</f>
        <v>0</v>
      </c>
      <c r="T18" s="450">
        <f t="shared" si="12"/>
        <v>9651.1672299999991</v>
      </c>
      <c r="U18" s="364"/>
      <c r="V18" s="364"/>
      <c r="W18" s="318"/>
      <c r="X18" s="318"/>
    </row>
    <row r="19" spans="1:24" ht="12.75" customHeight="1">
      <c r="A19" s="308" t="s">
        <v>112</v>
      </c>
      <c r="B19" s="445">
        <v>223</v>
      </c>
      <c r="C19" s="449">
        <v>858.57664</v>
      </c>
      <c r="D19" s="449">
        <v>858.57664</v>
      </c>
      <c r="E19" s="449">
        <f>'[4]3кв'!E17+'[4]1 полуг'!E18</f>
        <v>0</v>
      </c>
      <c r="F19" s="449">
        <f>'[4]3кв'!F17+'[4]1 полуг'!F18</f>
        <v>0</v>
      </c>
      <c r="G19" s="447">
        <f>'[4]3кв'!H17+'[4]1 полуг'!G18</f>
        <v>0</v>
      </c>
      <c r="H19" s="447">
        <f>'[4]3кв'!I17+'[4]1 полуг'!H18</f>
        <v>0</v>
      </c>
      <c r="I19" s="447">
        <f>'[4]3кв'!I17+'[4]1 полуг'!H18</f>
        <v>0</v>
      </c>
      <c r="J19" s="447">
        <f>'[4]3кв'!L17+'[4]1 полуг'!J18</f>
        <v>0</v>
      </c>
      <c r="K19" s="447">
        <f>'[4]3кв'!M17+'[4]1 полуг'!K18</f>
        <v>0</v>
      </c>
      <c r="L19" s="820">
        <v>1353.7816499999999</v>
      </c>
      <c r="M19" s="447"/>
      <c r="N19" s="447">
        <f>'[4]3кв'!P17+'[4]1 полуг'!N18</f>
        <v>0</v>
      </c>
      <c r="O19" s="450">
        <f t="shared" si="5"/>
        <v>1353.7816499999999</v>
      </c>
      <c r="P19" s="447">
        <v>1216.1199999999999</v>
      </c>
      <c r="Q19" s="447"/>
      <c r="R19" s="447">
        <v>30.439</v>
      </c>
      <c r="S19" s="447">
        <f>'[4]3кв'!T17+'[4]1 полуг'!S18</f>
        <v>0</v>
      </c>
      <c r="T19" s="450">
        <f t="shared" si="12"/>
        <v>3458.9172899999999</v>
      </c>
      <c r="U19" s="364"/>
      <c r="V19" s="364"/>
      <c r="W19" s="318"/>
      <c r="X19" s="318"/>
    </row>
    <row r="20" spans="1:24">
      <c r="A20" s="308" t="s">
        <v>113</v>
      </c>
      <c r="B20" s="445">
        <v>223</v>
      </c>
      <c r="C20" s="449">
        <v>432.428</v>
      </c>
      <c r="D20" s="449">
        <v>432.428</v>
      </c>
      <c r="E20" s="449">
        <f>'[4]3кв'!E18+'[4]1 полуг'!E19</f>
        <v>0</v>
      </c>
      <c r="F20" s="449">
        <f>'[4]3кв'!F18+'[4]1 полуг'!F19</f>
        <v>0</v>
      </c>
      <c r="G20" s="447">
        <f>'[4]3кв'!H18+'[4]1 полуг'!G19</f>
        <v>0</v>
      </c>
      <c r="H20" s="447">
        <f>'[4]3кв'!I18+'[4]1 полуг'!H19</f>
        <v>0</v>
      </c>
      <c r="I20" s="447">
        <f>'[4]3кв'!I18+'[4]1 полуг'!H19</f>
        <v>0</v>
      </c>
      <c r="J20" s="447">
        <f>'[4]3кв'!L18+'[4]1 полуг'!J19</f>
        <v>0</v>
      </c>
      <c r="K20" s="447">
        <v>1242.74432</v>
      </c>
      <c r="L20" s="820">
        <v>2644.2069999999999</v>
      </c>
      <c r="M20" s="447"/>
      <c r="N20" s="447">
        <f>'[4]3кв'!P18+'[4]1 полуг'!N19</f>
        <v>0</v>
      </c>
      <c r="O20" s="450">
        <f t="shared" si="5"/>
        <v>2644.2069999999999</v>
      </c>
      <c r="P20" s="447">
        <v>185.346</v>
      </c>
      <c r="Q20" s="447"/>
      <c r="R20" s="447">
        <v>402.74099999999999</v>
      </c>
      <c r="S20" s="447">
        <f>'[4]3кв'!T18+'[4]1 полуг'!S19</f>
        <v>0</v>
      </c>
      <c r="T20" s="450">
        <f t="shared" si="12"/>
        <v>4907.4663199999995</v>
      </c>
      <c r="U20" s="364"/>
      <c r="V20" s="364"/>
      <c r="W20" s="318"/>
      <c r="X20" s="318"/>
    </row>
    <row r="21" spans="1:24">
      <c r="A21" s="310" t="s">
        <v>114</v>
      </c>
      <c r="B21" s="445">
        <v>223</v>
      </c>
      <c r="C21" s="449"/>
      <c r="D21" s="449"/>
      <c r="E21" s="449">
        <f>'[4]3кв'!E19+'[4]1 полуг'!E20</f>
        <v>0</v>
      </c>
      <c r="F21" s="449">
        <f>'[4]3кв'!F19+'[4]1 полуг'!F20</f>
        <v>0</v>
      </c>
      <c r="G21" s="447">
        <f>'[4]3кв'!H19+'[4]1 полуг'!G20</f>
        <v>0</v>
      </c>
      <c r="H21" s="447">
        <f>'[4]3кв'!I19+'[4]1 полуг'!H20</f>
        <v>0</v>
      </c>
      <c r="I21" s="447">
        <f>'[4]3кв'!I19+'[4]1 полуг'!H20</f>
        <v>0</v>
      </c>
      <c r="J21" s="447">
        <f>'[4]3кв'!L19+'[4]1 полуг'!J20</f>
        <v>0</v>
      </c>
      <c r="K21" s="447">
        <f>'[4]3кв'!M19+'[4]1 полуг'!K20</f>
        <v>0</v>
      </c>
      <c r="L21" s="819">
        <v>870.21797000000004</v>
      </c>
      <c r="M21" s="447"/>
      <c r="N21" s="447">
        <f>'[4]3кв'!P19+'[4]1 полуг'!N20</f>
        <v>0</v>
      </c>
      <c r="O21" s="450">
        <f t="shared" si="5"/>
        <v>870.21797000000004</v>
      </c>
      <c r="P21" s="447">
        <v>42.797559999999997</v>
      </c>
      <c r="Q21" s="447"/>
      <c r="R21" s="447">
        <v>299.94308999999998</v>
      </c>
      <c r="S21" s="447">
        <f>'[4]3кв'!T19+'[4]1 полуг'!S20</f>
        <v>0</v>
      </c>
      <c r="T21" s="450">
        <f t="shared" si="12"/>
        <v>1212.9586199999999</v>
      </c>
      <c r="U21" s="364"/>
      <c r="V21" s="364"/>
      <c r="W21" s="318"/>
      <c r="X21" s="318"/>
    </row>
    <row r="22" spans="1:24" ht="12" customHeight="1">
      <c r="A22" s="310" t="s">
        <v>168</v>
      </c>
      <c r="B22" s="445">
        <v>224</v>
      </c>
      <c r="C22" s="450">
        <f t="shared" si="11"/>
        <v>0</v>
      </c>
      <c r="D22" s="449">
        <f>'[4]3кв'!D20+'[4]1 полуг'!D21</f>
        <v>0</v>
      </c>
      <c r="E22" s="449">
        <f>'[4]3кв'!E20+'[4]1 полуг'!E21</f>
        <v>0</v>
      </c>
      <c r="F22" s="449">
        <f>'[4]3кв'!F20+'[4]1 полуг'!F21</f>
        <v>0</v>
      </c>
      <c r="G22" s="447">
        <f>'[4]3кв'!H20+'[4]1 полуг'!G21</f>
        <v>0</v>
      </c>
      <c r="H22" s="447">
        <f>'[4]3кв'!I20+'[4]1 полуг'!H21</f>
        <v>0</v>
      </c>
      <c r="I22" s="447">
        <f>'[4]3кв'!I20+'[4]1 полуг'!H21</f>
        <v>0</v>
      </c>
      <c r="J22" s="447">
        <f>'[4]3кв'!L20+'[4]1 полуг'!J21</f>
        <v>0</v>
      </c>
      <c r="K22" s="447">
        <f>'[4]3кв'!M20+'[4]1 полуг'!K21</f>
        <v>0</v>
      </c>
      <c r="L22" s="819">
        <v>71.825000000000003</v>
      </c>
      <c r="M22" s="447"/>
      <c r="N22" s="447">
        <f>'[4]3кв'!P20+'[4]1 полуг'!N21</f>
        <v>0</v>
      </c>
      <c r="O22" s="450">
        <f t="shared" si="5"/>
        <v>71.825000000000003</v>
      </c>
      <c r="P22" s="447">
        <f>'[4]3кв'!R20+'[4]1 полуг'!P21</f>
        <v>0</v>
      </c>
      <c r="Q22" s="447"/>
      <c r="R22" s="447">
        <f>'[4]3кв'!S20+'[4]1 полуг'!R21</f>
        <v>0</v>
      </c>
      <c r="S22" s="447">
        <f>'[4]3кв'!T20+'[4]1 полуг'!S21</f>
        <v>0</v>
      </c>
      <c r="T22" s="450">
        <f t="shared" si="12"/>
        <v>71.825000000000003</v>
      </c>
      <c r="U22" s="364"/>
      <c r="V22" s="364"/>
      <c r="W22" s="318"/>
      <c r="X22" s="318"/>
    </row>
    <row r="23" spans="1:24" ht="12.75">
      <c r="A23" s="571" t="s">
        <v>115</v>
      </c>
      <c r="B23" s="445">
        <v>225</v>
      </c>
      <c r="C23" s="449">
        <f t="shared" ref="C23:R23" si="21">SUM(C24:C38)</f>
        <v>29.82347</v>
      </c>
      <c r="D23" s="450">
        <f t="shared" si="21"/>
        <v>29.82347</v>
      </c>
      <c r="E23" s="450">
        <f t="shared" si="21"/>
        <v>0</v>
      </c>
      <c r="F23" s="450">
        <f t="shared" si="21"/>
        <v>110.209</v>
      </c>
      <c r="G23" s="450">
        <f t="shared" si="21"/>
        <v>0</v>
      </c>
      <c r="H23" s="450">
        <f t="shared" si="21"/>
        <v>0</v>
      </c>
      <c r="I23" s="450">
        <f t="shared" si="21"/>
        <v>0</v>
      </c>
      <c r="J23" s="450">
        <f t="shared" si="21"/>
        <v>1.6</v>
      </c>
      <c r="K23" s="450">
        <f t="shared" si="21"/>
        <v>0</v>
      </c>
      <c r="L23" s="450">
        <f t="shared" si="21"/>
        <v>370.13594999999998</v>
      </c>
      <c r="M23" s="450">
        <f t="shared" si="21"/>
        <v>118.42817000000001</v>
      </c>
      <c r="N23" s="450">
        <f t="shared" si="21"/>
        <v>30</v>
      </c>
      <c r="O23" s="450">
        <f t="shared" si="5"/>
        <v>518.56412</v>
      </c>
      <c r="P23" s="450">
        <f t="shared" si="21"/>
        <v>23.50948</v>
      </c>
      <c r="Q23" s="450">
        <f t="shared" si="21"/>
        <v>0</v>
      </c>
      <c r="R23" s="450">
        <f t="shared" si="21"/>
        <v>0</v>
      </c>
      <c r="S23" s="450">
        <f>SUM(S25:S38)</f>
        <v>0</v>
      </c>
      <c r="T23" s="450">
        <f t="shared" si="12"/>
        <v>683.70607000000007</v>
      </c>
      <c r="U23" s="364"/>
      <c r="V23" s="364"/>
      <c r="W23" s="318"/>
      <c r="X23" s="318"/>
    </row>
    <row r="24" spans="1:24" ht="14.25" customHeight="1">
      <c r="A24" s="576" t="s">
        <v>725</v>
      </c>
      <c r="B24" s="445">
        <v>225</v>
      </c>
      <c r="C24" s="449">
        <f t="shared" si="11"/>
        <v>0</v>
      </c>
      <c r="D24" s="449">
        <f t="shared" si="11"/>
        <v>0</v>
      </c>
      <c r="E24" s="449">
        <f>'[4]3кв'!E22+'[4]1 полуг'!E23</f>
        <v>0</v>
      </c>
      <c r="F24" s="449">
        <f>'[4]3кв'!F22+'[4]1 полуг'!F23</f>
        <v>0</v>
      </c>
      <c r="G24" s="447">
        <f>'[4]3кв'!H22+'[4]1 полуг'!G23</f>
        <v>0</v>
      </c>
      <c r="H24" s="447">
        <f>'[4]3кв'!I22+'[4]1 полуг'!H23</f>
        <v>0</v>
      </c>
      <c r="I24" s="447">
        <f>'[4]3кв'!I22+'[4]1 полуг'!H23</f>
        <v>0</v>
      </c>
      <c r="J24" s="447">
        <f>'[4]3кв'!L22+'[4]1 полуг'!J23</f>
        <v>0</v>
      </c>
      <c r="K24" s="447">
        <f>'[4]3кв'!M22+'[4]1 полуг'!K23</f>
        <v>0</v>
      </c>
      <c r="L24" s="447">
        <f>'[4]3кв'!N24</f>
        <v>0</v>
      </c>
      <c r="M24" s="447">
        <f>'[4]3кв'!O24</f>
        <v>0</v>
      </c>
      <c r="N24" s="447">
        <f>'[4]3кв'!P22+'[4]1 полуг'!N23</f>
        <v>0</v>
      </c>
      <c r="O24" s="450">
        <f t="shared" si="5"/>
        <v>0</v>
      </c>
      <c r="P24" s="447">
        <f>'[4]3кв'!R22+'[4]1 полуг'!P23</f>
        <v>0</v>
      </c>
      <c r="Q24" s="447"/>
      <c r="R24" s="447">
        <f>'[4]3кв'!S22+'[4]1 полуг'!R23</f>
        <v>0</v>
      </c>
      <c r="S24" s="447">
        <f>'[4]3кв'!T22+'[4]1 полуг'!S23</f>
        <v>0</v>
      </c>
      <c r="T24" s="450">
        <f t="shared" si="12"/>
        <v>0</v>
      </c>
      <c r="U24" s="364"/>
      <c r="V24" s="364"/>
      <c r="W24" s="318"/>
      <c r="X24" s="318"/>
    </row>
    <row r="25" spans="1:24" ht="15" customHeight="1">
      <c r="A25" s="576" t="s">
        <v>886</v>
      </c>
      <c r="B25" s="445">
        <v>225</v>
      </c>
      <c r="C25" s="449">
        <v>11.49347</v>
      </c>
      <c r="D25" s="449">
        <v>11.49347</v>
      </c>
      <c r="E25" s="449">
        <f>'[4]3кв'!E23+'[4]1 полуг'!E24</f>
        <v>0</v>
      </c>
      <c r="F25" s="449">
        <v>110.209</v>
      </c>
      <c r="G25" s="447">
        <f>'[4]3кв'!H23+'[4]1 полуг'!G24</f>
        <v>0</v>
      </c>
      <c r="H25" s="447">
        <f>'[4]3кв'!I23+'[4]1 полуг'!H24</f>
        <v>0</v>
      </c>
      <c r="I25" s="447">
        <f>'[4]3кв'!I23+'[4]1 полуг'!H24</f>
        <v>0</v>
      </c>
      <c r="J25" s="447">
        <f>'[4]3кв'!L23+'[4]1 полуг'!J24</f>
        <v>0</v>
      </c>
      <c r="K25" s="447">
        <f>'[4]3кв'!M23+'[4]1 полуг'!K24</f>
        <v>0</v>
      </c>
      <c r="L25" s="447">
        <v>45.970950000000002</v>
      </c>
      <c r="M25" s="447">
        <v>13.410360000000001</v>
      </c>
      <c r="N25" s="447">
        <f>'[4]3кв'!P23+'[4]1 полуг'!N24</f>
        <v>0</v>
      </c>
      <c r="O25" s="450">
        <f t="shared" si="5"/>
        <v>59.381309999999999</v>
      </c>
      <c r="P25" s="447">
        <v>23.50948</v>
      </c>
      <c r="Q25" s="447"/>
      <c r="R25" s="447">
        <f>'[4]3кв'!S23+'[4]1 полуг'!R24</f>
        <v>0</v>
      </c>
      <c r="S25" s="447">
        <f>'[4]3кв'!T23+'[4]1 полуг'!S24</f>
        <v>0</v>
      </c>
      <c r="T25" s="450">
        <f t="shared" si="12"/>
        <v>204.59325999999999</v>
      </c>
      <c r="U25" s="364"/>
      <c r="V25" s="364"/>
      <c r="W25" s="318"/>
      <c r="X25" s="318"/>
    </row>
    <row r="26" spans="1:24" ht="12.75" customHeight="1">
      <c r="A26" s="576" t="s">
        <v>726</v>
      </c>
      <c r="B26" s="445">
        <v>225</v>
      </c>
      <c r="C26" s="449">
        <f t="shared" si="11"/>
        <v>0</v>
      </c>
      <c r="D26" s="449">
        <f t="shared" si="11"/>
        <v>0</v>
      </c>
      <c r="E26" s="449">
        <f>'[4]3кв'!E24</f>
        <v>0</v>
      </c>
      <c r="F26" s="449">
        <f>'[4]3кв'!F24</f>
        <v>0</v>
      </c>
      <c r="G26" s="447">
        <f>'[4]3кв'!H24</f>
        <v>0</v>
      </c>
      <c r="H26" s="447">
        <f>'[4]3кв'!I24</f>
        <v>0</v>
      </c>
      <c r="I26" s="447">
        <f>'[4]3кв'!I24</f>
        <v>0</v>
      </c>
      <c r="J26" s="447">
        <f>'[4]3кв'!K24</f>
        <v>0</v>
      </c>
      <c r="K26" s="447">
        <f>'[4]3кв'!L24</f>
        <v>0</v>
      </c>
      <c r="L26" s="447"/>
      <c r="M26" s="447">
        <f>'[4]3кв'!M24</f>
        <v>0</v>
      </c>
      <c r="N26" s="447"/>
      <c r="O26" s="450">
        <f t="shared" si="5"/>
        <v>0</v>
      </c>
      <c r="P26" s="447"/>
      <c r="Q26" s="447">
        <f>'[4]3кв'!R24</f>
        <v>0</v>
      </c>
      <c r="R26" s="447">
        <f>'[4]3кв'!S24</f>
        <v>0</v>
      </c>
      <c r="S26" s="447">
        <f>'[4]3кв'!T24</f>
        <v>0</v>
      </c>
      <c r="T26" s="450">
        <f t="shared" si="12"/>
        <v>0</v>
      </c>
      <c r="U26" s="364"/>
      <c r="V26" s="364"/>
      <c r="W26" s="318"/>
      <c r="X26" s="318"/>
    </row>
    <row r="27" spans="1:24">
      <c r="A27" s="576" t="s">
        <v>887</v>
      </c>
      <c r="B27" s="445">
        <v>225</v>
      </c>
      <c r="C27" s="449"/>
      <c r="D27" s="449"/>
      <c r="E27" s="449">
        <f>'[4]1 полуг'!E26</f>
        <v>0</v>
      </c>
      <c r="F27" s="449">
        <f>'[4]1 полуг'!F26</f>
        <v>0</v>
      </c>
      <c r="G27" s="447">
        <f>'[4]1 полуг'!G26</f>
        <v>0</v>
      </c>
      <c r="H27" s="447">
        <f>'[4]1 полуг'!H26</f>
        <v>0</v>
      </c>
      <c r="I27" s="447">
        <f>'[4]1 полуг'!H26</f>
        <v>0</v>
      </c>
      <c r="J27" s="447">
        <f>'[4]1 полуг'!I26</f>
        <v>0</v>
      </c>
      <c r="K27" s="447">
        <f>'[4]1 полуг'!J26</f>
        <v>0</v>
      </c>
      <c r="L27" s="447"/>
      <c r="M27" s="447">
        <f>'[4]1 полуг'!L26</f>
        <v>0</v>
      </c>
      <c r="N27" s="447"/>
      <c r="O27" s="450">
        <f t="shared" si="5"/>
        <v>0</v>
      </c>
      <c r="P27" s="447"/>
      <c r="Q27" s="447">
        <f>'[4]1 полуг'!P26</f>
        <v>0</v>
      </c>
      <c r="R27" s="447">
        <f>'[4]1 полуг'!Q26</f>
        <v>0</v>
      </c>
      <c r="S27" s="447">
        <f>'[4]1 полуг'!R26</f>
        <v>0</v>
      </c>
      <c r="T27" s="450">
        <f t="shared" si="12"/>
        <v>0</v>
      </c>
      <c r="U27" s="364"/>
      <c r="V27" s="364"/>
      <c r="W27" s="318"/>
      <c r="X27" s="318"/>
    </row>
    <row r="28" spans="1:24" ht="15" customHeight="1">
      <c r="A28" s="576" t="s">
        <v>393</v>
      </c>
      <c r="B28" s="445">
        <v>225</v>
      </c>
      <c r="C28" s="629">
        <f>D28+E28</f>
        <v>0</v>
      </c>
      <c r="D28" s="629">
        <f>E28+F28</f>
        <v>0</v>
      </c>
      <c r="E28" s="449">
        <f>'[4]1 полуг'!E27</f>
        <v>0</v>
      </c>
      <c r="F28" s="449">
        <f>'[4]1 полуг'!F27</f>
        <v>0</v>
      </c>
      <c r="G28" s="447">
        <f>'[4]1 полуг'!G27</f>
        <v>0</v>
      </c>
      <c r="H28" s="447">
        <f>'[4]1 полуг'!H27</f>
        <v>0</v>
      </c>
      <c r="I28" s="447">
        <f>'[4]1 полуг'!H27</f>
        <v>0</v>
      </c>
      <c r="J28" s="447">
        <f>'[4]1 полуг'!I27</f>
        <v>0</v>
      </c>
      <c r="K28" s="447"/>
      <c r="L28" s="447">
        <v>1</v>
      </c>
      <c r="M28" s="447">
        <v>33.85</v>
      </c>
      <c r="N28" s="447">
        <f>'[4]1 полуг'!L27</f>
        <v>0</v>
      </c>
      <c r="O28" s="450">
        <f t="shared" si="5"/>
        <v>34.85</v>
      </c>
      <c r="P28" s="447">
        <f>'[4]1 полуг'!O27</f>
        <v>0</v>
      </c>
      <c r="Q28" s="447">
        <f>'[4]1 полуг'!P27</f>
        <v>0</v>
      </c>
      <c r="R28" s="447">
        <f>'[4]1 полуг'!Q27</f>
        <v>0</v>
      </c>
      <c r="S28" s="447">
        <f>'[4]1 полуг'!R27</f>
        <v>0</v>
      </c>
      <c r="T28" s="450">
        <f t="shared" si="12"/>
        <v>34.85</v>
      </c>
      <c r="U28" s="364"/>
      <c r="V28" s="364"/>
      <c r="W28" s="318"/>
      <c r="X28" s="318"/>
    </row>
    <row r="29" spans="1:24" ht="12.75" customHeight="1">
      <c r="A29" s="576" t="s">
        <v>936</v>
      </c>
      <c r="B29" s="445">
        <v>225</v>
      </c>
      <c r="C29" s="449"/>
      <c r="D29" s="449"/>
      <c r="E29" s="449">
        <f>'[4]1 полуг'!E28</f>
        <v>0</v>
      </c>
      <c r="F29" s="449"/>
      <c r="G29" s="447">
        <f>'[4]1 полуг'!G28</f>
        <v>0</v>
      </c>
      <c r="H29" s="447">
        <v>0</v>
      </c>
      <c r="I29" s="447">
        <f>'[4]1 полуг'!H28</f>
        <v>0</v>
      </c>
      <c r="J29" s="447">
        <f>'[4]1 полуг'!J28</f>
        <v>0</v>
      </c>
      <c r="K29" s="447">
        <f>'[4]1 полуг'!K28</f>
        <v>0</v>
      </c>
      <c r="L29" s="447">
        <v>30</v>
      </c>
      <c r="M29" s="447">
        <v>0</v>
      </c>
      <c r="N29" s="447"/>
      <c r="O29" s="450">
        <f t="shared" si="5"/>
        <v>30</v>
      </c>
      <c r="P29" s="447"/>
      <c r="Q29" s="447">
        <f>'[4]1 полуг'!P28</f>
        <v>0</v>
      </c>
      <c r="R29" s="447">
        <f>'[4]1 полуг'!Q28</f>
        <v>0</v>
      </c>
      <c r="S29" s="447">
        <f>'[4]1 полуг'!S28</f>
        <v>0</v>
      </c>
      <c r="T29" s="450">
        <f t="shared" si="12"/>
        <v>30</v>
      </c>
      <c r="U29" s="364"/>
      <c r="V29" s="364"/>
      <c r="W29" s="318"/>
      <c r="X29" s="318"/>
    </row>
    <row r="30" spans="1:24" ht="15" customHeight="1">
      <c r="A30" s="576" t="s">
        <v>675</v>
      </c>
      <c r="B30" s="445">
        <v>225</v>
      </c>
      <c r="C30" s="449"/>
      <c r="D30" s="449"/>
      <c r="E30" s="449">
        <f>'[4]3кв'!E26+'[4]1 полуг'!E30</f>
        <v>0</v>
      </c>
      <c r="F30" s="449">
        <f>'[4]3кв'!F26+'[4]1 полуг'!F30</f>
        <v>0</v>
      </c>
      <c r="G30" s="447">
        <f>'[4]3кв'!H26+'[4]1 полуг'!G30</f>
        <v>0</v>
      </c>
      <c r="H30" s="447">
        <f>'[4]3кв'!J26</f>
        <v>0</v>
      </c>
      <c r="I30" s="447">
        <f>'[4]3кв'!I26+'[4]1 полуг'!H30</f>
        <v>0</v>
      </c>
      <c r="J30" s="447">
        <f>'[4]3кв'!L26+'[4]1 полуг'!J30</f>
        <v>0</v>
      </c>
      <c r="K30" s="447">
        <f>'[4]3кв'!M26+'[4]1 полуг'!K30</f>
        <v>0</v>
      </c>
      <c r="L30" s="447">
        <v>283.46499999999997</v>
      </c>
      <c r="M30" s="447"/>
      <c r="N30" s="447">
        <f>'[4]3кв'!P26+'[4]1 полуг'!N29</f>
        <v>0</v>
      </c>
      <c r="O30" s="450">
        <f t="shared" si="5"/>
        <v>283.46499999999997</v>
      </c>
      <c r="P30" s="447">
        <f>'[4]3кв'!R26+'[4]1 полуг'!P29</f>
        <v>0</v>
      </c>
      <c r="Q30" s="447"/>
      <c r="R30" s="447">
        <f>'[4]3кв'!S26+'[4]1 полуг'!R30</f>
        <v>0</v>
      </c>
      <c r="S30" s="447">
        <f>'[4]3кв'!T26+'[4]1 полуг'!S30</f>
        <v>0</v>
      </c>
      <c r="T30" s="450">
        <f t="shared" si="12"/>
        <v>283.46499999999997</v>
      </c>
      <c r="U30" s="364"/>
      <c r="V30" s="364"/>
      <c r="W30" s="318"/>
      <c r="X30" s="318"/>
    </row>
    <row r="31" spans="1:24" ht="15" customHeight="1">
      <c r="A31" s="576" t="s">
        <v>933</v>
      </c>
      <c r="B31" s="445">
        <v>225</v>
      </c>
      <c r="C31" s="449"/>
      <c r="D31" s="449"/>
      <c r="E31" s="449"/>
      <c r="F31" s="449"/>
      <c r="G31" s="447"/>
      <c r="H31" s="447"/>
      <c r="I31" s="447"/>
      <c r="J31" s="447"/>
      <c r="K31" s="447"/>
      <c r="L31" s="447">
        <f>'[4]1 полуг'!L30-5070.57</f>
        <v>0</v>
      </c>
      <c r="M31" s="447">
        <v>71.167810000000003</v>
      </c>
      <c r="N31" s="447">
        <f>'[4]1 полуг'!N30</f>
        <v>0</v>
      </c>
      <c r="O31" s="450">
        <f t="shared" si="5"/>
        <v>71.167810000000003</v>
      </c>
      <c r="P31" s="447"/>
      <c r="Q31" s="447"/>
      <c r="R31" s="447"/>
      <c r="S31" s="447"/>
      <c r="T31" s="450">
        <f t="shared" si="12"/>
        <v>71.167810000000003</v>
      </c>
      <c r="U31" s="364"/>
      <c r="V31" s="364"/>
      <c r="W31" s="318"/>
      <c r="X31" s="318"/>
    </row>
    <row r="32" spans="1:24" ht="15" customHeight="1">
      <c r="A32" s="576" t="s">
        <v>790</v>
      </c>
      <c r="B32" s="445">
        <v>225</v>
      </c>
      <c r="C32" s="449">
        <v>18.329999999999998</v>
      </c>
      <c r="D32" s="449">
        <v>18.329999999999998</v>
      </c>
      <c r="E32" s="449">
        <f>'[4]1 полуг'!E31</f>
        <v>0</v>
      </c>
      <c r="F32" s="449">
        <f>'[4]1 полуг'!F31</f>
        <v>0</v>
      </c>
      <c r="G32" s="447">
        <f>'[4]1 полуг'!G31</f>
        <v>0</v>
      </c>
      <c r="H32" s="447">
        <f>'[4]1 полуг'!H31</f>
        <v>0</v>
      </c>
      <c r="I32" s="447">
        <f>'[4]1 полуг'!H31</f>
        <v>0</v>
      </c>
      <c r="J32" s="447">
        <f>'[4]1 полуг'!J31</f>
        <v>0</v>
      </c>
      <c r="K32" s="447">
        <f>'[4]1 полуг'!K31</f>
        <v>0</v>
      </c>
      <c r="L32" s="447"/>
      <c r="M32" s="447"/>
      <c r="N32" s="447">
        <v>30</v>
      </c>
      <c r="O32" s="450">
        <f t="shared" si="5"/>
        <v>30</v>
      </c>
      <c r="P32" s="447">
        <f>'[4]1 полуг'!P31</f>
        <v>0</v>
      </c>
      <c r="Q32" s="447"/>
      <c r="R32" s="447">
        <f>'[4]1 полуг'!R31</f>
        <v>0</v>
      </c>
      <c r="S32" s="447">
        <f>'[4]1 полуг'!S31</f>
        <v>0</v>
      </c>
      <c r="T32" s="450">
        <f t="shared" si="12"/>
        <v>48.33</v>
      </c>
      <c r="U32" s="364"/>
      <c r="V32" s="364"/>
      <c r="W32" s="318"/>
      <c r="X32" s="318"/>
    </row>
    <row r="33" spans="1:24" ht="15" hidden="1" customHeight="1">
      <c r="A33" s="576" t="s">
        <v>676</v>
      </c>
      <c r="B33" s="445">
        <v>225</v>
      </c>
      <c r="C33" s="449">
        <f t="shared" si="11"/>
        <v>0</v>
      </c>
      <c r="D33" s="449">
        <f t="shared" si="11"/>
        <v>0</v>
      </c>
      <c r="E33" s="449">
        <f>'[4]1 полуг'!E32</f>
        <v>0</v>
      </c>
      <c r="F33" s="449">
        <f>'[4]1 полуг'!F32</f>
        <v>0</v>
      </c>
      <c r="G33" s="447">
        <f>'[4]1 полуг'!G32</f>
        <v>0</v>
      </c>
      <c r="H33" s="447">
        <f>'[4]1 полуг'!H32</f>
        <v>0</v>
      </c>
      <c r="I33" s="447">
        <f>'[4]1 полуг'!H32</f>
        <v>0</v>
      </c>
      <c r="J33" s="447">
        <f>'[4]1 полуг'!J32</f>
        <v>0</v>
      </c>
      <c r="K33" s="447">
        <f>'[4]1 полуг'!K32</f>
        <v>0</v>
      </c>
      <c r="L33" s="447"/>
      <c r="M33" s="447"/>
      <c r="N33" s="447">
        <f>'[4]1 полуг'!N32</f>
        <v>0</v>
      </c>
      <c r="O33" s="450">
        <f t="shared" si="5"/>
        <v>0</v>
      </c>
      <c r="P33" s="447">
        <f>'[4]1 полуг'!P32</f>
        <v>0</v>
      </c>
      <c r="Q33" s="447"/>
      <c r="R33" s="447">
        <f>'[4]1 полуг'!R32</f>
        <v>0</v>
      </c>
      <c r="S33" s="447">
        <f>'[4]1 полуг'!S32</f>
        <v>0</v>
      </c>
      <c r="T33" s="450">
        <f t="shared" si="12"/>
        <v>0</v>
      </c>
      <c r="U33" s="364"/>
      <c r="V33" s="364"/>
      <c r="W33" s="318"/>
      <c r="X33" s="318"/>
    </row>
    <row r="34" spans="1:24" ht="15" hidden="1" customHeight="1">
      <c r="A34" s="576" t="s">
        <v>277</v>
      </c>
      <c r="B34" s="445">
        <v>225</v>
      </c>
      <c r="C34" s="449">
        <f t="shared" si="11"/>
        <v>0</v>
      </c>
      <c r="D34" s="449">
        <f t="shared" si="11"/>
        <v>0</v>
      </c>
      <c r="E34" s="449">
        <f>'[4]1 полуг'!E34</f>
        <v>0</v>
      </c>
      <c r="F34" s="449">
        <f>'[4]1 полуг'!F34</f>
        <v>0</v>
      </c>
      <c r="G34" s="447">
        <f>'[4]1 полуг'!G34</f>
        <v>0</v>
      </c>
      <c r="H34" s="447">
        <f>'[4]1 полуг'!H34</f>
        <v>0</v>
      </c>
      <c r="I34" s="447">
        <f>'[4]1 полуг'!H34</f>
        <v>0</v>
      </c>
      <c r="J34" s="447">
        <f>'[4]1 полуг'!J34</f>
        <v>0</v>
      </c>
      <c r="K34" s="447">
        <f>'[4]1 полуг'!K34</f>
        <v>0</v>
      </c>
      <c r="L34" s="447"/>
      <c r="M34" s="447"/>
      <c r="N34" s="447">
        <f>'[4]1 полуг'!N34</f>
        <v>0</v>
      </c>
      <c r="O34" s="450">
        <f t="shared" si="5"/>
        <v>0</v>
      </c>
      <c r="P34" s="447">
        <f>'[4]1 полуг'!P34</f>
        <v>0</v>
      </c>
      <c r="Q34" s="447"/>
      <c r="R34" s="447">
        <f>'[4]1 полуг'!R34</f>
        <v>0</v>
      </c>
      <c r="S34" s="447">
        <f>'[4]1 полуг'!S34</f>
        <v>0</v>
      </c>
      <c r="T34" s="450">
        <f t="shared" si="12"/>
        <v>0</v>
      </c>
      <c r="U34" s="364"/>
      <c r="V34" s="364"/>
      <c r="W34" s="318"/>
      <c r="X34" s="318"/>
    </row>
    <row r="35" spans="1:24" ht="15" hidden="1" customHeight="1">
      <c r="A35" s="576" t="s">
        <v>727</v>
      </c>
      <c r="B35" s="445">
        <v>225</v>
      </c>
      <c r="C35" s="449">
        <f t="shared" si="11"/>
        <v>0</v>
      </c>
      <c r="D35" s="449">
        <f t="shared" si="11"/>
        <v>0</v>
      </c>
      <c r="E35" s="449">
        <f>'[4]3кв'!E27+'[4]1 полуг'!E25</f>
        <v>0</v>
      </c>
      <c r="F35" s="449">
        <f>'[4]3кв'!F27+'[4]1 полуг'!F25</f>
        <v>0</v>
      </c>
      <c r="G35" s="447">
        <f>'[4]3кв'!H27+'[4]1 полуг'!G25</f>
        <v>0</v>
      </c>
      <c r="H35" s="447">
        <f>'[4]3кв'!I27+'[4]1 полуг'!H25</f>
        <v>0</v>
      </c>
      <c r="I35" s="447">
        <f>'[4]3кв'!I27+'[4]1 полуг'!H25</f>
        <v>0</v>
      </c>
      <c r="J35" s="447">
        <f>'[4]3кв'!L27+'[4]1 полуг'!J25</f>
        <v>0</v>
      </c>
      <c r="K35" s="447">
        <f>'[4]3кв'!M27+'[4]1 полуг'!K25</f>
        <v>0</v>
      </c>
      <c r="L35" s="447">
        <f>'[4]3кв'!N27+'[4]1 полуг'!L25</f>
        <v>0</v>
      </c>
      <c r="M35" s="447"/>
      <c r="N35" s="447">
        <f>'[4]3кв'!P27+'[4]1 полуг'!N25</f>
        <v>0</v>
      </c>
      <c r="O35" s="450">
        <f t="shared" si="5"/>
        <v>0</v>
      </c>
      <c r="P35" s="447">
        <f>'[4]3кв'!R27+'[4]1 полуг'!P25</f>
        <v>0</v>
      </c>
      <c r="Q35" s="447"/>
      <c r="R35" s="447">
        <f>'[4]3кв'!S27+'[4]1 полуг'!R25</f>
        <v>0</v>
      </c>
      <c r="S35" s="447">
        <f>'[4]3кв'!T27+'[4]1 полуг'!S25</f>
        <v>0</v>
      </c>
      <c r="T35" s="450">
        <f t="shared" si="12"/>
        <v>0</v>
      </c>
      <c r="U35" s="364"/>
      <c r="V35" s="364"/>
      <c r="W35" s="318"/>
      <c r="X35" s="318"/>
    </row>
    <row r="36" spans="1:24" ht="14.25" hidden="1" customHeight="1">
      <c r="A36" s="576" t="s">
        <v>393</v>
      </c>
      <c r="B36" s="445">
        <v>225</v>
      </c>
      <c r="C36" s="449"/>
      <c r="D36" s="449"/>
      <c r="E36" s="449"/>
      <c r="F36" s="449"/>
      <c r="G36" s="447">
        <f>'[4]1 полуг'!G33</f>
        <v>0</v>
      </c>
      <c r="H36" s="447"/>
      <c r="I36" s="447"/>
      <c r="J36" s="447"/>
      <c r="K36" s="447">
        <f>'[4]1 полуг'!K33</f>
        <v>0</v>
      </c>
      <c r="L36" s="447"/>
      <c r="M36" s="447">
        <f>'[4]1 полуг'!M33</f>
        <v>0</v>
      </c>
      <c r="N36" s="447">
        <f>'[4]3кв'!P28+'[4]1 полуг'!N33</f>
        <v>0</v>
      </c>
      <c r="O36" s="450">
        <f t="shared" si="5"/>
        <v>0</v>
      </c>
      <c r="P36" s="447"/>
      <c r="Q36" s="447"/>
      <c r="R36" s="447"/>
      <c r="S36" s="447"/>
      <c r="T36" s="450">
        <f t="shared" si="12"/>
        <v>0</v>
      </c>
      <c r="U36" s="364"/>
      <c r="V36" s="364"/>
      <c r="W36" s="318"/>
      <c r="X36" s="318"/>
    </row>
    <row r="37" spans="1:24" ht="15" hidden="1" customHeight="1">
      <c r="A37" s="312" t="s">
        <v>728</v>
      </c>
      <c r="B37" s="445">
        <v>225</v>
      </c>
      <c r="C37" s="449">
        <f t="shared" si="11"/>
        <v>0</v>
      </c>
      <c r="D37" s="449">
        <f t="shared" si="11"/>
        <v>0</v>
      </c>
      <c r="E37" s="449">
        <f>'[4]3кв'!E25</f>
        <v>0</v>
      </c>
      <c r="F37" s="449">
        <f>'[4]3кв'!G25</f>
        <v>0</v>
      </c>
      <c r="G37" s="447">
        <f>'[4]3кв'!H25</f>
        <v>0</v>
      </c>
      <c r="H37" s="447">
        <f>'[4]3кв'!I25</f>
        <v>0</v>
      </c>
      <c r="I37" s="447">
        <f>'[4]3кв'!I25</f>
        <v>0</v>
      </c>
      <c r="J37" s="447">
        <f>'[4]3кв'!L25</f>
        <v>0</v>
      </c>
      <c r="K37" s="447">
        <f>'[4]3кв'!M25</f>
        <v>0</v>
      </c>
      <c r="L37" s="447">
        <f>'[4]3кв'!N25</f>
        <v>0</v>
      </c>
      <c r="M37" s="447"/>
      <c r="N37" s="447">
        <f>'[4]3кв'!P25</f>
        <v>0</v>
      </c>
      <c r="O37" s="450">
        <f t="shared" si="5"/>
        <v>0</v>
      </c>
      <c r="P37" s="447">
        <f>'[4]3кв'!R25</f>
        <v>0</v>
      </c>
      <c r="Q37" s="447"/>
      <c r="R37" s="447">
        <f>'[4]3кв'!S25</f>
        <v>0</v>
      </c>
      <c r="S37" s="447">
        <f>'[4]3кв'!T25</f>
        <v>0</v>
      </c>
      <c r="T37" s="450">
        <f t="shared" si="12"/>
        <v>0</v>
      </c>
      <c r="U37" s="364"/>
      <c r="V37" s="364"/>
      <c r="W37" s="318"/>
      <c r="X37" s="318"/>
    </row>
    <row r="38" spans="1:24" ht="15" customHeight="1">
      <c r="A38" s="311" t="s">
        <v>230</v>
      </c>
      <c r="B38" s="445">
        <v>225</v>
      </c>
      <c r="C38" s="449"/>
      <c r="D38" s="449"/>
      <c r="E38" s="449">
        <f>'[4]3кв'!E29+'[4]1 полуг'!E35</f>
        <v>0</v>
      </c>
      <c r="F38" s="449">
        <f>'[4]3кв'!F29+'[4]1 полуг'!F35</f>
        <v>0</v>
      </c>
      <c r="G38" s="447">
        <f>'[4]3кв'!H29+'[4]1 полуг'!G35</f>
        <v>0</v>
      </c>
      <c r="H38" s="447">
        <v>0</v>
      </c>
      <c r="I38" s="447">
        <f>'[4]3кв'!I29+'[4]1 полуг'!H35</f>
        <v>0</v>
      </c>
      <c r="J38" s="447">
        <v>1.6</v>
      </c>
      <c r="K38" s="447">
        <f>'[4]3кв'!M29+'[4]1 полуг'!K35</f>
        <v>0</v>
      </c>
      <c r="L38" s="447">
        <v>9.6999999999999993</v>
      </c>
      <c r="M38" s="447">
        <f>'[4]1 полуг'!M35</f>
        <v>0</v>
      </c>
      <c r="N38" s="447"/>
      <c r="O38" s="450">
        <f t="shared" si="5"/>
        <v>9.6999999999999993</v>
      </c>
      <c r="P38" s="447">
        <f>'[4]3кв'!R29+'[4]1 полуг'!P35</f>
        <v>0</v>
      </c>
      <c r="Q38" s="447"/>
      <c r="R38" s="447">
        <f>'[4]3кв'!S29+'[4]1 полуг'!R35</f>
        <v>0</v>
      </c>
      <c r="S38" s="447"/>
      <c r="T38" s="450">
        <f t="shared" si="12"/>
        <v>11.299999999999999</v>
      </c>
      <c r="U38" s="364"/>
      <c r="V38" s="364"/>
      <c r="W38" s="318"/>
      <c r="X38" s="318"/>
    </row>
    <row r="39" spans="1:24" ht="15" customHeight="1">
      <c r="A39" s="570" t="s">
        <v>921</v>
      </c>
      <c r="B39" s="445">
        <v>226</v>
      </c>
      <c r="C39" s="449">
        <f>SUM(C40:C78)</f>
        <v>702.58860000000004</v>
      </c>
      <c r="D39" s="449">
        <f>SUM(D40:D78)</f>
        <v>702.58860000000004</v>
      </c>
      <c r="E39" s="450">
        <f t="shared" ref="E39" si="22">SUM(E40:E78)</f>
        <v>0</v>
      </c>
      <c r="F39" s="450">
        <f>SUM(F40:F78)</f>
        <v>1663.6410500000002</v>
      </c>
      <c r="G39" s="450">
        <f t="shared" ref="G39:P39" si="23">SUM(G40:G78)</f>
        <v>254.85704999999999</v>
      </c>
      <c r="H39" s="450">
        <f t="shared" si="23"/>
        <v>0</v>
      </c>
      <c r="I39" s="450">
        <f t="shared" si="23"/>
        <v>0</v>
      </c>
      <c r="J39" s="450">
        <f t="shared" si="23"/>
        <v>80.010000000000005</v>
      </c>
      <c r="K39" s="450">
        <f t="shared" si="23"/>
        <v>546.05857000000003</v>
      </c>
      <c r="L39" s="450">
        <f t="shared" si="23"/>
        <v>254.78935000000001</v>
      </c>
      <c r="M39" s="450">
        <f t="shared" si="23"/>
        <v>360.49799999999999</v>
      </c>
      <c r="N39" s="450">
        <f t="shared" si="23"/>
        <v>189.899</v>
      </c>
      <c r="O39" s="450">
        <f t="shared" si="5"/>
        <v>805.18634999999995</v>
      </c>
      <c r="P39" s="450">
        <f t="shared" si="23"/>
        <v>90.724999999999994</v>
      </c>
      <c r="Q39" s="450">
        <f t="shared" ref="Q39" si="24">SUM(Q40:Q78)</f>
        <v>0</v>
      </c>
      <c r="R39" s="450">
        <f t="shared" ref="R39" si="25">SUM(R40:R78)</f>
        <v>0</v>
      </c>
      <c r="S39" s="450">
        <f>SUM(S41:S78)</f>
        <v>658.22400000000005</v>
      </c>
      <c r="T39" s="450">
        <f t="shared" si="12"/>
        <v>4801.2906200000007</v>
      </c>
      <c r="U39" s="318"/>
      <c r="V39" s="364"/>
      <c r="W39" s="318"/>
      <c r="X39" s="318"/>
    </row>
    <row r="40" spans="1:24" ht="15" customHeight="1">
      <c r="A40" s="308" t="s">
        <v>729</v>
      </c>
      <c r="B40" s="445">
        <v>226</v>
      </c>
      <c r="C40" s="449"/>
      <c r="D40" s="449"/>
      <c r="E40" s="449">
        <f>'[4]3кв'!E31+'[4]1 полуг'!E37</f>
        <v>0</v>
      </c>
      <c r="F40" s="449">
        <f>'[4]3кв'!F31+'[4]1 полуг'!F37</f>
        <v>0</v>
      </c>
      <c r="G40" s="447"/>
      <c r="H40" s="447">
        <f>'[4]3кв'!I31+'[4]1 полуг'!H37</f>
        <v>0</v>
      </c>
      <c r="I40" s="447">
        <f>'[4]3кв'!I31+'[4]1 полуг'!H37</f>
        <v>0</v>
      </c>
      <c r="J40" s="447">
        <f>'[4]3кв'!L31+'[4]1 полуг'!J37</f>
        <v>0</v>
      </c>
      <c r="K40" s="447">
        <f>'[4]3кв'!M31+'[4]1 полуг'!K37</f>
        <v>0</v>
      </c>
      <c r="L40" s="447"/>
      <c r="M40" s="447"/>
      <c r="N40" s="447">
        <f>'[4]3кв'!P31+'[4]1 полуг'!N37</f>
        <v>0</v>
      </c>
      <c r="O40" s="450">
        <f t="shared" si="5"/>
        <v>0</v>
      </c>
      <c r="P40" s="447">
        <f>'[4]3кв'!R31+'[4]1 полуг'!P37</f>
        <v>0</v>
      </c>
      <c r="Q40" s="447"/>
      <c r="R40" s="447">
        <f>'[4]3кв'!S31+'[4]1 полуг'!R37</f>
        <v>0</v>
      </c>
      <c r="S40" s="447">
        <f>'[4]3кв'!T31+'[4]1 полуг'!S37</f>
        <v>0</v>
      </c>
      <c r="T40" s="450">
        <f t="shared" si="12"/>
        <v>0</v>
      </c>
      <c r="V40" s="364"/>
      <c r="W40" s="318"/>
      <c r="X40" s="318"/>
    </row>
    <row r="41" spans="1:24">
      <c r="A41" s="308" t="s">
        <v>730</v>
      </c>
      <c r="B41" s="445">
        <v>226</v>
      </c>
      <c r="C41" s="449"/>
      <c r="D41" s="449"/>
      <c r="E41" s="449">
        <f>'[4]1 полуг'!E38</f>
        <v>0</v>
      </c>
      <c r="F41" s="449">
        <f>'[4]3кв'!F32+'[4]3кв'!G32</f>
        <v>0</v>
      </c>
      <c r="G41" s="447">
        <f>'[4]1 полуг'!G39</f>
        <v>0</v>
      </c>
      <c r="H41" s="447">
        <f>'[4]1 полуг'!H38</f>
        <v>0</v>
      </c>
      <c r="I41" s="447">
        <f>'[4]1 полуг'!H38</f>
        <v>0</v>
      </c>
      <c r="J41" s="447">
        <f>'[4]1 полуг'!J38</f>
        <v>0</v>
      </c>
      <c r="K41" s="447">
        <v>257.01100000000002</v>
      </c>
      <c r="L41" s="447"/>
      <c r="M41" s="447">
        <v>317.68599999999998</v>
      </c>
      <c r="N41" s="447">
        <f>'[4]3кв'!P32+'[4]1 полуг'!N38</f>
        <v>0</v>
      </c>
      <c r="O41" s="450">
        <f t="shared" si="5"/>
        <v>317.68599999999998</v>
      </c>
      <c r="P41" s="447"/>
      <c r="Q41" s="447"/>
      <c r="R41" s="447">
        <f>'[4]1 полуг'!R38</f>
        <v>0</v>
      </c>
      <c r="S41" s="447">
        <v>642.74400000000003</v>
      </c>
      <c r="T41" s="450">
        <f t="shared" si="12"/>
        <v>1217.441</v>
      </c>
      <c r="V41" s="364"/>
      <c r="W41" s="318"/>
      <c r="X41" s="318"/>
    </row>
    <row r="42" spans="1:24" ht="12.75" customHeight="1">
      <c r="A42" s="308" t="s">
        <v>731</v>
      </c>
      <c r="B42" s="445">
        <v>226</v>
      </c>
      <c r="C42" s="449">
        <f t="shared" si="11"/>
        <v>0</v>
      </c>
      <c r="D42" s="449">
        <f t="shared" si="11"/>
        <v>0</v>
      </c>
      <c r="E42" s="449"/>
      <c r="F42" s="449"/>
      <c r="G42" s="447"/>
      <c r="H42" s="447"/>
      <c r="I42" s="447"/>
      <c r="J42" s="447"/>
      <c r="K42" s="447"/>
      <c r="L42" s="447">
        <f>'[4]1 полуг'!L39</f>
        <v>0</v>
      </c>
      <c r="M42" s="447">
        <f>'[4]1 полуг'!M41+'[4]3кв'!O35</f>
        <v>0</v>
      </c>
      <c r="N42" s="447">
        <f>'[4]1 полуг'!N39</f>
        <v>0</v>
      </c>
      <c r="O42" s="450">
        <f t="shared" si="5"/>
        <v>0</v>
      </c>
      <c r="P42" s="447">
        <f>'[4]1 полуг'!P39</f>
        <v>0</v>
      </c>
      <c r="Q42" s="447">
        <f>'[4]3кв'!K35</f>
        <v>0</v>
      </c>
      <c r="R42" s="447"/>
      <c r="S42" s="447"/>
      <c r="T42" s="450">
        <f t="shared" si="12"/>
        <v>0</v>
      </c>
      <c r="V42" s="364"/>
      <c r="W42" s="318"/>
      <c r="X42" s="318"/>
    </row>
    <row r="43" spans="1:24" ht="15" customHeight="1">
      <c r="A43" s="308" t="s">
        <v>732</v>
      </c>
      <c r="B43" s="445">
        <v>226</v>
      </c>
      <c r="C43" s="449">
        <v>9.8000000000000007</v>
      </c>
      <c r="D43" s="449">
        <v>9.8000000000000007</v>
      </c>
      <c r="E43" s="449">
        <f>'[4]3кв'!E33+'[4]1 полуг'!E40</f>
        <v>0</v>
      </c>
      <c r="F43" s="449">
        <f>'[4]3кв'!F33+'[4]1 полуг'!F40</f>
        <v>0</v>
      </c>
      <c r="G43" s="447">
        <v>10</v>
      </c>
      <c r="H43" s="447">
        <f>'[4]3кв'!I33+'[4]1 полуг'!H40</f>
        <v>0</v>
      </c>
      <c r="I43" s="447">
        <f>'[4]3кв'!I33+'[4]1 полуг'!H40</f>
        <v>0</v>
      </c>
      <c r="J43" s="447">
        <f>'[4]3кв'!L33+'[4]1 полуг'!J40</f>
        <v>0</v>
      </c>
      <c r="K43" s="447">
        <f>'[4]3кв'!M33+'[4]1 полуг'!K40</f>
        <v>0</v>
      </c>
      <c r="L43" s="447"/>
      <c r="M43" s="447"/>
      <c r="N43" s="447">
        <f>'[4]3кв'!P33+'[4]1 полуг'!N40</f>
        <v>0</v>
      </c>
      <c r="O43" s="450">
        <f t="shared" si="5"/>
        <v>0</v>
      </c>
      <c r="P43" s="447">
        <f>'[4]3кв'!R33+'[4]1 полуг'!P40</f>
        <v>0</v>
      </c>
      <c r="Q43" s="447"/>
      <c r="R43" s="447">
        <f>'[4]3кв'!S33+'[4]1 полуг'!R40</f>
        <v>0</v>
      </c>
      <c r="S43" s="447">
        <f>'[4]3кв'!T33+'[4]1 полуг'!S40</f>
        <v>0</v>
      </c>
      <c r="T43" s="450">
        <f t="shared" si="12"/>
        <v>19.8</v>
      </c>
      <c r="V43" s="364"/>
      <c r="W43" s="318"/>
      <c r="X43" s="318"/>
    </row>
    <row r="44" spans="1:24" ht="15.75" customHeight="1">
      <c r="A44" s="308" t="s">
        <v>169</v>
      </c>
      <c r="B44" s="445">
        <v>226</v>
      </c>
      <c r="C44" s="449">
        <f t="shared" si="11"/>
        <v>0</v>
      </c>
      <c r="D44" s="449">
        <f t="shared" si="11"/>
        <v>0</v>
      </c>
      <c r="E44" s="449">
        <f>'[4]3кв'!E34+'[4]1 полуг'!E41</f>
        <v>0</v>
      </c>
      <c r="F44" s="449">
        <f>'[4]3кв'!F34+'[4]1 полуг'!F41</f>
        <v>0</v>
      </c>
      <c r="G44" s="447">
        <f>'[4]3кв'!H34+'[4]1 полуг'!G41</f>
        <v>0</v>
      </c>
      <c r="H44" s="447">
        <f>'[4]3кв'!I34+'[4]1 полуг'!H41</f>
        <v>0</v>
      </c>
      <c r="I44" s="447">
        <f>'[4]3кв'!I34+'[4]1 полуг'!H41</f>
        <v>0</v>
      </c>
      <c r="J44" s="447">
        <f>'[4]3кв'!L34+'[4]1 полуг'!J41</f>
        <v>0</v>
      </c>
      <c r="K44" s="447">
        <f>'[4]3кв'!M34+'[4]1 полуг'!K41</f>
        <v>0</v>
      </c>
      <c r="L44" s="447">
        <f>'[4]3кв'!N34+'[4]1 полуг'!L41</f>
        <v>0</v>
      </c>
      <c r="M44" s="447"/>
      <c r="N44" s="447">
        <f>'[4]3кв'!P34+'[4]1 полуг'!N41</f>
        <v>0</v>
      </c>
      <c r="O44" s="450">
        <f t="shared" si="5"/>
        <v>0</v>
      </c>
      <c r="P44" s="447">
        <f>'[4]3кв'!R34+'[4]1 полуг'!P41</f>
        <v>0</v>
      </c>
      <c r="Q44" s="447"/>
      <c r="R44" s="447">
        <f>'[4]3кв'!S34+'[4]1 полуг'!R41</f>
        <v>0</v>
      </c>
      <c r="S44" s="447">
        <f>'[4]3кв'!T34+'[4]1 полуг'!S41</f>
        <v>0</v>
      </c>
      <c r="T44" s="450">
        <f t="shared" si="12"/>
        <v>0</v>
      </c>
      <c r="V44" s="364"/>
      <c r="W44" s="318"/>
      <c r="X44" s="318"/>
    </row>
    <row r="45" spans="1:24" ht="12.75" customHeight="1">
      <c r="A45" s="308" t="s">
        <v>730</v>
      </c>
      <c r="B45" s="445">
        <v>226</v>
      </c>
      <c r="C45" s="449"/>
      <c r="D45" s="449"/>
      <c r="E45" s="449">
        <f>'[4]3кв'!E35</f>
        <v>0</v>
      </c>
      <c r="F45" s="449"/>
      <c r="G45" s="447">
        <f>'[4]3кв'!H35</f>
        <v>0</v>
      </c>
      <c r="H45" s="447">
        <f>'[4]3кв'!I35</f>
        <v>0</v>
      </c>
      <c r="I45" s="447">
        <f>'[4]3кв'!I35</f>
        <v>0</v>
      </c>
      <c r="J45" s="447">
        <f>'[4]3кв'!L35</f>
        <v>0</v>
      </c>
      <c r="K45" s="447">
        <v>0</v>
      </c>
      <c r="L45" s="447"/>
      <c r="M45" s="447"/>
      <c r="N45" s="447"/>
      <c r="O45" s="450">
        <f t="shared" si="5"/>
        <v>0</v>
      </c>
      <c r="P45" s="447">
        <f>'[4]3кв'!R35</f>
        <v>0</v>
      </c>
      <c r="Q45" s="447"/>
      <c r="R45" s="447">
        <f>'[4]3кв'!S35</f>
        <v>0</v>
      </c>
      <c r="S45" s="447">
        <f>'[4]3кв'!T35</f>
        <v>0</v>
      </c>
      <c r="T45" s="450">
        <f t="shared" si="12"/>
        <v>0</v>
      </c>
      <c r="V45" s="364"/>
      <c r="W45" s="318"/>
      <c r="X45" s="318"/>
    </row>
    <row r="46" spans="1:24">
      <c r="A46" s="308" t="s">
        <v>733</v>
      </c>
      <c r="B46" s="445">
        <v>226</v>
      </c>
      <c r="C46" s="449">
        <v>8.8480000000000008</v>
      </c>
      <c r="D46" s="449">
        <v>8.8480000000000008</v>
      </c>
      <c r="E46" s="449">
        <f>'[4]1 полуг'!E44+'[4]3кв'!E38</f>
        <v>0</v>
      </c>
      <c r="F46" s="449">
        <f>'[4]1 полуг'!F44+'[4]3кв'!F38</f>
        <v>0</v>
      </c>
      <c r="G46" s="447">
        <f>'[4]1 полуг'!G44+'[4]3кв'!H38</f>
        <v>0</v>
      </c>
      <c r="H46" s="447">
        <f>'[4]1 полуг'!H44+'[4]3кв'!I38</f>
        <v>0</v>
      </c>
      <c r="I46" s="447">
        <f>'[4]1 полуг'!H44+'[4]3кв'!I38</f>
        <v>0</v>
      </c>
      <c r="J46" s="447">
        <f>'[4]1 полуг'!J44+'[4]3кв'!L38</f>
        <v>0</v>
      </c>
      <c r="K46" s="447">
        <f>'[4]1 полуг'!K44+'[4]3кв'!M38</f>
        <v>0</v>
      </c>
      <c r="L46" s="447">
        <f>'[4]1 полуг'!L44+'[4]3кв'!N38</f>
        <v>0</v>
      </c>
      <c r="M46" s="447"/>
      <c r="N46" s="447">
        <f>'[4]1 полуг'!N44+'[4]3кв'!P38</f>
        <v>0</v>
      </c>
      <c r="O46" s="450">
        <f t="shared" si="5"/>
        <v>0</v>
      </c>
      <c r="P46" s="447">
        <f>'[4]1 полуг'!P44+'[4]3кв'!R38</f>
        <v>0</v>
      </c>
      <c r="Q46" s="447"/>
      <c r="R46" s="447">
        <f>'[4]1 полуг'!R44+'[4]3кв'!S38</f>
        <v>0</v>
      </c>
      <c r="S46" s="447">
        <f>'[4]1 полуг'!S44+'[4]3кв'!T38</f>
        <v>0</v>
      </c>
      <c r="T46" s="450">
        <f t="shared" si="12"/>
        <v>8.8480000000000008</v>
      </c>
      <c r="V46" s="364"/>
      <c r="W46" s="318"/>
      <c r="X46" s="318"/>
    </row>
    <row r="47" spans="1:24" ht="12.75" customHeight="1">
      <c r="A47" s="308" t="s">
        <v>883</v>
      </c>
      <c r="B47" s="445">
        <v>226</v>
      </c>
      <c r="C47" s="449">
        <v>92.981710000000007</v>
      </c>
      <c r="D47" s="449">
        <v>92.981710000000007</v>
      </c>
      <c r="E47" s="449">
        <f>'[4]1 полуг'!E48</f>
        <v>0</v>
      </c>
      <c r="F47" s="449">
        <f>'[4]1 полуг'!F48</f>
        <v>0</v>
      </c>
      <c r="G47" s="447">
        <f>'[4]1 полуг'!G48</f>
        <v>0</v>
      </c>
      <c r="H47" s="447">
        <f>'[4]1 полуг'!H48</f>
        <v>0</v>
      </c>
      <c r="I47" s="447">
        <f>'[4]1 полуг'!H48</f>
        <v>0</v>
      </c>
      <c r="J47" s="447">
        <f>'[4]1 полуг'!J48</f>
        <v>0</v>
      </c>
      <c r="K47" s="447">
        <f>'[4]1 полуг'!K48</f>
        <v>0</v>
      </c>
      <c r="L47" s="447">
        <v>191.73500000000001</v>
      </c>
      <c r="M47" s="447"/>
      <c r="N47" s="447">
        <v>24.899000000000001</v>
      </c>
      <c r="O47" s="450">
        <f t="shared" si="5"/>
        <v>216.63400000000001</v>
      </c>
      <c r="P47" s="447">
        <v>0</v>
      </c>
      <c r="Q47" s="447"/>
      <c r="R47" s="447">
        <f>'[4]1 полуг'!R48+'[4]3кв'!S36</f>
        <v>0</v>
      </c>
      <c r="S47" s="447">
        <f>'[4]1 полуг'!S48</f>
        <v>0</v>
      </c>
      <c r="T47" s="450">
        <f t="shared" si="12"/>
        <v>309.61571000000004</v>
      </c>
      <c r="V47" s="364"/>
      <c r="W47" s="318"/>
      <c r="X47" s="318"/>
    </row>
    <row r="48" spans="1:24" ht="12" hidden="1" customHeight="1">
      <c r="A48" s="308" t="s">
        <v>734</v>
      </c>
      <c r="B48" s="445">
        <v>226</v>
      </c>
      <c r="C48" s="449"/>
      <c r="D48" s="449"/>
      <c r="E48" s="449">
        <f>'[4]1 полуг'!E63</f>
        <v>0</v>
      </c>
      <c r="F48" s="449">
        <f>'[4]1 полуг'!F63</f>
        <v>0</v>
      </c>
      <c r="G48" s="447">
        <f>'[4]1 полуг'!G63</f>
        <v>0</v>
      </c>
      <c r="H48" s="447">
        <f>'[4]1 полуг'!H63</f>
        <v>0</v>
      </c>
      <c r="I48" s="447">
        <f>'[4]1 полуг'!H63</f>
        <v>0</v>
      </c>
      <c r="J48" s="447">
        <f>'[4]1 полуг'!J63</f>
        <v>0</v>
      </c>
      <c r="K48" s="447">
        <f>'[4]1 полуг'!K63</f>
        <v>0</v>
      </c>
      <c r="L48" s="447"/>
      <c r="M48" s="447"/>
      <c r="N48" s="447">
        <f>'[4]1 полуг'!N63</f>
        <v>0</v>
      </c>
      <c r="O48" s="450">
        <f t="shared" si="5"/>
        <v>0</v>
      </c>
      <c r="P48" s="447">
        <f>'[4]1 полуг'!P63</f>
        <v>0</v>
      </c>
      <c r="Q48" s="447"/>
      <c r="R48" s="447">
        <f>'[4]1 полуг'!R63</f>
        <v>0</v>
      </c>
      <c r="S48" s="447">
        <f>'[4]1 полуг'!S63</f>
        <v>0</v>
      </c>
      <c r="T48" s="450">
        <f t="shared" si="12"/>
        <v>0</v>
      </c>
      <c r="V48" s="364"/>
      <c r="W48" s="318"/>
      <c r="X48" s="318"/>
    </row>
    <row r="49" spans="1:24" ht="15" hidden="1" customHeight="1">
      <c r="A49" s="308" t="s">
        <v>677</v>
      </c>
      <c r="B49" s="445">
        <v>226</v>
      </c>
      <c r="C49" s="449"/>
      <c r="D49" s="449"/>
      <c r="E49" s="449">
        <f>'[4]3кв'!E42</f>
        <v>0</v>
      </c>
      <c r="F49" s="449">
        <f>'[4]3кв'!F42</f>
        <v>0</v>
      </c>
      <c r="G49" s="447">
        <f>'[4]3кв'!H42</f>
        <v>0</v>
      </c>
      <c r="H49" s="447">
        <f>'[4]3кв'!I42</f>
        <v>0</v>
      </c>
      <c r="I49" s="447">
        <f>'[4]3кв'!I42</f>
        <v>0</v>
      </c>
      <c r="J49" s="447">
        <f>'[4]3кв'!L42</f>
        <v>0</v>
      </c>
      <c r="K49" s="447">
        <f>'[4]3кв'!M42</f>
        <v>0</v>
      </c>
      <c r="L49" s="447">
        <f>'[4]3кв'!N42</f>
        <v>0</v>
      </c>
      <c r="M49" s="447"/>
      <c r="N49" s="447">
        <f>'[4]3кв'!P42</f>
        <v>0</v>
      </c>
      <c r="O49" s="450">
        <f t="shared" si="5"/>
        <v>0</v>
      </c>
      <c r="P49" s="449">
        <f>'[4]3кв'!R42</f>
        <v>0</v>
      </c>
      <c r="Q49" s="447"/>
      <c r="R49" s="447">
        <f>'[4]3кв'!S42</f>
        <v>0</v>
      </c>
      <c r="S49" s="447">
        <f>'[4]3кв'!T42</f>
        <v>0</v>
      </c>
      <c r="T49" s="450">
        <f t="shared" si="12"/>
        <v>0</v>
      </c>
      <c r="V49" s="364"/>
      <c r="W49" s="318"/>
      <c r="X49" s="318"/>
    </row>
    <row r="50" spans="1:24" hidden="1">
      <c r="A50" s="365" t="s">
        <v>735</v>
      </c>
      <c r="B50" s="445">
        <v>226</v>
      </c>
      <c r="C50" s="449"/>
      <c r="D50" s="449"/>
      <c r="E50" s="449">
        <f>'[4]1 полуг'!E42</f>
        <v>0</v>
      </c>
      <c r="F50" s="449">
        <f>'[4]1 полуг'!F42</f>
        <v>0</v>
      </c>
      <c r="G50" s="447">
        <f>'[4]3кв'!H41</f>
        <v>0</v>
      </c>
      <c r="H50" s="447">
        <f>'[4]1 полуг'!H42</f>
        <v>0</v>
      </c>
      <c r="I50" s="447">
        <f>'[4]1 полуг'!H42</f>
        <v>0</v>
      </c>
      <c r="J50" s="447">
        <f>'[4]1 полуг'!J42</f>
        <v>0</v>
      </c>
      <c r="K50" s="447">
        <f>'[4]1 полуг'!K42</f>
        <v>0</v>
      </c>
      <c r="L50" s="447">
        <f>'[4]1 полуг'!L42</f>
        <v>0</v>
      </c>
      <c r="M50" s="447"/>
      <c r="N50" s="447">
        <f>'[4]1 полуг'!N42</f>
        <v>0</v>
      </c>
      <c r="O50" s="450">
        <f t="shared" si="5"/>
        <v>0</v>
      </c>
      <c r="P50" s="449">
        <f>'[4]1 полуг'!P42</f>
        <v>0</v>
      </c>
      <c r="Q50" s="447"/>
      <c r="R50" s="447">
        <f>'[4]1 полуг'!R42</f>
        <v>0</v>
      </c>
      <c r="S50" s="447">
        <f>'[4]1 полуг'!S42</f>
        <v>0</v>
      </c>
      <c r="T50" s="450">
        <f t="shared" si="12"/>
        <v>0</v>
      </c>
      <c r="V50" s="364"/>
      <c r="W50" s="318"/>
      <c r="X50" s="318"/>
    </row>
    <row r="51" spans="1:24" ht="15" hidden="1" customHeight="1">
      <c r="A51" s="308" t="s">
        <v>789</v>
      </c>
      <c r="B51" s="445">
        <v>226</v>
      </c>
      <c r="C51" s="449"/>
      <c r="D51" s="449"/>
      <c r="E51" s="449"/>
      <c r="F51" s="449"/>
      <c r="G51" s="447"/>
      <c r="H51" s="447"/>
      <c r="I51" s="447"/>
      <c r="J51" s="447"/>
      <c r="K51" s="447"/>
      <c r="L51" s="447">
        <v>0</v>
      </c>
      <c r="M51" s="447"/>
      <c r="N51" s="447"/>
      <c r="O51" s="450">
        <f t="shared" si="5"/>
        <v>0</v>
      </c>
      <c r="P51" s="449"/>
      <c r="Q51" s="447"/>
      <c r="R51" s="447"/>
      <c r="S51" s="447"/>
      <c r="T51" s="450">
        <f t="shared" si="12"/>
        <v>0</v>
      </c>
      <c r="V51" s="364"/>
      <c r="W51" s="318"/>
      <c r="X51" s="318"/>
    </row>
    <row r="52" spans="1:24" ht="15" hidden="1" customHeight="1">
      <c r="A52" s="308" t="s">
        <v>736</v>
      </c>
      <c r="B52" s="445">
        <v>226</v>
      </c>
      <c r="C52" s="449">
        <f t="shared" si="11"/>
        <v>0</v>
      </c>
      <c r="D52" s="449">
        <f t="shared" si="11"/>
        <v>0</v>
      </c>
      <c r="E52" s="449">
        <f>'[4]3кв'!E45</f>
        <v>0</v>
      </c>
      <c r="F52" s="449">
        <f>'[4]3кв'!F45</f>
        <v>0</v>
      </c>
      <c r="G52" s="447">
        <f>'[4]3кв'!H45</f>
        <v>0</v>
      </c>
      <c r="H52" s="447">
        <f>'[4]3кв'!I45</f>
        <v>0</v>
      </c>
      <c r="I52" s="447">
        <f>'[4]3кв'!I45</f>
        <v>0</v>
      </c>
      <c r="J52" s="447">
        <f>'[4]3кв'!L45</f>
        <v>0</v>
      </c>
      <c r="K52" s="447">
        <f>'[4]3кв'!M45</f>
        <v>0</v>
      </c>
      <c r="L52" s="447">
        <f>'[4]3кв'!N45</f>
        <v>0</v>
      </c>
      <c r="M52" s="447"/>
      <c r="N52" s="447">
        <f>'[4]3кв'!P45</f>
        <v>0</v>
      </c>
      <c r="O52" s="450">
        <f t="shared" si="5"/>
        <v>0</v>
      </c>
      <c r="P52" s="449">
        <f>'[4]3кв'!R45</f>
        <v>0</v>
      </c>
      <c r="Q52" s="447"/>
      <c r="R52" s="447">
        <f>'[4]3кв'!S45</f>
        <v>0</v>
      </c>
      <c r="S52" s="447">
        <f>'[4]3кв'!T45</f>
        <v>0</v>
      </c>
      <c r="T52" s="450">
        <f t="shared" si="12"/>
        <v>0</v>
      </c>
      <c r="V52" s="364"/>
      <c r="W52" s="318"/>
      <c r="X52" s="318"/>
    </row>
    <row r="53" spans="1:24" ht="12.75" hidden="1" customHeight="1">
      <c r="A53" s="308" t="s">
        <v>394</v>
      </c>
      <c r="B53" s="445">
        <v>226</v>
      </c>
      <c r="C53" s="449">
        <f t="shared" si="11"/>
        <v>0</v>
      </c>
      <c r="D53" s="449">
        <f t="shared" si="11"/>
        <v>0</v>
      </c>
      <c r="E53" s="449">
        <f>'[4]1 полуг'!E65</f>
        <v>0</v>
      </c>
      <c r="F53" s="449">
        <f>'[4]1 полуг'!F65</f>
        <v>0</v>
      </c>
      <c r="G53" s="447">
        <f>'[4]1 полуг'!G65</f>
        <v>0</v>
      </c>
      <c r="H53" s="447">
        <f>'[4]1 полуг'!H65</f>
        <v>0</v>
      </c>
      <c r="I53" s="447">
        <f>'[4]1 полуг'!H65</f>
        <v>0</v>
      </c>
      <c r="J53" s="447">
        <f>'[4]1 полуг'!J65</f>
        <v>0</v>
      </c>
      <c r="K53" s="447">
        <f>'[4]1 полуг'!K65</f>
        <v>0</v>
      </c>
      <c r="L53" s="447">
        <f>'[4]1 полуг'!L65</f>
        <v>0</v>
      </c>
      <c r="M53" s="447"/>
      <c r="N53" s="447">
        <f>'[4]1 полуг'!N65</f>
        <v>0</v>
      </c>
      <c r="O53" s="450">
        <f t="shared" si="5"/>
        <v>0</v>
      </c>
      <c r="P53" s="449">
        <f>'[4]1 полуг'!P65</f>
        <v>0</v>
      </c>
      <c r="Q53" s="447"/>
      <c r="R53" s="447">
        <f>'[4]1 полуг'!R65</f>
        <v>0</v>
      </c>
      <c r="S53" s="447">
        <f>'[4]1 полуг'!S65</f>
        <v>0</v>
      </c>
      <c r="T53" s="450">
        <f t="shared" si="12"/>
        <v>0</v>
      </c>
      <c r="V53" s="364"/>
      <c r="W53" s="318"/>
      <c r="X53" s="318"/>
    </row>
    <row r="54" spans="1:24" ht="12" hidden="1" customHeight="1">
      <c r="A54" s="308" t="s">
        <v>173</v>
      </c>
      <c r="B54" s="445">
        <v>226</v>
      </c>
      <c r="C54" s="449">
        <f t="shared" si="11"/>
        <v>0</v>
      </c>
      <c r="D54" s="449">
        <f t="shared" si="11"/>
        <v>0</v>
      </c>
      <c r="E54" s="449">
        <f>'[4]1 полуг'!E49+'[4]3кв'!E62</f>
        <v>0</v>
      </c>
      <c r="F54" s="449">
        <f>'[4]1 полуг'!F49+'[4]3кв'!F62</f>
        <v>0</v>
      </c>
      <c r="G54" s="447">
        <f>'[4]1 полуг'!G49+'[4]3кв'!H62</f>
        <v>0</v>
      </c>
      <c r="H54" s="447">
        <f>'[4]1 полуг'!H49+'[4]3кв'!I62</f>
        <v>0</v>
      </c>
      <c r="I54" s="447">
        <f>'[4]1 полуг'!H49+'[4]3кв'!I62</f>
        <v>0</v>
      </c>
      <c r="J54" s="447">
        <f>'[4]1 полуг'!J49+'[4]3кв'!L62</f>
        <v>0</v>
      </c>
      <c r="K54" s="447">
        <f>'[4]1 полуг'!K49+'[4]3кв'!M62</f>
        <v>0</v>
      </c>
      <c r="L54" s="447">
        <v>0</v>
      </c>
      <c r="M54" s="447"/>
      <c r="N54" s="447">
        <f>'[4]1 полуг'!N49+'[4]3кв'!P62</f>
        <v>0</v>
      </c>
      <c r="O54" s="450">
        <f t="shared" si="5"/>
        <v>0</v>
      </c>
      <c r="P54" s="449">
        <f>'[4]1 полуг'!P49+'[4]3кв'!R62</f>
        <v>0</v>
      </c>
      <c r="Q54" s="447"/>
      <c r="R54" s="447">
        <f>'[4]1 полуг'!R49+'[4]3кв'!S62</f>
        <v>0</v>
      </c>
      <c r="S54" s="447">
        <f>'[4]1 полуг'!S49+'[4]3кв'!T62</f>
        <v>0</v>
      </c>
      <c r="T54" s="450">
        <f t="shared" si="12"/>
        <v>0</v>
      </c>
      <c r="V54" s="364"/>
      <c r="W54" s="318"/>
      <c r="X54" s="318"/>
    </row>
    <row r="55" spans="1:24" ht="12.75" hidden="1" customHeight="1">
      <c r="A55" s="308" t="str">
        <f>'[4]1 кв'!A67</f>
        <v xml:space="preserve"> - аттестация рабочих мест</v>
      </c>
      <c r="B55" s="309">
        <v>226</v>
      </c>
      <c r="C55" s="449">
        <f>D55+E55</f>
        <v>0</v>
      </c>
      <c r="D55" s="449">
        <f>E55+F55</f>
        <v>0</v>
      </c>
      <c r="E55" s="449">
        <f>'[4]1 полуг'!E50</f>
        <v>0</v>
      </c>
      <c r="F55" s="449">
        <f>'[4]1 полуг'!F50</f>
        <v>0</v>
      </c>
      <c r="G55" s="447">
        <f>'[4]1 полуг'!G50</f>
        <v>0</v>
      </c>
      <c r="H55" s="447">
        <f>'[4]1 полуг'!H50</f>
        <v>0</v>
      </c>
      <c r="I55" s="447">
        <f>'[4]1 полуг'!H50</f>
        <v>0</v>
      </c>
      <c r="J55" s="447">
        <f>'[4]1 полуг'!J50</f>
        <v>0</v>
      </c>
      <c r="K55" s="447">
        <f>'[4]1 полуг'!K50</f>
        <v>0</v>
      </c>
      <c r="L55" s="447">
        <f>'[4]1 полуг'!L50</f>
        <v>0</v>
      </c>
      <c r="M55" s="447"/>
      <c r="N55" s="447">
        <f>'[4]1 полуг'!N50</f>
        <v>0</v>
      </c>
      <c r="O55" s="450">
        <f t="shared" si="5"/>
        <v>0</v>
      </c>
      <c r="P55" s="449">
        <f>'[4]1 полуг'!P50</f>
        <v>0</v>
      </c>
      <c r="Q55" s="447"/>
      <c r="R55" s="447">
        <f>'[4]1 полуг'!R50</f>
        <v>0</v>
      </c>
      <c r="S55" s="447">
        <f>'[4]1 полуг'!S50</f>
        <v>0</v>
      </c>
      <c r="T55" s="450">
        <f t="shared" si="12"/>
        <v>0</v>
      </c>
      <c r="V55" s="364"/>
      <c r="W55" s="318"/>
      <c r="X55" s="318"/>
    </row>
    <row r="56" spans="1:24" ht="15" hidden="1" customHeight="1">
      <c r="A56" s="308" t="s">
        <v>737</v>
      </c>
      <c r="B56" s="309">
        <v>226</v>
      </c>
      <c r="C56" s="447">
        <f t="shared" si="11"/>
        <v>0</v>
      </c>
      <c r="D56" s="447">
        <f t="shared" si="11"/>
        <v>0</v>
      </c>
      <c r="E56" s="447">
        <f>'[4]1 полуг'!E62</f>
        <v>0</v>
      </c>
      <c r="F56" s="447">
        <f>'[4]1 полуг'!F62</f>
        <v>0</v>
      </c>
      <c r="G56" s="447">
        <f>'[4]1 полуг'!G62</f>
        <v>0</v>
      </c>
      <c r="H56" s="447">
        <f>'[4]1 полуг'!H62</f>
        <v>0</v>
      </c>
      <c r="I56" s="447">
        <f>'[4]1 полуг'!H62</f>
        <v>0</v>
      </c>
      <c r="J56" s="447">
        <f>'[4]1 полуг'!J62</f>
        <v>0</v>
      </c>
      <c r="K56" s="447">
        <f>'[4]1 полуг'!K62</f>
        <v>0</v>
      </c>
      <c r="L56" s="447">
        <f>'[4]1 полуг'!L62</f>
        <v>0</v>
      </c>
      <c r="M56" s="447"/>
      <c r="N56" s="447">
        <f>'[4]1 полуг'!N62</f>
        <v>0</v>
      </c>
      <c r="O56" s="450">
        <f t="shared" si="5"/>
        <v>0</v>
      </c>
      <c r="P56" s="449">
        <f>'[4]1 полуг'!P62</f>
        <v>0</v>
      </c>
      <c r="Q56" s="447"/>
      <c r="R56" s="447">
        <f>'[4]1 полуг'!R62</f>
        <v>0</v>
      </c>
      <c r="S56" s="447">
        <f>'[4]1 полуг'!S62</f>
        <v>0</v>
      </c>
      <c r="T56" s="450">
        <f t="shared" si="12"/>
        <v>0</v>
      </c>
      <c r="V56" s="364"/>
      <c r="W56" s="318"/>
      <c r="X56" s="318"/>
    </row>
    <row r="57" spans="1:24" ht="15" customHeight="1">
      <c r="A57" s="308" t="s">
        <v>926</v>
      </c>
      <c r="B57" s="309">
        <v>227</v>
      </c>
      <c r="C57" s="449">
        <v>5.3687199999999997</v>
      </c>
      <c r="D57" s="449">
        <v>5.3687199999999997</v>
      </c>
      <c r="E57" s="447">
        <f>'[4]3кв'!E52+'[4]1 полуг'!E53</f>
        <v>0</v>
      </c>
      <c r="F57" s="447">
        <f>'[4]3кв'!F52+'[4]1 полуг'!F53</f>
        <v>0</v>
      </c>
      <c r="G57" s="447">
        <v>2.7510500000000002</v>
      </c>
      <c r="H57" s="447">
        <f>'[4]3кв'!I52+'[4]1 полуг'!H53</f>
        <v>0</v>
      </c>
      <c r="I57" s="447">
        <f>'[4]3кв'!I52+'[4]1 полуг'!H53</f>
        <v>0</v>
      </c>
      <c r="J57" s="447">
        <f>'[4]3кв'!L52+'[4]1 полуг'!J53</f>
        <v>0</v>
      </c>
      <c r="K57" s="447"/>
      <c r="L57" s="447">
        <v>4.1593499999999999</v>
      </c>
      <c r="M57" s="447"/>
      <c r="N57" s="447">
        <f>'[4]3кв'!P52+'[4]1 полуг'!N53</f>
        <v>0</v>
      </c>
      <c r="O57" s="450">
        <f t="shared" si="5"/>
        <v>4.1593499999999999</v>
      </c>
      <c r="P57" s="449">
        <f>'[4]3кв'!R52+'[4]1 полуг'!P53</f>
        <v>0</v>
      </c>
      <c r="Q57" s="447"/>
      <c r="R57" s="447">
        <f>'[4]3кв'!S52+'[4]1 полуг'!R53</f>
        <v>0</v>
      </c>
      <c r="S57" s="447">
        <f>'[4]3кв'!T52+'[4]1 полуг'!S53</f>
        <v>0</v>
      </c>
      <c r="T57" s="450">
        <f t="shared" si="12"/>
        <v>12.279119999999999</v>
      </c>
      <c r="V57" s="364"/>
      <c r="W57" s="318"/>
      <c r="X57" s="318"/>
    </row>
    <row r="58" spans="1:24" ht="15" customHeight="1">
      <c r="A58" s="308" t="s">
        <v>123</v>
      </c>
      <c r="B58" s="309">
        <v>226</v>
      </c>
      <c r="C58" s="449">
        <v>89.376000000000005</v>
      </c>
      <c r="D58" s="449">
        <v>89.376000000000005</v>
      </c>
      <c r="E58" s="447">
        <f>'[4]3кв'!E54+'[4]1 полуг'!E54</f>
        <v>0</v>
      </c>
      <c r="F58" s="447">
        <f>'[4]3кв'!F54+'[4]1 полуг'!F54</f>
        <v>0</v>
      </c>
      <c r="G58" s="447">
        <v>242.10599999999999</v>
      </c>
      <c r="H58" s="447">
        <v>0</v>
      </c>
      <c r="I58" s="447">
        <f>'[4]3кв'!I54+'[4]1 полуг'!H54</f>
        <v>0</v>
      </c>
      <c r="J58" s="447">
        <v>25.23</v>
      </c>
      <c r="K58" s="447">
        <f>'[4]3кв'!M54+'[4]1 полуг'!K54</f>
        <v>0</v>
      </c>
      <c r="L58" s="447">
        <v>25.3</v>
      </c>
      <c r="M58" s="447"/>
      <c r="N58" s="447"/>
      <c r="O58" s="450">
        <f t="shared" si="5"/>
        <v>25.3</v>
      </c>
      <c r="P58" s="449">
        <f>'[4]3кв'!R54+'[4]1 полуг'!P54</f>
        <v>0</v>
      </c>
      <c r="Q58" s="447"/>
      <c r="R58" s="447">
        <f>'[4]1 полуг'!Q54</f>
        <v>0</v>
      </c>
      <c r="S58" s="447">
        <v>15.48</v>
      </c>
      <c r="T58" s="450">
        <f t="shared" si="12"/>
        <v>397.49200000000002</v>
      </c>
      <c r="V58" s="364"/>
      <c r="W58" s="318"/>
      <c r="X58" s="318"/>
    </row>
    <row r="59" spans="1:24" ht="15" customHeight="1">
      <c r="A59" s="308" t="s">
        <v>282</v>
      </c>
      <c r="B59" s="445">
        <v>226</v>
      </c>
      <c r="C59" s="449">
        <v>13.272</v>
      </c>
      <c r="D59" s="449">
        <v>13.272</v>
      </c>
      <c r="E59" s="447">
        <f>'[4]1 полуг'!E55</f>
        <v>0</v>
      </c>
      <c r="F59" s="447">
        <f>'[4]1 полуг'!F55</f>
        <v>0</v>
      </c>
      <c r="G59" s="447">
        <f>'[4]1 полуг'!G55</f>
        <v>0</v>
      </c>
      <c r="H59" s="447">
        <f>'[4]1 полуг'!H55</f>
        <v>0</v>
      </c>
      <c r="I59" s="447">
        <f>'[4]1 полуг'!H55</f>
        <v>0</v>
      </c>
      <c r="J59" s="447"/>
      <c r="K59" s="447">
        <f>'[4]1 полуг'!K55</f>
        <v>0</v>
      </c>
      <c r="L59" s="447">
        <f>'[4]1 полуг'!L55</f>
        <v>0</v>
      </c>
      <c r="M59" s="447"/>
      <c r="N59" s="447">
        <f>'[4]1 полуг'!N55</f>
        <v>0</v>
      </c>
      <c r="O59" s="450">
        <f t="shared" si="5"/>
        <v>0</v>
      </c>
      <c r="P59" s="449"/>
      <c r="Q59" s="447"/>
      <c r="R59" s="447">
        <f>'[4]1 полуг'!R55</f>
        <v>0</v>
      </c>
      <c r="S59" s="447">
        <f>'[4]1 полуг'!S55</f>
        <v>0</v>
      </c>
      <c r="T59" s="450">
        <f t="shared" si="12"/>
        <v>13.272</v>
      </c>
      <c r="V59" s="364"/>
      <c r="W59" s="318"/>
      <c r="X59" s="318"/>
    </row>
    <row r="60" spans="1:24" ht="15" hidden="1" customHeight="1">
      <c r="A60" s="308" t="s">
        <v>396</v>
      </c>
      <c r="B60" s="445">
        <v>226</v>
      </c>
      <c r="C60" s="449">
        <f>D60+E60</f>
        <v>0</v>
      </c>
      <c r="D60" s="449">
        <f>E60+F60</f>
        <v>0</v>
      </c>
      <c r="E60" s="447">
        <f>'[4]1 полуг'!E56+'[4]3кв'!E57</f>
        <v>0</v>
      </c>
      <c r="F60" s="447">
        <f>'[4]1 полуг'!F56+'[4]3кв'!F57</f>
        <v>0</v>
      </c>
      <c r="G60" s="447">
        <f>'[4]1 полуг'!G56+'[4]3кв'!H57</f>
        <v>0</v>
      </c>
      <c r="H60" s="447">
        <f>'[4]1 полуг'!H56+'[4]3кв'!I57</f>
        <v>0</v>
      </c>
      <c r="I60" s="447">
        <f>'[4]1 полуг'!H56+'[4]3кв'!I57</f>
        <v>0</v>
      </c>
      <c r="J60" s="447">
        <f>'[4]1 полуг'!J56+'[4]3кв'!L57</f>
        <v>0</v>
      </c>
      <c r="K60" s="447">
        <f>'[4]1 полуг'!K56+'[4]3кв'!M57</f>
        <v>0</v>
      </c>
      <c r="L60" s="447">
        <f>'[4]1 полуг'!L56+'[4]3кв'!N57</f>
        <v>0</v>
      </c>
      <c r="M60" s="447"/>
      <c r="N60" s="447">
        <f>'[4]1 полуг'!N56+'[4]3кв'!P57</f>
        <v>0</v>
      </c>
      <c r="O60" s="450">
        <f t="shared" si="5"/>
        <v>0</v>
      </c>
      <c r="P60" s="449">
        <f>'[4]1 полуг'!P56+'[4]3кв'!R57</f>
        <v>0</v>
      </c>
      <c r="Q60" s="447"/>
      <c r="R60" s="447">
        <f>'[4]1 полуг'!R56+'[4]3кв'!S57</f>
        <v>0</v>
      </c>
      <c r="S60" s="447">
        <f>'[4]1 полуг'!S56+'[4]3кв'!T57</f>
        <v>0</v>
      </c>
      <c r="T60" s="450">
        <f t="shared" si="12"/>
        <v>0</v>
      </c>
      <c r="V60" s="364"/>
      <c r="W60" s="318"/>
      <c r="X60" s="318"/>
    </row>
    <row r="61" spans="1:24" ht="15" hidden="1" customHeight="1">
      <c r="A61" s="308" t="s">
        <v>124</v>
      </c>
      <c r="B61" s="445">
        <v>226</v>
      </c>
      <c r="C61" s="449"/>
      <c r="D61" s="449"/>
      <c r="E61" s="447">
        <f>'[4]3кв'!E59+'[4]1 полуг'!E57</f>
        <v>0</v>
      </c>
      <c r="F61" s="447">
        <f>'[4]3кв'!F59+'[4]1 полуг'!F57</f>
        <v>0</v>
      </c>
      <c r="G61" s="447">
        <f>'[4]3кв'!H59+'[4]1 полуг'!G57</f>
        <v>0</v>
      </c>
      <c r="H61" s="447">
        <f>'[4]3кв'!I59+'[4]1 полуг'!H57</f>
        <v>0</v>
      </c>
      <c r="I61" s="447">
        <f>'[4]3кв'!I59+'[4]1 полуг'!H57</f>
        <v>0</v>
      </c>
      <c r="J61" s="447">
        <f>'[4]3кв'!L59+'[4]1 полуг'!J57</f>
        <v>0</v>
      </c>
      <c r="K61" s="447">
        <f>'[4]3кв'!M59+'[4]1 полуг'!K57</f>
        <v>0</v>
      </c>
      <c r="L61" s="447"/>
      <c r="M61" s="447"/>
      <c r="N61" s="447"/>
      <c r="O61" s="450">
        <f t="shared" si="5"/>
        <v>0</v>
      </c>
      <c r="P61" s="449">
        <f>'[4]3кв'!R59+'[4]1 полуг'!P57</f>
        <v>0</v>
      </c>
      <c r="Q61" s="447"/>
      <c r="R61" s="447">
        <f>'[4]3кв'!S59+'[4]1 полуг'!R57</f>
        <v>0</v>
      </c>
      <c r="S61" s="447">
        <f>'[4]3кв'!T59+'[4]1 полуг'!S57</f>
        <v>0</v>
      </c>
      <c r="T61" s="450">
        <f t="shared" si="12"/>
        <v>0</v>
      </c>
      <c r="V61" s="364"/>
      <c r="W61" s="318"/>
      <c r="X61" s="318"/>
    </row>
    <row r="62" spans="1:24" ht="15" hidden="1" customHeight="1">
      <c r="A62" s="308" t="s">
        <v>738</v>
      </c>
      <c r="B62" s="445">
        <v>226</v>
      </c>
      <c r="C62" s="449">
        <f t="shared" si="11"/>
        <v>0</v>
      </c>
      <c r="D62" s="449">
        <f t="shared" si="11"/>
        <v>0</v>
      </c>
      <c r="E62" s="447">
        <f>'[4]3кв'!E55</f>
        <v>0</v>
      </c>
      <c r="F62" s="447">
        <f>'[4]3кв'!F40</f>
        <v>0</v>
      </c>
      <c r="G62" s="447">
        <f>'[4]3кв'!H55</f>
        <v>0</v>
      </c>
      <c r="H62" s="447">
        <f>'[4]3кв'!I55</f>
        <v>0</v>
      </c>
      <c r="I62" s="447">
        <f>'[4]3кв'!I55</f>
        <v>0</v>
      </c>
      <c r="J62" s="447">
        <f>'[4]3кв'!L55</f>
        <v>0</v>
      </c>
      <c r="K62" s="447">
        <f>'[4]3кв'!M55</f>
        <v>0</v>
      </c>
      <c r="L62" s="447">
        <f>'[4]3кв'!N55</f>
        <v>0</v>
      </c>
      <c r="M62" s="447"/>
      <c r="N62" s="447">
        <f>'[4]3кв'!P55</f>
        <v>0</v>
      </c>
      <c r="O62" s="450">
        <f t="shared" si="5"/>
        <v>0</v>
      </c>
      <c r="P62" s="449">
        <f>'[4]3кв'!R55</f>
        <v>0</v>
      </c>
      <c r="Q62" s="447"/>
      <c r="R62" s="447">
        <f>'[4]3кв'!S55</f>
        <v>0</v>
      </c>
      <c r="S62" s="447">
        <f>'[4]3кв'!T55</f>
        <v>0</v>
      </c>
      <c r="T62" s="450">
        <f t="shared" si="12"/>
        <v>0</v>
      </c>
      <c r="V62" s="364"/>
      <c r="W62" s="318"/>
      <c r="X62" s="318"/>
    </row>
    <row r="63" spans="1:24" ht="15" hidden="1" customHeight="1">
      <c r="A63" s="308" t="s">
        <v>739</v>
      </c>
      <c r="B63" s="445">
        <v>226</v>
      </c>
      <c r="C63" s="447">
        <f t="shared" si="11"/>
        <v>0</v>
      </c>
      <c r="D63" s="447">
        <f t="shared" si="11"/>
        <v>0</v>
      </c>
      <c r="E63" s="447">
        <f>'[4]1 полуг'!E59</f>
        <v>0</v>
      </c>
      <c r="F63" s="447">
        <f>'[4]1 полуг'!F59</f>
        <v>0</v>
      </c>
      <c r="G63" s="447">
        <f>'[4]1 полуг'!G59</f>
        <v>0</v>
      </c>
      <c r="H63" s="447">
        <f>'[4]1 полуг'!H59</f>
        <v>0</v>
      </c>
      <c r="I63" s="447">
        <f>'[4]1 полуг'!H59</f>
        <v>0</v>
      </c>
      <c r="J63" s="447">
        <f>'[4]1 полуг'!J59</f>
        <v>0</v>
      </c>
      <c r="K63" s="447">
        <f>'[4]1 полуг'!K59</f>
        <v>0</v>
      </c>
      <c r="L63" s="447">
        <f>'[4]1 полуг'!L59</f>
        <v>0</v>
      </c>
      <c r="M63" s="447"/>
      <c r="N63" s="447">
        <f>'[4]1 полуг'!N59</f>
        <v>0</v>
      </c>
      <c r="O63" s="450">
        <f t="shared" si="5"/>
        <v>0</v>
      </c>
      <c r="P63" s="449">
        <f>'[4]1 полуг'!P59</f>
        <v>0</v>
      </c>
      <c r="Q63" s="447"/>
      <c r="R63" s="447">
        <f>'[4]1 полуг'!R59</f>
        <v>0</v>
      </c>
      <c r="S63" s="447">
        <f>'[4]1 полуг'!S59</f>
        <v>0</v>
      </c>
      <c r="T63" s="450">
        <f t="shared" si="12"/>
        <v>0</v>
      </c>
      <c r="V63" s="364"/>
      <c r="W63" s="318"/>
      <c r="X63" s="318"/>
    </row>
    <row r="64" spans="1:24" ht="15" hidden="1" customHeight="1">
      <c r="A64" s="308" t="s">
        <v>884</v>
      </c>
      <c r="B64" s="445">
        <v>226</v>
      </c>
      <c r="C64" s="447">
        <f t="shared" si="11"/>
        <v>0</v>
      </c>
      <c r="D64" s="447">
        <f t="shared" si="11"/>
        <v>0</v>
      </c>
      <c r="E64" s="447">
        <f>'[4]3кв'!E58+'[4]1 полуг'!E60</f>
        <v>0</v>
      </c>
      <c r="F64" s="447">
        <f>'[4]3кв'!F58+'[4]1 полуг'!F60</f>
        <v>0</v>
      </c>
      <c r="G64" s="447">
        <f>'[4]3кв'!H58+'[4]1 полуг'!G60</f>
        <v>0</v>
      </c>
      <c r="H64" s="447">
        <f>'[4]3кв'!I58+'[4]1 полуг'!H60</f>
        <v>0</v>
      </c>
      <c r="I64" s="447">
        <f>'[4]3кв'!I58+'[4]1 полуг'!H60</f>
        <v>0</v>
      </c>
      <c r="J64" s="447">
        <f>'[4]3кв'!L58+'[4]1 полуг'!J60</f>
        <v>0</v>
      </c>
      <c r="K64" s="447">
        <f>'[4]3кв'!M58+'[4]1 полуг'!K60</f>
        <v>0</v>
      </c>
      <c r="L64" s="447">
        <f>'[4]3кв'!N58+'[4]1 полуг'!L60</f>
        <v>0</v>
      </c>
      <c r="M64" s="447"/>
      <c r="N64" s="447">
        <f>'[4]3кв'!P58+'[4]1 полуг'!N60</f>
        <v>0</v>
      </c>
      <c r="O64" s="450">
        <f t="shared" si="5"/>
        <v>0</v>
      </c>
      <c r="P64" s="449">
        <f>'[4]3кв'!R58+'[4]1 полуг'!P60</f>
        <v>0</v>
      </c>
      <c r="Q64" s="447"/>
      <c r="R64" s="447">
        <f>'[4]3кв'!S58+'[4]1 полуг'!R60</f>
        <v>0</v>
      </c>
      <c r="S64" s="447">
        <f>'[4]3кв'!T58+'[4]1 полуг'!S60</f>
        <v>0</v>
      </c>
      <c r="T64" s="450">
        <f t="shared" si="12"/>
        <v>0</v>
      </c>
      <c r="V64" s="364"/>
      <c r="W64" s="318"/>
      <c r="X64" s="318"/>
    </row>
    <row r="65" spans="1:24" ht="12.75" customHeight="1">
      <c r="A65" s="308" t="s">
        <v>929</v>
      </c>
      <c r="B65" s="445">
        <v>226</v>
      </c>
      <c r="C65" s="447">
        <v>29</v>
      </c>
      <c r="D65" s="447">
        <v>29</v>
      </c>
      <c r="E65" s="447">
        <f>'[4]3кв'!E43+'[4]1 полуг'!E46</f>
        <v>0</v>
      </c>
      <c r="F65" s="447">
        <f>'[4]3кв'!F43+'[4]1 полуг'!F46</f>
        <v>0</v>
      </c>
      <c r="G65" s="447">
        <f>'[4]3кв'!H43+'[4]1 полуг'!G46</f>
        <v>0</v>
      </c>
      <c r="H65" s="447">
        <f>'[4]3кв'!I43+'[4]1 полуг'!H46</f>
        <v>0</v>
      </c>
      <c r="I65" s="447">
        <f>'[4]3кв'!I43+'[4]1 полуг'!H46</f>
        <v>0</v>
      </c>
      <c r="J65" s="447">
        <f>'[4]3кв'!L43+'[4]1 полуг'!J46</f>
        <v>0</v>
      </c>
      <c r="K65" s="447">
        <f>'[4]3кв'!M43+'[4]1 полуг'!K46</f>
        <v>0</v>
      </c>
      <c r="L65" s="447">
        <f>'[4]3кв'!N43+'[4]1 полуг'!L46</f>
        <v>0</v>
      </c>
      <c r="M65" s="447"/>
      <c r="N65" s="447">
        <f>'[4]3кв'!P43+'[4]1 полуг'!N46</f>
        <v>0</v>
      </c>
      <c r="O65" s="450">
        <f t="shared" si="5"/>
        <v>0</v>
      </c>
      <c r="P65" s="449">
        <v>0</v>
      </c>
      <c r="Q65" s="447"/>
      <c r="R65" s="447">
        <f>'[4]3кв'!S43+'[4]1 полуг'!R46</f>
        <v>0</v>
      </c>
      <c r="S65" s="447">
        <f>'[4]3кв'!T43+'[4]1 полуг'!S46</f>
        <v>0</v>
      </c>
      <c r="T65" s="450">
        <f t="shared" si="12"/>
        <v>29</v>
      </c>
      <c r="V65" s="364"/>
      <c r="W65" s="318"/>
      <c r="X65" s="318"/>
    </row>
    <row r="66" spans="1:24" ht="17.25" hidden="1" customHeight="1">
      <c r="A66" s="308" t="s">
        <v>678</v>
      </c>
      <c r="B66" s="445">
        <v>226</v>
      </c>
      <c r="C66" s="447">
        <f t="shared" si="11"/>
        <v>0</v>
      </c>
      <c r="D66" s="447">
        <f t="shared" si="11"/>
        <v>0</v>
      </c>
      <c r="E66" s="447">
        <f>'[4]1 полуг'!E63</f>
        <v>0</v>
      </c>
      <c r="F66" s="447">
        <f>'[4]1 полуг'!F63</f>
        <v>0</v>
      </c>
      <c r="G66" s="447"/>
      <c r="H66" s="447"/>
      <c r="I66" s="447">
        <f>'[4]1 полуг'!H63</f>
        <v>0</v>
      </c>
      <c r="J66" s="447"/>
      <c r="K66" s="447"/>
      <c r="L66" s="447">
        <f>'[4]1 полуг'!L63</f>
        <v>0</v>
      </c>
      <c r="M66" s="447"/>
      <c r="N66" s="447"/>
      <c r="O66" s="450">
        <f t="shared" si="5"/>
        <v>0</v>
      </c>
      <c r="P66" s="449"/>
      <c r="Q66" s="447"/>
      <c r="R66" s="447"/>
      <c r="S66" s="447"/>
      <c r="T66" s="450">
        <f t="shared" si="12"/>
        <v>0</v>
      </c>
      <c r="V66" s="364"/>
      <c r="W66" s="318"/>
      <c r="X66" s="318"/>
    </row>
    <row r="67" spans="1:24" ht="17.25" hidden="1" customHeight="1">
      <c r="A67" s="308" t="s">
        <v>234</v>
      </c>
      <c r="B67" s="445">
        <v>226</v>
      </c>
      <c r="C67" s="447">
        <f t="shared" si="11"/>
        <v>0</v>
      </c>
      <c r="D67" s="447">
        <f t="shared" si="11"/>
        <v>0</v>
      </c>
      <c r="E67" s="447">
        <f>'[4]1 полуг'!E63</f>
        <v>0</v>
      </c>
      <c r="F67" s="447">
        <f>'[4]1 полуг'!F63</f>
        <v>0</v>
      </c>
      <c r="G67" s="447"/>
      <c r="H67" s="447"/>
      <c r="I67" s="447">
        <f>'[4]1 полуг'!H63</f>
        <v>0</v>
      </c>
      <c r="J67" s="447"/>
      <c r="K67" s="447">
        <f>'[4]1 полуг'!K63</f>
        <v>0</v>
      </c>
      <c r="L67" s="447"/>
      <c r="M67" s="447"/>
      <c r="N67" s="447">
        <f>'[4]1 полуг'!N63</f>
        <v>0</v>
      </c>
      <c r="O67" s="450">
        <f t="shared" si="5"/>
        <v>0</v>
      </c>
      <c r="P67" s="449">
        <f>'[4]1 полуг'!P63</f>
        <v>0</v>
      </c>
      <c r="Q67" s="447"/>
      <c r="R67" s="447">
        <f>'[4]1 полуг'!R63</f>
        <v>0</v>
      </c>
      <c r="S67" s="447">
        <f>'[4]1 полуг'!S63</f>
        <v>0</v>
      </c>
      <c r="T67" s="450">
        <f t="shared" si="12"/>
        <v>0</v>
      </c>
      <c r="V67" s="364"/>
      <c r="W67" s="318"/>
      <c r="X67" s="318"/>
    </row>
    <row r="68" spans="1:24" ht="15" customHeight="1">
      <c r="A68" s="308" t="s">
        <v>932</v>
      </c>
      <c r="B68" s="445">
        <v>226</v>
      </c>
      <c r="C68" s="447">
        <v>99</v>
      </c>
      <c r="D68" s="447">
        <v>99</v>
      </c>
      <c r="E68" s="447">
        <f>'[4]1 полуг'!E64</f>
        <v>0</v>
      </c>
      <c r="F68" s="447">
        <f>'[4]1 полуг'!F64</f>
        <v>0</v>
      </c>
      <c r="G68" s="447">
        <f>'[4]1 полуг'!G64</f>
        <v>0</v>
      </c>
      <c r="H68" s="447">
        <f>'[4]1 полуг'!H64</f>
        <v>0</v>
      </c>
      <c r="I68" s="447">
        <f>'[4]1 полуг'!H64</f>
        <v>0</v>
      </c>
      <c r="J68" s="447">
        <f>'[4]1 полуг'!J64</f>
        <v>0</v>
      </c>
      <c r="K68" s="447">
        <f>'[4]1 полуг'!K64</f>
        <v>0</v>
      </c>
      <c r="L68" s="447">
        <f>'[4]1 полуг'!L64</f>
        <v>0</v>
      </c>
      <c r="M68" s="447"/>
      <c r="N68" s="447">
        <f>'[4]1 полуг'!N64</f>
        <v>0</v>
      </c>
      <c r="O68" s="450">
        <f t="shared" si="5"/>
        <v>0</v>
      </c>
      <c r="P68" s="449">
        <f>'[4]1 полуг'!P64</f>
        <v>0</v>
      </c>
      <c r="Q68" s="447"/>
      <c r="R68" s="447">
        <f>'[4]1 полуг'!R64</f>
        <v>0</v>
      </c>
      <c r="S68" s="447">
        <f>'[4]1 полуг'!S64</f>
        <v>0</v>
      </c>
      <c r="T68" s="450">
        <f t="shared" si="12"/>
        <v>99</v>
      </c>
      <c r="V68" s="364"/>
      <c r="W68" s="318"/>
      <c r="X68" s="318"/>
    </row>
    <row r="69" spans="1:24" ht="12.75" customHeight="1">
      <c r="A69" s="308" t="s">
        <v>740</v>
      </c>
      <c r="B69" s="445">
        <v>226</v>
      </c>
      <c r="C69" s="447">
        <f t="shared" si="11"/>
        <v>0</v>
      </c>
      <c r="D69" s="447">
        <f t="shared" si="11"/>
        <v>0</v>
      </c>
      <c r="E69" s="447">
        <f>'[4]3кв'!E61</f>
        <v>0</v>
      </c>
      <c r="F69" s="447">
        <f>'[4]3кв'!F61</f>
        <v>0</v>
      </c>
      <c r="G69" s="447">
        <f>'[4]3кв'!H61</f>
        <v>0</v>
      </c>
      <c r="H69" s="447">
        <f>'[4]3кв'!I61</f>
        <v>0</v>
      </c>
      <c r="I69" s="447">
        <f>'[4]3кв'!I61</f>
        <v>0</v>
      </c>
      <c r="J69" s="447">
        <f>'[4]3кв'!L61</f>
        <v>0</v>
      </c>
      <c r="K69" s="447">
        <f>'[4]3кв'!M61</f>
        <v>0</v>
      </c>
      <c r="L69" s="447">
        <f>'[4]3кв'!N61</f>
        <v>0</v>
      </c>
      <c r="M69" s="447"/>
      <c r="N69" s="447">
        <f>'[4]3кв'!P61</f>
        <v>0</v>
      </c>
      <c r="O69" s="450">
        <f t="shared" si="5"/>
        <v>0</v>
      </c>
      <c r="P69" s="449">
        <f>'[4]3кв'!R61</f>
        <v>0</v>
      </c>
      <c r="Q69" s="447"/>
      <c r="R69" s="447">
        <f>'[4]3кв'!S61</f>
        <v>0</v>
      </c>
      <c r="S69" s="447">
        <f>'[4]3кв'!T61</f>
        <v>0</v>
      </c>
      <c r="T69" s="450">
        <f t="shared" si="12"/>
        <v>0</v>
      </c>
      <c r="V69" s="364"/>
      <c r="W69" s="318"/>
      <c r="X69" s="318"/>
    </row>
    <row r="70" spans="1:24" ht="15" customHeight="1">
      <c r="A70" s="308" t="s">
        <v>928</v>
      </c>
      <c r="B70" s="445">
        <v>226</v>
      </c>
      <c r="C70" s="447">
        <v>34.742170000000002</v>
      </c>
      <c r="D70" s="447">
        <v>34.742170000000002</v>
      </c>
      <c r="E70" s="447">
        <f>'[4]1 полуг'!E67</f>
        <v>0</v>
      </c>
      <c r="F70" s="447">
        <f>'[4]1 полуг'!F67</f>
        <v>0</v>
      </c>
      <c r="G70" s="447">
        <f>'[4]1 полуг'!G67</f>
        <v>0</v>
      </c>
      <c r="H70" s="447">
        <f>'[4]1 полуг'!H67</f>
        <v>0</v>
      </c>
      <c r="I70" s="447">
        <f>'[4]1 полуг'!H67</f>
        <v>0</v>
      </c>
      <c r="J70" s="447">
        <f>'[4]1 полуг'!J67</f>
        <v>0</v>
      </c>
      <c r="K70" s="447">
        <f>'[4]1 полуг'!K67</f>
        <v>0</v>
      </c>
      <c r="L70" s="447">
        <f>'[4]1 полуг'!L67</f>
        <v>0</v>
      </c>
      <c r="M70" s="447"/>
      <c r="N70" s="447">
        <f>'[4]1 полуг'!N67</f>
        <v>0</v>
      </c>
      <c r="O70" s="450">
        <f t="shared" ref="O70:O136" si="26">L70+N70+M70</f>
        <v>0</v>
      </c>
      <c r="P70" s="449">
        <f>'[4]1 полуг'!P67</f>
        <v>0</v>
      </c>
      <c r="Q70" s="447"/>
      <c r="R70" s="447">
        <f>'[4]1 полуг'!R67</f>
        <v>0</v>
      </c>
      <c r="S70" s="447">
        <f>'[4]1 полуг'!S67</f>
        <v>0</v>
      </c>
      <c r="T70" s="450">
        <f t="shared" si="12"/>
        <v>34.742170000000002</v>
      </c>
      <c r="V70" s="364"/>
      <c r="W70" s="318"/>
      <c r="X70" s="318"/>
    </row>
    <row r="71" spans="1:24" ht="15" hidden="1" customHeight="1">
      <c r="A71" s="308" t="s">
        <v>172</v>
      </c>
      <c r="B71" s="445">
        <v>226</v>
      </c>
      <c r="C71" s="447">
        <f t="shared" si="11"/>
        <v>0</v>
      </c>
      <c r="D71" s="447">
        <f t="shared" si="11"/>
        <v>0</v>
      </c>
      <c r="E71" s="447">
        <f>'[4]3кв'!E65+'[4]1 полуг'!E47</f>
        <v>0</v>
      </c>
      <c r="F71" s="447">
        <f>'[4]3кв'!F65+'[4]1 полуг'!F47</f>
        <v>0</v>
      </c>
      <c r="G71" s="447">
        <f>'[4]3кв'!H65+'[4]1 полуг'!G47</f>
        <v>0</v>
      </c>
      <c r="H71" s="447">
        <f>'[4]3кв'!I65+'[4]1 полуг'!H47</f>
        <v>0</v>
      </c>
      <c r="I71" s="447">
        <f>'[4]3кв'!I65+'[4]1 полуг'!H47</f>
        <v>0</v>
      </c>
      <c r="J71" s="447">
        <f>'[4]3кв'!L65+'[4]1 полуг'!J47</f>
        <v>0</v>
      </c>
      <c r="K71" s="447">
        <f>'[4]3кв'!M65+'[4]1 полуг'!K47</f>
        <v>0</v>
      </c>
      <c r="L71" s="447">
        <f>'[4]3кв'!N65+'[4]1 полуг'!L47</f>
        <v>0</v>
      </c>
      <c r="M71" s="447"/>
      <c r="N71" s="447">
        <f>'[4]3кв'!P65+'[4]1 полуг'!N47</f>
        <v>0</v>
      </c>
      <c r="O71" s="450">
        <f t="shared" si="26"/>
        <v>0</v>
      </c>
      <c r="P71" s="449">
        <f>'[4]3кв'!R65+'[4]1 полуг'!P47</f>
        <v>0</v>
      </c>
      <c r="Q71" s="447"/>
      <c r="R71" s="447">
        <f>'[4]3кв'!S65+'[4]1 полуг'!R47</f>
        <v>0</v>
      </c>
      <c r="S71" s="447">
        <f>'[4]3кв'!T65+'[4]1 полуг'!S47</f>
        <v>0</v>
      </c>
      <c r="T71" s="450">
        <f t="shared" si="12"/>
        <v>0</v>
      </c>
      <c r="V71" s="364"/>
      <c r="W71" s="318"/>
      <c r="X71" s="318"/>
    </row>
    <row r="72" spans="1:24" ht="18" hidden="1" customHeight="1">
      <c r="A72" s="308" t="s">
        <v>741</v>
      </c>
      <c r="B72" s="445">
        <v>226</v>
      </c>
      <c r="C72" s="447">
        <f t="shared" si="11"/>
        <v>0</v>
      </c>
      <c r="D72" s="447">
        <f t="shared" si="11"/>
        <v>0</v>
      </c>
      <c r="E72" s="447">
        <f>'[4]1 полуг'!E42</f>
        <v>0</v>
      </c>
      <c r="F72" s="447">
        <f>'[4]1 полуг'!F42</f>
        <v>0</v>
      </c>
      <c r="G72" s="447"/>
      <c r="H72" s="447">
        <f>'[4]1 полуг'!H42</f>
        <v>0</v>
      </c>
      <c r="I72" s="447">
        <f>'[4]1 полуг'!H42</f>
        <v>0</v>
      </c>
      <c r="J72" s="447">
        <f>'[4]1 полуг'!J42</f>
        <v>0</v>
      </c>
      <c r="K72" s="447">
        <v>0</v>
      </c>
      <c r="L72" s="447">
        <f>'[4]3кв'!N62</f>
        <v>0</v>
      </c>
      <c r="M72" s="447"/>
      <c r="N72" s="447">
        <f>'[4]1 полуг'!N42</f>
        <v>0</v>
      </c>
      <c r="O72" s="450">
        <f t="shared" si="26"/>
        <v>0</v>
      </c>
      <c r="P72" s="449">
        <f>'[4]1 полуг'!P42</f>
        <v>0</v>
      </c>
      <c r="Q72" s="447"/>
      <c r="R72" s="447">
        <f>'[4]1 полуг'!R42</f>
        <v>0</v>
      </c>
      <c r="S72" s="447">
        <f>'[4]1 полуг'!S42</f>
        <v>0</v>
      </c>
      <c r="T72" s="450">
        <f t="shared" si="12"/>
        <v>0</v>
      </c>
      <c r="V72" s="364"/>
      <c r="W72" s="318"/>
      <c r="X72" s="318"/>
    </row>
    <row r="73" spans="1:24" ht="15.75" customHeight="1">
      <c r="A73" s="308" t="s">
        <v>927</v>
      </c>
      <c r="B73" s="445">
        <v>226</v>
      </c>
      <c r="C73" s="447">
        <v>50</v>
      </c>
      <c r="D73" s="447">
        <v>50</v>
      </c>
      <c r="E73" s="447">
        <f>'[4]1 полуг'!E58</f>
        <v>0</v>
      </c>
      <c r="F73" s="447">
        <f>'[4]1 полуг'!F58</f>
        <v>0</v>
      </c>
      <c r="G73" s="447">
        <f>'[4]1 полуг'!G58</f>
        <v>0</v>
      </c>
      <c r="H73" s="447">
        <f>'[4]1 полуг'!H58</f>
        <v>0</v>
      </c>
      <c r="I73" s="447">
        <f>'[4]1 полуг'!H58</f>
        <v>0</v>
      </c>
      <c r="J73" s="447">
        <f>'[4]1 полуг'!J58</f>
        <v>0</v>
      </c>
      <c r="K73" s="447">
        <v>3.6</v>
      </c>
      <c r="L73" s="447">
        <f>'[4]1 полуг'!L58</f>
        <v>0</v>
      </c>
      <c r="M73" s="447"/>
      <c r="N73" s="447">
        <f>'[4]1 полуг'!N58</f>
        <v>0</v>
      </c>
      <c r="O73" s="450">
        <f t="shared" si="26"/>
        <v>0</v>
      </c>
      <c r="P73" s="449">
        <f>'[4]1 полуг'!P58</f>
        <v>0</v>
      </c>
      <c r="Q73" s="447"/>
      <c r="R73" s="447">
        <f>'[4]1 полуг'!R58</f>
        <v>0</v>
      </c>
      <c r="S73" s="447">
        <f>'[4]1 полуг'!S58</f>
        <v>0</v>
      </c>
      <c r="T73" s="450">
        <f t="shared" si="12"/>
        <v>53.6</v>
      </c>
      <c r="V73" s="364"/>
      <c r="W73" s="318"/>
      <c r="X73" s="318"/>
    </row>
    <row r="74" spans="1:24" ht="16.5" hidden="1" customHeight="1">
      <c r="A74" s="308" t="s">
        <v>742</v>
      </c>
      <c r="B74" s="445">
        <v>226</v>
      </c>
      <c r="C74" s="447">
        <f t="shared" si="11"/>
        <v>0</v>
      </c>
      <c r="D74" s="447">
        <f t="shared" si="11"/>
        <v>0</v>
      </c>
      <c r="E74" s="447">
        <f>'[4]1 полуг'!E45</f>
        <v>0</v>
      </c>
      <c r="F74" s="447">
        <f>'[4]1 полуг'!F45</f>
        <v>0</v>
      </c>
      <c r="G74" s="447">
        <f>'[4]1 полуг'!G45</f>
        <v>0</v>
      </c>
      <c r="H74" s="447">
        <f>'[4]1 полуг'!H45</f>
        <v>0</v>
      </c>
      <c r="I74" s="447">
        <f>'[4]1 полуг'!H45</f>
        <v>0</v>
      </c>
      <c r="J74" s="447">
        <f>'[4]1 полуг'!J45</f>
        <v>0</v>
      </c>
      <c r="K74" s="447"/>
      <c r="L74" s="447">
        <f>'[4]1 полуг'!L45</f>
        <v>0</v>
      </c>
      <c r="M74" s="447"/>
      <c r="N74" s="447">
        <f>'[4]1 полуг'!N45</f>
        <v>0</v>
      </c>
      <c r="O74" s="450">
        <f t="shared" si="26"/>
        <v>0</v>
      </c>
      <c r="P74" s="449">
        <f>'[4]1 полуг'!P45</f>
        <v>0</v>
      </c>
      <c r="Q74" s="447"/>
      <c r="R74" s="447">
        <f>'[4]1 полуг'!R45</f>
        <v>0</v>
      </c>
      <c r="S74" s="447">
        <f>'[4]1 полуг'!S45</f>
        <v>0</v>
      </c>
      <c r="T74" s="450">
        <f t="shared" si="12"/>
        <v>0</v>
      </c>
      <c r="V74" s="364"/>
      <c r="W74" s="318"/>
      <c r="X74" s="318"/>
    </row>
    <row r="75" spans="1:24" ht="15" hidden="1" customHeight="1">
      <c r="A75" s="308" t="s">
        <v>743</v>
      </c>
      <c r="B75" s="445">
        <v>226</v>
      </c>
      <c r="C75" s="447">
        <f t="shared" si="11"/>
        <v>0</v>
      </c>
      <c r="D75" s="447">
        <f t="shared" si="11"/>
        <v>0</v>
      </c>
      <c r="E75" s="447">
        <f>'[4]3кв'!E60+'[4]1 полуг'!E51</f>
        <v>0</v>
      </c>
      <c r="F75" s="447">
        <f>'[4]3кв'!F60+'[4]1 полуг'!F51</f>
        <v>0</v>
      </c>
      <c r="G75" s="447">
        <f>'[4]3кв'!H60+'[4]1 полуг'!G51</f>
        <v>0</v>
      </c>
      <c r="H75" s="447">
        <f>'[4]3кв'!I60+'[4]1 полуг'!H51</f>
        <v>0</v>
      </c>
      <c r="I75" s="447">
        <f>'[4]3кв'!I60+'[4]1 полуг'!H51</f>
        <v>0</v>
      </c>
      <c r="J75" s="447">
        <f>'[4]3кв'!L60+'[4]1 полуг'!J51</f>
        <v>0</v>
      </c>
      <c r="K75" s="447">
        <f>'[4]3кв'!M60+'[4]1 полуг'!K51</f>
        <v>0</v>
      </c>
      <c r="L75" s="447">
        <f>'[4]3кв'!N60+'[4]1 полуг'!L51</f>
        <v>0</v>
      </c>
      <c r="M75" s="447"/>
      <c r="N75" s="447">
        <f>'[4]3кв'!P60+'[4]1 полуг'!N51</f>
        <v>0</v>
      </c>
      <c r="O75" s="450">
        <f t="shared" si="26"/>
        <v>0</v>
      </c>
      <c r="P75" s="449">
        <f>'[4]3кв'!R60+'[4]1 полуг'!P51</f>
        <v>0</v>
      </c>
      <c r="Q75" s="447"/>
      <c r="R75" s="447">
        <f>'[4]3кв'!S60+'[4]1 полуг'!R51</f>
        <v>0</v>
      </c>
      <c r="S75" s="447">
        <f>'[4]3кв'!T60+'[4]1 полуг'!S51</f>
        <v>0</v>
      </c>
      <c r="T75" s="450">
        <f t="shared" si="12"/>
        <v>0</v>
      </c>
      <c r="V75" s="364"/>
      <c r="W75" s="318"/>
      <c r="X75" s="318"/>
    </row>
    <row r="76" spans="1:24" ht="15" customHeight="1">
      <c r="A76" s="308" t="s">
        <v>931</v>
      </c>
      <c r="B76" s="445">
        <v>226</v>
      </c>
      <c r="C76" s="447">
        <v>169</v>
      </c>
      <c r="D76" s="447">
        <v>169</v>
      </c>
      <c r="E76" s="447">
        <f>'[4]1 полуг'!E52</f>
        <v>0</v>
      </c>
      <c r="F76" s="447">
        <f>'[4]1 полуг'!F52</f>
        <v>0</v>
      </c>
      <c r="G76" s="447">
        <f>'[4]1 полуг'!G42</f>
        <v>0</v>
      </c>
      <c r="H76" s="447">
        <f>'[4]1 полуг'!H52</f>
        <v>0</v>
      </c>
      <c r="I76" s="447">
        <f>'[4]1 полуг'!H52</f>
        <v>0</v>
      </c>
      <c r="J76" s="447">
        <f>'[4]1 полуг'!J52</f>
        <v>0</v>
      </c>
      <c r="K76" s="447">
        <f>'[4]1 полуг'!K52</f>
        <v>0</v>
      </c>
      <c r="L76" s="447">
        <f>'[4]1 полуг'!L52</f>
        <v>0</v>
      </c>
      <c r="M76" s="447"/>
      <c r="N76" s="447">
        <f>'[4]1 полуг'!N52</f>
        <v>0</v>
      </c>
      <c r="O76" s="450">
        <f t="shared" si="26"/>
        <v>0</v>
      </c>
      <c r="P76" s="449">
        <f>'[4]1 полуг'!P52</f>
        <v>0</v>
      </c>
      <c r="Q76" s="447"/>
      <c r="R76" s="447">
        <f>'[4]1 полуг'!R52</f>
        <v>0</v>
      </c>
      <c r="S76" s="447">
        <f>'[4]1 полуг'!S52</f>
        <v>0</v>
      </c>
      <c r="T76" s="450">
        <f t="shared" si="12"/>
        <v>169</v>
      </c>
      <c r="V76" s="364"/>
      <c r="W76" s="318"/>
      <c r="X76" s="318"/>
    </row>
    <row r="77" spans="1:24" ht="15" customHeight="1">
      <c r="A77" s="308" t="s">
        <v>744</v>
      </c>
      <c r="B77" s="445">
        <v>226</v>
      </c>
      <c r="C77" s="447">
        <v>2.2000000000000002</v>
      </c>
      <c r="D77" s="447">
        <v>2.2000000000000002</v>
      </c>
      <c r="E77" s="447">
        <f>'[4]1 полуг'!E68</f>
        <v>0</v>
      </c>
      <c r="F77" s="447">
        <f>1056.29814+607.34291</f>
        <v>1663.6410500000002</v>
      </c>
      <c r="G77" s="447">
        <f>'[4]1 полуг'!G68</f>
        <v>0</v>
      </c>
      <c r="H77" s="447">
        <f>'[4]1 полуг'!H68</f>
        <v>0</v>
      </c>
      <c r="I77" s="447">
        <f>'[4]1 полуг'!H68</f>
        <v>0</v>
      </c>
      <c r="J77" s="447">
        <v>54.78</v>
      </c>
      <c r="K77" s="447">
        <v>285.44756999999998</v>
      </c>
      <c r="L77" s="447">
        <v>33.594999999999999</v>
      </c>
      <c r="M77" s="447">
        <v>42.811999999999998</v>
      </c>
      <c r="N77" s="447">
        <v>165</v>
      </c>
      <c r="O77" s="450">
        <f t="shared" si="26"/>
        <v>241.40699999999998</v>
      </c>
      <c r="P77" s="449">
        <v>90.724999999999994</v>
      </c>
      <c r="Q77" s="447">
        <f>'[4]1 полуг'!P68</f>
        <v>0</v>
      </c>
      <c r="R77" s="447"/>
      <c r="S77" s="447">
        <f>'[4]1 полуг'!R68</f>
        <v>0</v>
      </c>
      <c r="T77" s="450">
        <f t="shared" si="12"/>
        <v>2338.2006200000001</v>
      </c>
      <c r="V77" s="364"/>
      <c r="W77" s="318"/>
      <c r="X77" s="318"/>
    </row>
    <row r="78" spans="1:24" ht="15" customHeight="1">
      <c r="A78" s="308" t="s">
        <v>930</v>
      </c>
      <c r="B78" s="445">
        <v>226</v>
      </c>
      <c r="C78" s="447">
        <v>99</v>
      </c>
      <c r="D78" s="447">
        <v>99</v>
      </c>
      <c r="E78" s="447">
        <f>'[4]3кв'!E67+'[4]1 полуг'!E61</f>
        <v>0</v>
      </c>
      <c r="F78" s="447">
        <f>'[4]3кв'!G63+'[4]1 полуг'!F61</f>
        <v>0</v>
      </c>
      <c r="G78" s="447">
        <f>'[4]3кв'!H67+'[4]1 полуг'!G61</f>
        <v>0</v>
      </c>
      <c r="H78" s="447">
        <f>'[4]3кв'!I67+'[4]1 полуг'!H61</f>
        <v>0</v>
      </c>
      <c r="I78" s="447">
        <f>'[4]3кв'!I67+'[4]1 полуг'!H61</f>
        <v>0</v>
      </c>
      <c r="J78" s="447">
        <f>'[4]3кв'!L67+'[4]1 полуг'!J61</f>
        <v>0</v>
      </c>
      <c r="K78" s="447">
        <f>'[4]3кв'!M67+'[4]1 полуг'!K61</f>
        <v>0</v>
      </c>
      <c r="L78" s="447">
        <f>'[4]3кв'!N67+'[4]1 полуг'!L61</f>
        <v>0</v>
      </c>
      <c r="M78" s="447"/>
      <c r="N78" s="447">
        <f>'[4]3кв'!P67+'[4]1 полуг'!N61</f>
        <v>0</v>
      </c>
      <c r="O78" s="450">
        <f t="shared" si="26"/>
        <v>0</v>
      </c>
      <c r="P78" s="449">
        <f>'[4]3кв'!R67+'[4]1 полуг'!P61</f>
        <v>0</v>
      </c>
      <c r="Q78" s="447"/>
      <c r="R78" s="447">
        <f>'[4]3кв'!S67+'[4]1 полуг'!R61</f>
        <v>0</v>
      </c>
      <c r="S78" s="447">
        <f>'[4]3кв'!T67+'[4]1 полуг'!S61</f>
        <v>0</v>
      </c>
      <c r="T78" s="450">
        <f t="shared" ref="T78:T134" si="27">C78+F78+G78+J78+K78+O78+P78+Q78+R78+S78</f>
        <v>99</v>
      </c>
      <c r="V78" s="364"/>
      <c r="W78" s="318"/>
      <c r="X78" s="318"/>
    </row>
    <row r="79" spans="1:24" s="319" customFormat="1" ht="15" hidden="1" customHeight="1">
      <c r="A79" s="572" t="s">
        <v>127</v>
      </c>
      <c r="B79" s="306">
        <v>242</v>
      </c>
      <c r="C79" s="448">
        <f>SUM(C80:C82)</f>
        <v>0</v>
      </c>
      <c r="D79" s="448">
        <f>SUM(D80:D84)</f>
        <v>0</v>
      </c>
      <c r="E79" s="448">
        <f t="shared" ref="E79" si="28">SUM(E81:E84)</f>
        <v>0</v>
      </c>
      <c r="F79" s="448">
        <f>SUM(F80:F82)</f>
        <v>0</v>
      </c>
      <c r="G79" s="448">
        <f>SUM(G80:G84)</f>
        <v>0</v>
      </c>
      <c r="H79" s="448">
        <f t="shared" ref="H79:P79" si="29">SUM(H80:H82)</f>
        <v>0</v>
      </c>
      <c r="I79" s="448">
        <f t="shared" si="29"/>
        <v>0</v>
      </c>
      <c r="J79" s="448">
        <f t="shared" si="29"/>
        <v>0</v>
      </c>
      <c r="K79" s="448">
        <f t="shared" si="29"/>
        <v>0</v>
      </c>
      <c r="L79" s="448">
        <f t="shared" si="29"/>
        <v>0</v>
      </c>
      <c r="M79" s="448">
        <f t="shared" si="29"/>
        <v>0</v>
      </c>
      <c r="N79" s="448">
        <f t="shared" si="29"/>
        <v>0</v>
      </c>
      <c r="O79" s="450">
        <f t="shared" si="26"/>
        <v>0</v>
      </c>
      <c r="P79" s="448">
        <f t="shared" si="29"/>
        <v>0</v>
      </c>
      <c r="Q79" s="448">
        <f t="shared" ref="Q79" si="30">SUM(Q80:Q82)</f>
        <v>0</v>
      </c>
      <c r="R79" s="448">
        <f t="shared" ref="R79" si="31">SUM(R80:R82)</f>
        <v>0</v>
      </c>
      <c r="S79" s="448">
        <f t="shared" ref="S79" si="32">SUM(S80:S82)</f>
        <v>0</v>
      </c>
      <c r="T79" s="450">
        <f t="shared" si="27"/>
        <v>0</v>
      </c>
      <c r="U79" s="573"/>
      <c r="V79" s="573"/>
      <c r="W79" s="574"/>
      <c r="X79" s="574"/>
    </row>
    <row r="80" spans="1:24" ht="15" hidden="1" customHeight="1">
      <c r="A80" s="308" t="s">
        <v>128</v>
      </c>
      <c r="B80" s="309">
        <v>242</v>
      </c>
      <c r="C80" s="447">
        <f t="shared" si="11"/>
        <v>0</v>
      </c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50">
        <f t="shared" si="26"/>
        <v>0</v>
      </c>
      <c r="P80" s="448"/>
      <c r="Q80" s="448"/>
      <c r="R80" s="448"/>
      <c r="S80" s="448"/>
      <c r="T80" s="450">
        <f t="shared" si="27"/>
        <v>0</v>
      </c>
      <c r="V80" s="364"/>
      <c r="W80" s="318"/>
      <c r="X80" s="318"/>
    </row>
    <row r="81" spans="1:24" ht="12" hidden="1" customHeight="1">
      <c r="A81" s="308" t="s">
        <v>117</v>
      </c>
      <c r="B81" s="309">
        <v>242</v>
      </c>
      <c r="C81" s="447">
        <f t="shared" si="11"/>
        <v>0</v>
      </c>
      <c r="D81" s="447"/>
      <c r="E81" s="447"/>
      <c r="F81" s="447"/>
      <c r="G81" s="447"/>
      <c r="H81" s="447"/>
      <c r="I81" s="447"/>
      <c r="J81" s="447"/>
      <c r="K81" s="447">
        <f>'[4]1 полуг'!K74</f>
        <v>0</v>
      </c>
      <c r="L81" s="447"/>
      <c r="M81" s="447"/>
      <c r="N81" s="447"/>
      <c r="O81" s="450">
        <f t="shared" si="26"/>
        <v>0</v>
      </c>
      <c r="P81" s="447"/>
      <c r="Q81" s="447"/>
      <c r="R81" s="447"/>
      <c r="S81" s="447"/>
      <c r="T81" s="450">
        <f t="shared" si="27"/>
        <v>0</v>
      </c>
      <c r="V81" s="364"/>
      <c r="W81" s="318"/>
      <c r="X81" s="318"/>
    </row>
    <row r="82" spans="1:24" ht="15" hidden="1" customHeight="1">
      <c r="A82" s="308" t="s">
        <v>745</v>
      </c>
      <c r="B82" s="309">
        <v>242</v>
      </c>
      <c r="C82" s="447">
        <f t="shared" si="11"/>
        <v>0</v>
      </c>
      <c r="D82" s="447">
        <f>'[4]3кв'!D74+'[4]1 полуг'!D72+'[4]1 полуг'!D73</f>
        <v>0</v>
      </c>
      <c r="E82" s="447">
        <f>'[4]3кв'!E74+'[4]1 полуг'!E72+'[4]1 полуг'!E73</f>
        <v>0</v>
      </c>
      <c r="F82" s="447">
        <f>'[4]3кв'!F74+'[4]1 полуг'!F72+'[4]1 полуг'!F73</f>
        <v>0</v>
      </c>
      <c r="G82" s="447">
        <f>'[4]3кв'!H74+'[4]1 полуг'!G72+'[4]1 полуг'!G73</f>
        <v>0</v>
      </c>
      <c r="H82" s="447">
        <f>'[4]3кв'!I74+'[4]1 полуг'!H72+'[4]1 полуг'!H73</f>
        <v>0</v>
      </c>
      <c r="I82" s="447">
        <f>'[4]3кв'!I74+'[4]1 полуг'!H72+'[4]1 полуг'!H73</f>
        <v>0</v>
      </c>
      <c r="J82" s="447">
        <f>'[4]3кв'!L74+'[4]1 полуг'!J72+'[4]1 полуг'!J73</f>
        <v>0</v>
      </c>
      <c r="K82" s="447"/>
      <c r="L82" s="447">
        <f>'[4]3кв'!N74+'[4]1 полуг'!L72+'[4]1 полуг'!L73</f>
        <v>0</v>
      </c>
      <c r="M82" s="447"/>
      <c r="N82" s="447">
        <f>'[4]3кв'!P74+'[4]1 полуг'!N72+'[4]1 полуг'!N73</f>
        <v>0</v>
      </c>
      <c r="O82" s="450">
        <f t="shared" si="26"/>
        <v>0</v>
      </c>
      <c r="P82" s="447">
        <f>'[4]3кв'!R74+'[4]1 полуг'!P72+'[4]1 полуг'!P73</f>
        <v>0</v>
      </c>
      <c r="Q82" s="447"/>
      <c r="R82" s="447">
        <f>'[4]3кв'!S74+'[4]1 полуг'!R72+'[4]1 полуг'!R73</f>
        <v>0</v>
      </c>
      <c r="S82" s="447">
        <f>'[4]3кв'!T74+'[4]1 полуг'!S72+'[4]1 полуг'!S73</f>
        <v>0</v>
      </c>
      <c r="T82" s="450">
        <f t="shared" si="27"/>
        <v>0</v>
      </c>
      <c r="V82" s="364"/>
      <c r="W82" s="318"/>
      <c r="X82" s="318"/>
    </row>
    <row r="83" spans="1:24" ht="12.75" hidden="1" customHeight="1">
      <c r="A83" s="308" t="s">
        <v>746</v>
      </c>
      <c r="B83" s="309">
        <v>242</v>
      </c>
      <c r="C83" s="447"/>
      <c r="D83" s="447"/>
      <c r="E83" s="447"/>
      <c r="F83" s="447"/>
      <c r="G83" s="447"/>
      <c r="H83" s="447"/>
      <c r="I83" s="447"/>
      <c r="J83" s="447"/>
      <c r="K83" s="447">
        <f>'[4]3кв'!M75</f>
        <v>0</v>
      </c>
      <c r="L83" s="447"/>
      <c r="M83" s="447"/>
      <c r="N83" s="447"/>
      <c r="O83" s="450">
        <f t="shared" si="26"/>
        <v>0</v>
      </c>
      <c r="P83" s="447"/>
      <c r="Q83" s="447"/>
      <c r="R83" s="447"/>
      <c r="S83" s="447"/>
      <c r="T83" s="450">
        <f t="shared" si="27"/>
        <v>0</v>
      </c>
      <c r="V83" s="364"/>
      <c r="W83" s="318"/>
      <c r="X83" s="318"/>
    </row>
    <row r="84" spans="1:24" ht="15" hidden="1" customHeight="1">
      <c r="A84" s="313" t="s">
        <v>747</v>
      </c>
      <c r="B84" s="309">
        <v>242</v>
      </c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50">
        <f t="shared" si="26"/>
        <v>0</v>
      </c>
      <c r="P84" s="447">
        <f>'[4]3кв'!R77</f>
        <v>0</v>
      </c>
      <c r="Q84" s="447"/>
      <c r="R84" s="447"/>
      <c r="S84" s="447"/>
      <c r="T84" s="450">
        <f t="shared" si="27"/>
        <v>0</v>
      </c>
      <c r="V84" s="364"/>
      <c r="W84" s="318"/>
      <c r="X84" s="318"/>
    </row>
    <row r="85" spans="1:24" s="319" customFormat="1" ht="15" hidden="1" customHeight="1">
      <c r="A85" s="313" t="s">
        <v>787</v>
      </c>
      <c r="B85" s="309">
        <v>242</v>
      </c>
      <c r="C85" s="448">
        <f t="shared" si="11"/>
        <v>0</v>
      </c>
      <c r="D85" s="448">
        <f>'[4]3кв'!D76</f>
        <v>0</v>
      </c>
      <c r="E85" s="448">
        <f>'[4]3кв'!E76</f>
        <v>0</v>
      </c>
      <c r="F85" s="448">
        <f>'[4]3кв'!F76</f>
        <v>0</v>
      </c>
      <c r="G85" s="448">
        <f>'[4]3кв'!H76</f>
        <v>0</v>
      </c>
      <c r="H85" s="448">
        <f>'[4]3кв'!I76</f>
        <v>0</v>
      </c>
      <c r="I85" s="448">
        <f>'[4]3кв'!I76</f>
        <v>0</v>
      </c>
      <c r="J85" s="448">
        <f>'[4]3кв'!L76</f>
        <v>0</v>
      </c>
      <c r="K85" s="448"/>
      <c r="L85" s="448">
        <f>'[4]3кв'!N76</f>
        <v>0</v>
      </c>
      <c r="M85" s="448"/>
      <c r="N85" s="448">
        <f>'[4]3кв'!P76</f>
        <v>0</v>
      </c>
      <c r="O85" s="450">
        <f t="shared" si="26"/>
        <v>0</v>
      </c>
      <c r="P85" s="448">
        <f>'[4]3кв'!R76</f>
        <v>0</v>
      </c>
      <c r="Q85" s="448"/>
      <c r="R85" s="448">
        <f>'[4]3кв'!S76</f>
        <v>0</v>
      </c>
      <c r="S85" s="448">
        <f>'[4]3кв'!T76</f>
        <v>0</v>
      </c>
      <c r="T85" s="450">
        <f t="shared" si="27"/>
        <v>0</v>
      </c>
      <c r="V85" s="364"/>
      <c r="W85" s="318"/>
      <c r="X85" s="318"/>
    </row>
    <row r="86" spans="1:24" hidden="1">
      <c r="A86" s="317" t="s">
        <v>788</v>
      </c>
      <c r="B86" s="309">
        <v>242</v>
      </c>
      <c r="C86" s="447">
        <f t="shared" si="11"/>
        <v>0</v>
      </c>
      <c r="D86" s="447">
        <f>'[4]1 полуг'!D74</f>
        <v>0</v>
      </c>
      <c r="E86" s="447">
        <f>'[4]1 полуг'!E74</f>
        <v>0</v>
      </c>
      <c r="F86" s="447">
        <f>'[4]1 полуг'!F74</f>
        <v>0</v>
      </c>
      <c r="G86" s="447">
        <f>'[4]1 полуг'!G74</f>
        <v>0</v>
      </c>
      <c r="H86" s="447">
        <f>'[4]1 полуг'!H74</f>
        <v>0</v>
      </c>
      <c r="I86" s="447">
        <f>'[4]1 полуг'!H74</f>
        <v>0</v>
      </c>
      <c r="J86" s="447">
        <f>'[4]1 полуг'!J74</f>
        <v>0</v>
      </c>
      <c r="K86" s="447"/>
      <c r="L86" s="447">
        <f>'[4]1 полуг'!L74</f>
        <v>0</v>
      </c>
      <c r="M86" s="447"/>
      <c r="N86" s="447">
        <f>'[4]1 полуг'!N74</f>
        <v>0</v>
      </c>
      <c r="O86" s="450">
        <f t="shared" si="26"/>
        <v>0</v>
      </c>
      <c r="P86" s="447">
        <f>'[4]1 полуг'!P74</f>
        <v>0</v>
      </c>
      <c r="Q86" s="447"/>
      <c r="R86" s="447">
        <f>'[4]1 полуг'!R74</f>
        <v>0</v>
      </c>
      <c r="S86" s="447">
        <f>'[4]1 полуг'!S74</f>
        <v>0</v>
      </c>
      <c r="T86" s="450">
        <f t="shared" si="27"/>
        <v>0</v>
      </c>
      <c r="V86" s="364"/>
      <c r="W86" s="318"/>
      <c r="X86" s="318"/>
    </row>
    <row r="87" spans="1:24" ht="15" hidden="1" customHeight="1">
      <c r="A87" s="310" t="s">
        <v>132</v>
      </c>
      <c r="B87" s="309">
        <v>242</v>
      </c>
      <c r="C87" s="448">
        <f t="shared" si="11"/>
        <v>0</v>
      </c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50">
        <f t="shared" si="26"/>
        <v>0</v>
      </c>
      <c r="P87" s="448"/>
      <c r="Q87" s="448"/>
      <c r="R87" s="448"/>
      <c r="S87" s="448"/>
      <c r="T87" s="450">
        <f t="shared" si="27"/>
        <v>0</v>
      </c>
      <c r="V87" s="364"/>
      <c r="W87" s="318"/>
      <c r="X87" s="318"/>
    </row>
    <row r="88" spans="1:24" ht="12.75" customHeight="1">
      <c r="A88" s="575" t="s">
        <v>920</v>
      </c>
      <c r="B88" s="306">
        <v>260</v>
      </c>
      <c r="C88" s="448">
        <f>SUM(C89:C93)</f>
        <v>899.5</v>
      </c>
      <c r="D88" s="448">
        <f>SUM(D89:D93)</f>
        <v>899.5</v>
      </c>
      <c r="E88" s="448">
        <f t="shared" ref="E88" si="33">SUM(E89:E93)</f>
        <v>0</v>
      </c>
      <c r="F88" s="448">
        <f>SUM(F89:F93)</f>
        <v>0</v>
      </c>
      <c r="G88" s="448">
        <f t="shared" ref="G88:P88" si="34">SUM(G89:G93)</f>
        <v>0</v>
      </c>
      <c r="H88" s="448">
        <f t="shared" si="34"/>
        <v>0</v>
      </c>
      <c r="I88" s="448">
        <f t="shared" si="34"/>
        <v>0</v>
      </c>
      <c r="J88" s="448">
        <f t="shared" si="34"/>
        <v>0</v>
      </c>
      <c r="K88" s="448">
        <f t="shared" si="34"/>
        <v>0</v>
      </c>
      <c r="L88" s="448">
        <f t="shared" si="34"/>
        <v>0</v>
      </c>
      <c r="M88" s="448">
        <f t="shared" si="34"/>
        <v>0</v>
      </c>
      <c r="N88" s="448">
        <f t="shared" si="34"/>
        <v>0</v>
      </c>
      <c r="O88" s="450">
        <f t="shared" si="26"/>
        <v>0</v>
      </c>
      <c r="P88" s="448">
        <f t="shared" si="34"/>
        <v>0</v>
      </c>
      <c r="Q88" s="448">
        <f t="shared" ref="Q88" si="35">SUM(Q89:Q93)</f>
        <v>0</v>
      </c>
      <c r="R88" s="448">
        <f t="shared" ref="R88" si="36">SUM(R89:R93)</f>
        <v>0</v>
      </c>
      <c r="S88" s="448">
        <f t="shared" ref="S88" si="37">SUM(S89:S93)</f>
        <v>100</v>
      </c>
      <c r="T88" s="450">
        <f t="shared" si="27"/>
        <v>999.5</v>
      </c>
      <c r="V88" s="364"/>
      <c r="W88" s="318"/>
      <c r="X88" s="318"/>
    </row>
    <row r="89" spans="1:24" ht="15" hidden="1" customHeight="1">
      <c r="A89" s="310" t="s">
        <v>791</v>
      </c>
      <c r="B89" s="309">
        <v>261</v>
      </c>
      <c r="C89" s="450"/>
      <c r="D89" s="450"/>
      <c r="E89" s="449">
        <f>'[4]3кв'!E80</f>
        <v>0</v>
      </c>
      <c r="F89" s="449">
        <f>'[4]3кв'!F80</f>
        <v>0</v>
      </c>
      <c r="G89" s="449">
        <f>'[4]3кв'!H80</f>
        <v>0</v>
      </c>
      <c r="H89" s="449">
        <f>'[4]3кв'!I80</f>
        <v>0</v>
      </c>
      <c r="I89" s="449">
        <f>'[4]3кв'!I80</f>
        <v>0</v>
      </c>
      <c r="J89" s="449">
        <f>'[4]3кв'!L80</f>
        <v>0</v>
      </c>
      <c r="K89" s="449">
        <f>'[4]3кв'!M80</f>
        <v>0</v>
      </c>
      <c r="L89" s="449">
        <f>'[4]3кв'!N80</f>
        <v>0</v>
      </c>
      <c r="M89" s="447"/>
      <c r="N89" s="447">
        <f>'[4]3кв'!P80</f>
        <v>0</v>
      </c>
      <c r="O89" s="450">
        <f t="shared" si="26"/>
        <v>0</v>
      </c>
      <c r="P89" s="447">
        <f>'[4]3кв'!R80</f>
        <v>0</v>
      </c>
      <c r="Q89" s="447"/>
      <c r="R89" s="447">
        <f>'[4]3кв'!S80</f>
        <v>0</v>
      </c>
      <c r="S89" s="447">
        <f>'[4]3кв'!T80</f>
        <v>0</v>
      </c>
      <c r="T89" s="450">
        <f t="shared" si="27"/>
        <v>0</v>
      </c>
      <c r="V89" s="364"/>
      <c r="W89" s="318"/>
      <c r="X89" s="318"/>
    </row>
    <row r="90" spans="1:24" ht="15" customHeight="1">
      <c r="A90" s="311" t="s">
        <v>882</v>
      </c>
      <c r="B90" s="309">
        <v>262</v>
      </c>
      <c r="C90" s="449">
        <v>899.5</v>
      </c>
      <c r="D90" s="449">
        <v>899.5</v>
      </c>
      <c r="E90" s="449">
        <f>'[4]3кв'!E81+'[4]1 полуг'!E80</f>
        <v>0</v>
      </c>
      <c r="F90" s="449">
        <f>'[4]3кв'!F81+'[4]1 полуг'!F80</f>
        <v>0</v>
      </c>
      <c r="G90" s="449">
        <f>'[4]3кв'!H81+'[4]1 полуг'!G80</f>
        <v>0</v>
      </c>
      <c r="H90" s="449">
        <f>'[4]3кв'!I81+'[4]1 полуг'!H80</f>
        <v>0</v>
      </c>
      <c r="I90" s="449">
        <f>'[4]3кв'!I81+'[4]1 полуг'!H80</f>
        <v>0</v>
      </c>
      <c r="J90" s="449">
        <f>'[4]3кв'!L81+'[4]1 полуг'!J80</f>
        <v>0</v>
      </c>
      <c r="K90" s="449">
        <f>'[4]3кв'!M81+'[4]1 полуг'!K80</f>
        <v>0</v>
      </c>
      <c r="L90" s="449">
        <f>'[4]3кв'!N81+'[4]1 полуг'!L80</f>
        <v>0</v>
      </c>
      <c r="M90" s="447"/>
      <c r="N90" s="447">
        <f>'[4]3кв'!P81+'[4]1 полуг'!N80</f>
        <v>0</v>
      </c>
      <c r="O90" s="450">
        <f t="shared" si="26"/>
        <v>0</v>
      </c>
      <c r="P90" s="447"/>
      <c r="Q90" s="447"/>
      <c r="R90" s="447">
        <f>'[4]3кв'!S81+'[4]1 полуг'!R80</f>
        <v>0</v>
      </c>
      <c r="S90" s="447">
        <v>3.5</v>
      </c>
      <c r="T90" s="450">
        <f t="shared" si="27"/>
        <v>903</v>
      </c>
      <c r="U90" s="364"/>
      <c r="V90" s="364"/>
      <c r="W90" s="318"/>
      <c r="X90" s="318"/>
    </row>
    <row r="91" spans="1:24" ht="12.75" customHeight="1">
      <c r="A91" s="311" t="s">
        <v>785</v>
      </c>
      <c r="B91" s="309">
        <v>262</v>
      </c>
      <c r="C91" s="449"/>
      <c r="D91" s="449"/>
      <c r="E91" s="449">
        <f>'[4]1 полуг'!E82</f>
        <v>0</v>
      </c>
      <c r="F91" s="449">
        <f>'[4]1 полуг'!F82</f>
        <v>0</v>
      </c>
      <c r="G91" s="449">
        <f>'[4]1 полуг'!G82</f>
        <v>0</v>
      </c>
      <c r="H91" s="449">
        <f>'[4]1 полуг'!H82</f>
        <v>0</v>
      </c>
      <c r="I91" s="449">
        <f>'[4]1 полуг'!H82</f>
        <v>0</v>
      </c>
      <c r="J91" s="449">
        <f>'[4]1 полуг'!J82</f>
        <v>0</v>
      </c>
      <c r="K91" s="449">
        <f>'[4]1 полуг'!K82</f>
        <v>0</v>
      </c>
      <c r="L91" s="449">
        <f>'[4]3кв'!N82+'[4]1 полуг'!L82</f>
        <v>0</v>
      </c>
      <c r="M91" s="447"/>
      <c r="N91" s="447">
        <f>'[4]1 полуг'!N82</f>
        <v>0</v>
      </c>
      <c r="O91" s="450">
        <f t="shared" si="26"/>
        <v>0</v>
      </c>
      <c r="P91" s="447">
        <f>'[4]1 полуг'!P82</f>
        <v>0</v>
      </c>
      <c r="Q91" s="447"/>
      <c r="R91" s="447">
        <f>'[4]1 полуг'!R82</f>
        <v>0</v>
      </c>
      <c r="S91" s="447"/>
      <c r="T91" s="450">
        <f t="shared" si="27"/>
        <v>0</v>
      </c>
      <c r="U91" s="364"/>
      <c r="V91" s="364"/>
      <c r="W91" s="318"/>
      <c r="X91" s="318"/>
    </row>
    <row r="92" spans="1:24" ht="12.75" customHeight="1">
      <c r="A92" s="311" t="s">
        <v>919</v>
      </c>
      <c r="B92" s="309">
        <v>263</v>
      </c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7"/>
      <c r="N92" s="447"/>
      <c r="O92" s="450"/>
      <c r="P92" s="447"/>
      <c r="Q92" s="447"/>
      <c r="R92" s="447"/>
      <c r="S92" s="447">
        <v>96.5</v>
      </c>
      <c r="T92" s="450">
        <f t="shared" si="27"/>
        <v>96.5</v>
      </c>
      <c r="U92" s="364"/>
      <c r="V92" s="364"/>
      <c r="W92" s="318"/>
      <c r="X92" s="318"/>
    </row>
    <row r="93" spans="1:24" ht="12.75" customHeight="1">
      <c r="A93" s="311" t="s">
        <v>749</v>
      </c>
      <c r="B93" s="309">
        <v>263</v>
      </c>
      <c r="C93" s="449">
        <f t="shared" si="11"/>
        <v>0</v>
      </c>
      <c r="D93" s="449">
        <f>'[4]3кв'!D84+'[4]1 полуг'!D83</f>
        <v>0</v>
      </c>
      <c r="E93" s="449">
        <f>'[4]3кв'!E84+'[4]1 полуг'!E83</f>
        <v>0</v>
      </c>
      <c r="F93" s="449">
        <f>'[4]3кв'!F84+'[4]1 полуг'!F83</f>
        <v>0</v>
      </c>
      <c r="G93" s="449">
        <f>'[4]3кв'!H84+'[4]1 полуг'!G83</f>
        <v>0</v>
      </c>
      <c r="H93" s="449">
        <f>'[4]3кв'!I84+'[4]1 полуг'!H83</f>
        <v>0</v>
      </c>
      <c r="I93" s="449">
        <f>'[4]3кв'!I84+'[4]1 полуг'!H83</f>
        <v>0</v>
      </c>
      <c r="J93" s="449">
        <f>'[4]3кв'!L84+'[4]1 полуг'!J83</f>
        <v>0</v>
      </c>
      <c r="K93" s="449">
        <f>'[4]3кв'!M84+'[4]1 полуг'!K83</f>
        <v>0</v>
      </c>
      <c r="L93" s="449">
        <f>'[4]3кв'!N84+'[4]1 полуг'!L83</f>
        <v>0</v>
      </c>
      <c r="M93" s="447"/>
      <c r="N93" s="447">
        <f>'[4]3кв'!P84+'[4]1 полуг'!N83</f>
        <v>0</v>
      </c>
      <c r="O93" s="450">
        <f t="shared" si="26"/>
        <v>0</v>
      </c>
      <c r="P93" s="447">
        <f>'[4]3кв'!R84+'[4]1 полуг'!P83</f>
        <v>0</v>
      </c>
      <c r="Q93" s="447"/>
      <c r="R93" s="447">
        <f>'[4]3кв'!S84+'[4]1 полуг'!R83</f>
        <v>0</v>
      </c>
      <c r="S93" s="447">
        <f>'[4]3кв'!T84+'[4]1 полуг'!S83</f>
        <v>0</v>
      </c>
      <c r="T93" s="450">
        <f t="shared" si="27"/>
        <v>0</v>
      </c>
      <c r="V93" s="364"/>
      <c r="W93" s="318"/>
      <c r="X93" s="318"/>
    </row>
    <row r="94" spans="1:24" ht="15" customHeight="1">
      <c r="A94" s="572" t="s">
        <v>67</v>
      </c>
      <c r="B94" s="306">
        <v>290</v>
      </c>
      <c r="C94" s="450">
        <f>SUM(C95:C101)</f>
        <v>611.65233000000001</v>
      </c>
      <c r="D94" s="450">
        <f>SUM(D95:D106)</f>
        <v>611.65233000000001</v>
      </c>
      <c r="E94" s="450">
        <f t="shared" ref="E94" si="38">SUM(E95:E106)</f>
        <v>0</v>
      </c>
      <c r="F94" s="450">
        <f>SUM(F95:F101)</f>
        <v>0</v>
      </c>
      <c r="G94" s="450">
        <f>SUM(G95:G106)</f>
        <v>1.2889999999999999</v>
      </c>
      <c r="H94" s="450">
        <f t="shared" ref="H94:P94" si="39">SUM(H95:H101)</f>
        <v>0</v>
      </c>
      <c r="I94" s="450">
        <f t="shared" si="39"/>
        <v>0</v>
      </c>
      <c r="J94" s="450">
        <f t="shared" si="39"/>
        <v>2.2000000000000002</v>
      </c>
      <c r="K94" s="450">
        <f t="shared" si="39"/>
        <v>61.594830000000002</v>
      </c>
      <c r="L94" s="450">
        <f>SUM(L95:L101)</f>
        <v>1383.0600000000002</v>
      </c>
      <c r="M94" s="450">
        <f t="shared" si="39"/>
        <v>0</v>
      </c>
      <c r="N94" s="450">
        <f t="shared" si="39"/>
        <v>0</v>
      </c>
      <c r="O94" s="450">
        <f t="shared" si="26"/>
        <v>1383.0600000000002</v>
      </c>
      <c r="P94" s="450">
        <f t="shared" si="39"/>
        <v>99.436999999999998</v>
      </c>
      <c r="Q94" s="450">
        <f t="shared" ref="Q94" si="40">SUM(Q95:Q101)</f>
        <v>0</v>
      </c>
      <c r="R94" s="450">
        <f t="shared" ref="R94" si="41">SUM(R95:R101)</f>
        <v>99.754000000000005</v>
      </c>
      <c r="S94" s="450">
        <f t="shared" ref="S94" si="42">SUM(S95:S101)</f>
        <v>6.6040000000000001</v>
      </c>
      <c r="T94" s="450">
        <f t="shared" si="27"/>
        <v>2265.5911599999999</v>
      </c>
      <c r="U94" s="364"/>
      <c r="V94" s="364"/>
      <c r="W94" s="318"/>
      <c r="X94" s="318"/>
    </row>
    <row r="95" spans="1:24" ht="12.75" customHeight="1">
      <c r="A95" s="308" t="s">
        <v>136</v>
      </c>
      <c r="B95" s="309">
        <v>291</v>
      </c>
      <c r="C95" s="449">
        <v>586.71100000000001</v>
      </c>
      <c r="D95" s="449">
        <v>586.71100000000001</v>
      </c>
      <c r="E95" s="449">
        <f>'[4]3кв'!E86+'[4]1 полуг'!E85</f>
        <v>0</v>
      </c>
      <c r="F95" s="449">
        <f>'[4]3кв'!F86+'[4]1 полуг'!F85</f>
        <v>0</v>
      </c>
      <c r="G95" s="449">
        <v>1.2889999999999999</v>
      </c>
      <c r="H95" s="449">
        <f>'[4]3кв'!I86+'[4]1 полуг'!H85</f>
        <v>0</v>
      </c>
      <c r="I95" s="449">
        <f>'[4]3кв'!I86+'[4]1 полуг'!H85</f>
        <v>0</v>
      </c>
      <c r="J95" s="449">
        <v>2.2000000000000002</v>
      </c>
      <c r="K95" s="449">
        <f>'[4]3кв'!M86+'[4]1 полуг'!K85</f>
        <v>0</v>
      </c>
      <c r="L95" s="449">
        <f>1334.88+48.18</f>
        <v>1383.0600000000002</v>
      </c>
      <c r="M95" s="447"/>
      <c r="N95" s="447">
        <f>'[4]3кв'!P86+'[4]1 полуг'!N85</f>
        <v>0</v>
      </c>
      <c r="O95" s="450">
        <f t="shared" si="26"/>
        <v>1383.0600000000002</v>
      </c>
      <c r="P95" s="447">
        <v>99.436999999999998</v>
      </c>
      <c r="Q95" s="447"/>
      <c r="R95" s="447">
        <v>99.754000000000005</v>
      </c>
      <c r="S95" s="447">
        <v>6.6040000000000001</v>
      </c>
      <c r="T95" s="450">
        <f t="shared" si="27"/>
        <v>2179.0549999999998</v>
      </c>
      <c r="V95" s="364"/>
      <c r="W95" s="318"/>
      <c r="X95" s="318"/>
    </row>
    <row r="96" spans="1:24" ht="15" customHeight="1">
      <c r="A96" s="308" t="s">
        <v>137</v>
      </c>
      <c r="B96" s="309">
        <v>290</v>
      </c>
      <c r="C96" s="449">
        <f t="shared" ref="C96:D106" si="43">D96+E96</f>
        <v>0</v>
      </c>
      <c r="D96" s="449">
        <f t="shared" si="43"/>
        <v>0</v>
      </c>
      <c r="E96" s="449">
        <f>'[4]3кв'!E87+'[4]1 полуг'!E86</f>
        <v>0</v>
      </c>
      <c r="F96" s="449">
        <f>'[4]3кв'!F87+'[4]1 полуг'!F86</f>
        <v>0</v>
      </c>
      <c r="G96" s="449">
        <f>'[4]3кв'!H87+'[4]1 полуг'!G86</f>
        <v>0</v>
      </c>
      <c r="H96" s="449">
        <f>'[4]3кв'!I87+'[4]1 полуг'!H86</f>
        <v>0</v>
      </c>
      <c r="I96" s="449">
        <f>'[4]3кв'!I87+'[4]1 полуг'!H86</f>
        <v>0</v>
      </c>
      <c r="J96" s="449"/>
      <c r="K96" s="449">
        <f>'[4]3кв'!M87+'[4]1 полуг'!K86</f>
        <v>0</v>
      </c>
      <c r="L96" s="449"/>
      <c r="M96" s="447"/>
      <c r="N96" s="447">
        <f>'[4]3кв'!P87+'[4]1 полуг'!N86</f>
        <v>0</v>
      </c>
      <c r="O96" s="450">
        <f t="shared" si="26"/>
        <v>0</v>
      </c>
      <c r="P96" s="447">
        <f>'[4]3кв'!R87+'[4]1 полуг'!P86</f>
        <v>0</v>
      </c>
      <c r="Q96" s="447"/>
      <c r="R96" s="447">
        <f>'[4]3кв'!S87+'[4]1 полуг'!R86</f>
        <v>0</v>
      </c>
      <c r="S96" s="447">
        <f>'[4]3кв'!T87+'[4]1 полуг'!S86</f>
        <v>0</v>
      </c>
      <c r="T96" s="450">
        <f t="shared" si="27"/>
        <v>0</v>
      </c>
      <c r="V96" s="364"/>
      <c r="W96" s="318"/>
      <c r="X96" s="318"/>
    </row>
    <row r="97" spans="1:24" ht="16.5" customHeight="1">
      <c r="A97" s="308" t="s">
        <v>138</v>
      </c>
      <c r="B97" s="309">
        <v>290</v>
      </c>
      <c r="C97" s="449"/>
      <c r="D97" s="449"/>
      <c r="E97" s="449">
        <f>'[4]3кв'!E91+'[4]1 полуг'!E93</f>
        <v>0</v>
      </c>
      <c r="F97" s="449">
        <f>'[4]3кв'!F91+'[4]1 полуг'!F93</f>
        <v>0</v>
      </c>
      <c r="G97" s="449">
        <f>'[4]3кв'!H91+'[4]1 полуг'!G93</f>
        <v>0</v>
      </c>
      <c r="H97" s="449">
        <f>'[4]3кв'!I91+'[4]1 полуг'!H93</f>
        <v>0</v>
      </c>
      <c r="I97" s="449">
        <f>'[4]3кв'!I91+'[4]1 полуг'!H93</f>
        <v>0</v>
      </c>
      <c r="J97" s="449">
        <f>'[4]3кв'!L91+'[4]1 полуг'!I93</f>
        <v>0</v>
      </c>
      <c r="K97" s="449">
        <v>0</v>
      </c>
      <c r="L97" s="449"/>
      <c r="M97" s="447"/>
      <c r="N97" s="447">
        <f>'[4]1 полуг'!N93+'[4]3кв'!P91</f>
        <v>0</v>
      </c>
      <c r="O97" s="450">
        <f t="shared" si="26"/>
        <v>0</v>
      </c>
      <c r="P97" s="447">
        <f>'[4]3кв'!R91+'[4]1 полуг'!P93</f>
        <v>0</v>
      </c>
      <c r="Q97" s="447"/>
      <c r="R97" s="447">
        <f>'[4]3кв'!S91</f>
        <v>0</v>
      </c>
      <c r="S97" s="447">
        <f>'[4]3кв'!T91+'[4]1 полуг'!S93</f>
        <v>0</v>
      </c>
      <c r="T97" s="450">
        <f t="shared" si="27"/>
        <v>0</v>
      </c>
      <c r="V97" s="364"/>
      <c r="W97" s="318"/>
      <c r="X97" s="318"/>
    </row>
    <row r="98" spans="1:24" ht="12.75" customHeight="1">
      <c r="A98" s="308" t="s">
        <v>237</v>
      </c>
      <c r="B98" s="309">
        <v>291</v>
      </c>
      <c r="C98" s="449"/>
      <c r="D98" s="449"/>
      <c r="E98" s="449">
        <f>'[4]3кв'!E90+'[4]1 полуг'!E89</f>
        <v>0</v>
      </c>
      <c r="F98" s="449">
        <f>'[4]3кв'!F90+'[4]1 полуг'!F89</f>
        <v>0</v>
      </c>
      <c r="G98" s="449"/>
      <c r="H98" s="449">
        <f>'[4]3кв'!I90+'[4]1 полуг'!H89</f>
        <v>0</v>
      </c>
      <c r="I98" s="449">
        <f>'[4]3кв'!I90+'[4]1 полуг'!H89</f>
        <v>0</v>
      </c>
      <c r="J98" s="449">
        <f>'[4]3кв'!L90+'[4]1 полуг'!J89</f>
        <v>0</v>
      </c>
      <c r="K98" s="449">
        <f>'[4]3кв'!M90+'[4]1 полуг'!K89</f>
        <v>0</v>
      </c>
      <c r="L98" s="449"/>
      <c r="M98" s="447"/>
      <c r="N98" s="447">
        <f>'[4]3кв'!P90+'[4]1 полуг'!N89</f>
        <v>0</v>
      </c>
      <c r="O98" s="450">
        <f t="shared" si="26"/>
        <v>0</v>
      </c>
      <c r="P98" s="447">
        <f>'[4]3кв'!R90+'[4]1 полуг'!P89</f>
        <v>0</v>
      </c>
      <c r="Q98" s="447"/>
      <c r="R98" s="447">
        <f>'[4]3кв'!S90+'[4]1 полуг'!R89</f>
        <v>0</v>
      </c>
      <c r="S98" s="447">
        <f>'[4]3кв'!T90+'[4]1 полуг'!S89</f>
        <v>0</v>
      </c>
      <c r="T98" s="450">
        <f t="shared" si="27"/>
        <v>0</v>
      </c>
      <c r="V98" s="364"/>
      <c r="W98" s="318"/>
      <c r="X98" s="318"/>
    </row>
    <row r="99" spans="1:24" ht="17.25" customHeight="1">
      <c r="A99" s="308" t="s">
        <v>750</v>
      </c>
      <c r="B99" s="309">
        <v>290</v>
      </c>
      <c r="C99" s="449"/>
      <c r="D99" s="449">
        <f t="shared" si="43"/>
        <v>0</v>
      </c>
      <c r="E99" s="449">
        <f>'[4]1 полуг'!E92</f>
        <v>0</v>
      </c>
      <c r="F99" s="449">
        <f>'[4]1 полуг'!F92</f>
        <v>0</v>
      </c>
      <c r="G99" s="449"/>
      <c r="H99" s="449">
        <f>'[4]1 полуг'!H92</f>
        <v>0</v>
      </c>
      <c r="I99" s="449">
        <f>'[4]1 полуг'!H92</f>
        <v>0</v>
      </c>
      <c r="J99" s="449">
        <f>'[4]1 полуг'!J92</f>
        <v>0</v>
      </c>
      <c r="K99" s="449">
        <f>'[4]1 полуг'!K92</f>
        <v>0</v>
      </c>
      <c r="L99" s="449">
        <f>'[4]1 полуг'!L92</f>
        <v>0</v>
      </c>
      <c r="M99" s="447"/>
      <c r="N99" s="447">
        <f>'[4]1 полуг'!N92</f>
        <v>0</v>
      </c>
      <c r="O99" s="450">
        <f t="shared" si="26"/>
        <v>0</v>
      </c>
      <c r="P99" s="447"/>
      <c r="Q99" s="447"/>
      <c r="R99" s="447">
        <f>'[4]1 полуг'!R92</f>
        <v>0</v>
      </c>
      <c r="S99" s="447">
        <f>'[4]1 полуг'!S92</f>
        <v>0</v>
      </c>
      <c r="T99" s="450">
        <f t="shared" si="27"/>
        <v>0</v>
      </c>
      <c r="V99" s="364"/>
      <c r="W99" s="318"/>
      <c r="X99" s="318"/>
    </row>
    <row r="100" spans="1:24" ht="15" customHeight="1">
      <c r="A100" s="308" t="s">
        <v>253</v>
      </c>
      <c r="B100" s="309">
        <v>290</v>
      </c>
      <c r="C100" s="449">
        <v>0</v>
      </c>
      <c r="D100" s="449">
        <f t="shared" si="43"/>
        <v>0</v>
      </c>
      <c r="E100" s="449">
        <f>'[4]1 полуг'!E87</f>
        <v>0</v>
      </c>
      <c r="F100" s="449">
        <f>'[4]1 полуг'!F87</f>
        <v>0</v>
      </c>
      <c r="G100" s="449"/>
      <c r="H100" s="449">
        <f>'[4]1 полуг'!H87</f>
        <v>0</v>
      </c>
      <c r="I100" s="449">
        <f>'[4]1 полуг'!H87</f>
        <v>0</v>
      </c>
      <c r="J100" s="449">
        <f>'[4]1 полуг'!J87</f>
        <v>0</v>
      </c>
      <c r="K100" s="449">
        <f>'[4]1 полуг'!K87</f>
        <v>0</v>
      </c>
      <c r="L100" s="449"/>
      <c r="M100" s="447"/>
      <c r="N100" s="447">
        <f>'[4]1 полуг'!N87</f>
        <v>0</v>
      </c>
      <c r="O100" s="450">
        <f t="shared" si="26"/>
        <v>0</v>
      </c>
      <c r="P100" s="447">
        <f>'[4]1 полуг'!P87</f>
        <v>0</v>
      </c>
      <c r="Q100" s="447"/>
      <c r="R100" s="447">
        <f>'[4]1 полуг'!R87</f>
        <v>0</v>
      </c>
      <c r="S100" s="447">
        <f>'[4]1 полуг'!S87</f>
        <v>0</v>
      </c>
      <c r="T100" s="450">
        <f t="shared" si="27"/>
        <v>0</v>
      </c>
      <c r="V100" s="364"/>
      <c r="W100" s="318"/>
      <c r="X100" s="318"/>
    </row>
    <row r="101" spans="1:24" ht="12.75" customHeight="1">
      <c r="A101" s="308" t="s">
        <v>924</v>
      </c>
      <c r="B101" s="309">
        <v>290</v>
      </c>
      <c r="C101" s="449">
        <v>24.941330000000001</v>
      </c>
      <c r="D101" s="449">
        <v>24.941330000000001</v>
      </c>
      <c r="E101" s="449">
        <f>'[4]1 полуг'!E88</f>
        <v>0</v>
      </c>
      <c r="F101" s="449">
        <f>'[4]1 полуг'!F88</f>
        <v>0</v>
      </c>
      <c r="G101" s="449"/>
      <c r="H101" s="449">
        <f>'[4]1 полуг'!H88</f>
        <v>0</v>
      </c>
      <c r="I101" s="449">
        <f>'[4]1 полуг'!H88</f>
        <v>0</v>
      </c>
      <c r="J101" s="449">
        <f>'[4]1 полуг'!J88+'[4]3кв'!L88</f>
        <v>0</v>
      </c>
      <c r="K101" s="449">
        <v>61.594830000000002</v>
      </c>
      <c r="L101" s="449"/>
      <c r="M101" s="447"/>
      <c r="N101" s="447">
        <f>'[4]1 полуг'!N88+'[4]3кв'!P88</f>
        <v>0</v>
      </c>
      <c r="O101" s="450">
        <f t="shared" si="26"/>
        <v>0</v>
      </c>
      <c r="P101" s="447">
        <f>'[4]1 полуг'!P88+'[4]3кв'!R88</f>
        <v>0</v>
      </c>
      <c r="Q101" s="447"/>
      <c r="R101" s="447">
        <f>'[4]1 полуг'!R88</f>
        <v>0</v>
      </c>
      <c r="S101" s="447"/>
      <c r="T101" s="450">
        <f t="shared" si="27"/>
        <v>86.536159999999995</v>
      </c>
      <c r="V101" s="364"/>
      <c r="W101" s="318"/>
      <c r="X101" s="318"/>
    </row>
    <row r="102" spans="1:24">
      <c r="A102" s="308" t="s">
        <v>679</v>
      </c>
      <c r="B102" s="309">
        <v>290</v>
      </c>
      <c r="C102" s="449">
        <f t="shared" si="43"/>
        <v>0</v>
      </c>
      <c r="D102" s="449">
        <f t="shared" si="43"/>
        <v>0</v>
      </c>
      <c r="E102" s="449">
        <f>'[4]1 полуг'!E90</f>
        <v>0</v>
      </c>
      <c r="F102" s="449">
        <f>'[4]1 полуг'!F90</f>
        <v>0</v>
      </c>
      <c r="G102" s="449"/>
      <c r="H102" s="449">
        <f>'[4]1 полуг'!H90</f>
        <v>0</v>
      </c>
      <c r="I102" s="449">
        <f>'[4]1 полуг'!H90</f>
        <v>0</v>
      </c>
      <c r="J102" s="449">
        <f>'[4]1 полуг'!J90</f>
        <v>0</v>
      </c>
      <c r="K102" s="449">
        <f>'[4]1 полуг'!K90</f>
        <v>0</v>
      </c>
      <c r="L102" s="449">
        <f>'[4]1 полуг'!L90</f>
        <v>0</v>
      </c>
      <c r="M102" s="447"/>
      <c r="N102" s="447">
        <f>'[4]1 полуг'!N90</f>
        <v>0</v>
      </c>
      <c r="O102" s="450">
        <f t="shared" si="26"/>
        <v>0</v>
      </c>
      <c r="P102" s="447">
        <f>'[4]1 полуг'!P90</f>
        <v>0</v>
      </c>
      <c r="Q102" s="447"/>
      <c r="R102" s="447">
        <f>'[4]1 полуг'!R90</f>
        <v>0</v>
      </c>
      <c r="S102" s="447">
        <f>'[4]1 полуг'!S90</f>
        <v>0</v>
      </c>
      <c r="T102" s="450">
        <f t="shared" si="27"/>
        <v>0</v>
      </c>
      <c r="V102" s="364"/>
      <c r="W102" s="318"/>
      <c r="X102" s="318"/>
    </row>
    <row r="103" spans="1:24">
      <c r="A103" s="308" t="s">
        <v>751</v>
      </c>
      <c r="B103" s="309">
        <v>290</v>
      </c>
      <c r="C103" s="449">
        <f t="shared" si="43"/>
        <v>0</v>
      </c>
      <c r="D103" s="449">
        <f t="shared" si="43"/>
        <v>0</v>
      </c>
      <c r="E103" s="449">
        <f>'[4]3кв'!E89+'[4]1 полуг'!E91</f>
        <v>0</v>
      </c>
      <c r="F103" s="449">
        <f>'[4]3кв'!F89+'[4]1 полуг'!F91</f>
        <v>0</v>
      </c>
      <c r="G103" s="449"/>
      <c r="H103" s="449">
        <f>'[4]3кв'!I89+'[4]1 полуг'!H91</f>
        <v>0</v>
      </c>
      <c r="I103" s="449">
        <f>'[4]3кв'!I89+'[4]1 полуг'!H91</f>
        <v>0</v>
      </c>
      <c r="J103" s="449">
        <f>'[4]3кв'!L89+'[4]1 полуг'!J91</f>
        <v>0</v>
      </c>
      <c r="K103" s="449">
        <f>'[4]3кв'!M89+'[4]1 полуг'!K91</f>
        <v>0</v>
      </c>
      <c r="L103" s="449">
        <f>'[4]3кв'!N89+'[4]1 полуг'!L91</f>
        <v>0</v>
      </c>
      <c r="M103" s="447"/>
      <c r="N103" s="447">
        <f>'[4]3кв'!P89+'[4]1 полуг'!N91</f>
        <v>0</v>
      </c>
      <c r="O103" s="450">
        <f t="shared" si="26"/>
        <v>0</v>
      </c>
      <c r="P103" s="447">
        <f>'[4]3кв'!R89+'[4]1 полуг'!P91</f>
        <v>0</v>
      </c>
      <c r="Q103" s="447"/>
      <c r="R103" s="447">
        <f>'[4]3кв'!S89+'[4]1 полуг'!R91</f>
        <v>0</v>
      </c>
      <c r="S103" s="447">
        <f>'[4]3кв'!T89+'[4]1 полуг'!S91</f>
        <v>0</v>
      </c>
      <c r="T103" s="450">
        <f t="shared" si="27"/>
        <v>0</v>
      </c>
      <c r="V103" s="364"/>
      <c r="W103" s="318"/>
      <c r="X103" s="318"/>
    </row>
    <row r="104" spans="1:24">
      <c r="A104" s="308" t="s">
        <v>241</v>
      </c>
      <c r="B104" s="309">
        <v>290</v>
      </c>
      <c r="C104" s="449">
        <f t="shared" si="43"/>
        <v>0</v>
      </c>
      <c r="D104" s="449">
        <f t="shared" si="43"/>
        <v>0</v>
      </c>
      <c r="E104" s="449">
        <f>'[4]1 полуг'!E94</f>
        <v>0</v>
      </c>
      <c r="F104" s="449">
        <f>'[4]1 полуг'!F94</f>
        <v>0</v>
      </c>
      <c r="G104" s="449"/>
      <c r="H104" s="449">
        <f>'[4]1 полуг'!H94</f>
        <v>0</v>
      </c>
      <c r="I104" s="449">
        <f>'[4]1 полуг'!H94</f>
        <v>0</v>
      </c>
      <c r="J104" s="449">
        <f>'[4]1 полуг'!J94</f>
        <v>0</v>
      </c>
      <c r="K104" s="449">
        <f>'[4]1 полуг'!K94</f>
        <v>0</v>
      </c>
      <c r="L104" s="449">
        <f>'[4]1 полуг'!L94</f>
        <v>0</v>
      </c>
      <c r="M104" s="447"/>
      <c r="N104" s="447">
        <f>'[4]1 полуг'!N94</f>
        <v>0</v>
      </c>
      <c r="O104" s="450">
        <f t="shared" si="26"/>
        <v>0</v>
      </c>
      <c r="P104" s="447">
        <f>'[4]1 полуг'!P94</f>
        <v>0</v>
      </c>
      <c r="Q104" s="447"/>
      <c r="R104" s="447">
        <f>'[4]1 полуг'!R94</f>
        <v>0</v>
      </c>
      <c r="S104" s="447">
        <f>'[4]1 полуг'!S94</f>
        <v>0</v>
      </c>
      <c r="T104" s="450">
        <f t="shared" si="27"/>
        <v>0</v>
      </c>
      <c r="V104" s="364"/>
      <c r="W104" s="318"/>
      <c r="X104" s="318"/>
    </row>
    <row r="105" spans="1:24" ht="12.75" customHeight="1">
      <c r="A105" s="308" t="s">
        <v>140</v>
      </c>
      <c r="B105" s="309">
        <v>290</v>
      </c>
      <c r="C105" s="449">
        <f t="shared" si="43"/>
        <v>0</v>
      </c>
      <c r="D105" s="449">
        <f t="shared" si="43"/>
        <v>0</v>
      </c>
      <c r="E105" s="449">
        <f>'[4]3кв'!E92+'[4]1 полуг'!E95</f>
        <v>0</v>
      </c>
      <c r="F105" s="449">
        <f>'[4]3кв'!F92+'[4]1 полуг'!F95</f>
        <v>0</v>
      </c>
      <c r="G105" s="449"/>
      <c r="H105" s="449">
        <f>'[4]3кв'!I92+'[4]1 полуг'!H95</f>
        <v>0</v>
      </c>
      <c r="I105" s="449">
        <f>'[4]3кв'!I92+'[4]1 полуг'!H95</f>
        <v>0</v>
      </c>
      <c r="J105" s="449">
        <f>'[4]3кв'!L92+'[4]1 полуг'!J95</f>
        <v>0</v>
      </c>
      <c r="K105" s="449">
        <f>'[4]3кв'!M92+'[4]1 полуг'!K95</f>
        <v>0</v>
      </c>
      <c r="L105" s="449">
        <f>'[4]3кв'!N92+'[4]1 полуг'!L95</f>
        <v>0</v>
      </c>
      <c r="M105" s="447"/>
      <c r="N105" s="447">
        <f>'[4]3кв'!P92+'[4]1 полуг'!N95</f>
        <v>0</v>
      </c>
      <c r="O105" s="450">
        <f t="shared" si="26"/>
        <v>0</v>
      </c>
      <c r="P105" s="447">
        <f>'[4]3кв'!R92+'[4]1 полуг'!P95</f>
        <v>0</v>
      </c>
      <c r="Q105" s="447"/>
      <c r="R105" s="447">
        <f>'[4]3кв'!S92+'[4]1 полуг'!R95</f>
        <v>0</v>
      </c>
      <c r="S105" s="447">
        <f>'[4]3кв'!T92+'[4]1 полуг'!S95</f>
        <v>0</v>
      </c>
      <c r="T105" s="450">
        <f t="shared" si="27"/>
        <v>0</v>
      </c>
      <c r="V105" s="364"/>
      <c r="W105" s="318"/>
      <c r="X105" s="318"/>
    </row>
    <row r="106" spans="1:24" ht="12.75" customHeight="1">
      <c r="A106" s="308" t="s">
        <v>752</v>
      </c>
      <c r="B106" s="309">
        <v>290</v>
      </c>
      <c r="C106" s="449">
        <f t="shared" si="43"/>
        <v>0</v>
      </c>
      <c r="D106" s="449">
        <f t="shared" si="43"/>
        <v>0</v>
      </c>
      <c r="E106" s="449">
        <f>'[4]1 полуг'!E96</f>
        <v>0</v>
      </c>
      <c r="F106" s="449">
        <f>'[4]1 полуг'!F96</f>
        <v>0</v>
      </c>
      <c r="G106" s="449"/>
      <c r="H106" s="449">
        <f>'[4]1 полуг'!H96</f>
        <v>0</v>
      </c>
      <c r="I106" s="449">
        <f>'[4]1 полуг'!H96</f>
        <v>0</v>
      </c>
      <c r="J106" s="449">
        <f>'[4]1 полуг'!J96</f>
        <v>0</v>
      </c>
      <c r="K106" s="449">
        <f>'[4]1 полуг'!K96</f>
        <v>0</v>
      </c>
      <c r="L106" s="449">
        <f>'[4]1 полуг'!L96</f>
        <v>0</v>
      </c>
      <c r="M106" s="447"/>
      <c r="N106" s="447">
        <f>'[4]1 полуг'!N96</f>
        <v>0</v>
      </c>
      <c r="O106" s="450">
        <f t="shared" si="26"/>
        <v>0</v>
      </c>
      <c r="P106" s="447">
        <f>'[4]1 полуг'!P96</f>
        <v>0</v>
      </c>
      <c r="Q106" s="447"/>
      <c r="R106" s="447">
        <f>'[4]1 полуг'!R96</f>
        <v>0</v>
      </c>
      <c r="S106" s="447">
        <f>'[4]1 полуг'!S96</f>
        <v>0</v>
      </c>
      <c r="T106" s="450">
        <f t="shared" si="27"/>
        <v>0</v>
      </c>
      <c r="V106" s="364"/>
      <c r="W106" s="318"/>
      <c r="X106" s="318"/>
    </row>
    <row r="107" spans="1:24" ht="12.75" customHeight="1">
      <c r="A107" s="628" t="s">
        <v>935</v>
      </c>
      <c r="B107" s="306">
        <v>310</v>
      </c>
      <c r="C107" s="450">
        <f t="shared" ref="C107:K107" si="44">SUM(C108:C114)</f>
        <v>21.19</v>
      </c>
      <c r="D107" s="449">
        <f t="shared" si="44"/>
        <v>21.19</v>
      </c>
      <c r="E107" s="449">
        <f t="shared" si="44"/>
        <v>0</v>
      </c>
      <c r="F107" s="449">
        <f t="shared" si="44"/>
        <v>0</v>
      </c>
      <c r="G107" s="449">
        <f t="shared" si="44"/>
        <v>0</v>
      </c>
      <c r="H107" s="449">
        <f t="shared" si="44"/>
        <v>0</v>
      </c>
      <c r="I107" s="449">
        <f t="shared" si="44"/>
        <v>0</v>
      </c>
      <c r="J107" s="449">
        <f t="shared" si="44"/>
        <v>0</v>
      </c>
      <c r="K107" s="449">
        <f t="shared" si="44"/>
        <v>0</v>
      </c>
      <c r="L107" s="450">
        <f>SUM(L108:L114)</f>
        <v>86.754000000000005</v>
      </c>
      <c r="M107" s="449">
        <f t="shared" ref="M107:N107" si="45">SUM(M108:M114)</f>
        <v>0</v>
      </c>
      <c r="N107" s="449">
        <f t="shared" si="45"/>
        <v>0</v>
      </c>
      <c r="O107" s="450">
        <f t="shared" si="26"/>
        <v>86.754000000000005</v>
      </c>
      <c r="P107" s="449">
        <f t="shared" ref="P107:S107" si="46">SUM(P108:P114)</f>
        <v>0</v>
      </c>
      <c r="Q107" s="449">
        <f t="shared" si="46"/>
        <v>0</v>
      </c>
      <c r="R107" s="449">
        <v>0</v>
      </c>
      <c r="S107" s="449">
        <f t="shared" si="46"/>
        <v>0</v>
      </c>
      <c r="T107" s="450">
        <f t="shared" si="27"/>
        <v>107.944</v>
      </c>
      <c r="V107" s="364"/>
      <c r="W107" s="318"/>
      <c r="X107" s="318"/>
    </row>
    <row r="108" spans="1:24" s="319" customFormat="1" ht="12.75" hidden="1" customHeight="1">
      <c r="A108" s="308" t="s">
        <v>753</v>
      </c>
      <c r="B108" s="309">
        <v>310</v>
      </c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48">
        <f>'[4]1 полуг'!M99</f>
        <v>0</v>
      </c>
      <c r="N108" s="448">
        <f>'[4]3кв'!P93+'[4]1 полуг'!N99</f>
        <v>0</v>
      </c>
      <c r="O108" s="450">
        <f t="shared" si="26"/>
        <v>0</v>
      </c>
      <c r="P108" s="449">
        <f t="shared" ref="P108" si="47">SUM(P109:P115)</f>
        <v>0</v>
      </c>
      <c r="Q108" s="448"/>
      <c r="R108" s="449">
        <f t="shared" ref="R108:S108" si="48">SUM(R109:R115)</f>
        <v>15062.34</v>
      </c>
      <c r="S108" s="449">
        <f t="shared" si="48"/>
        <v>0</v>
      </c>
      <c r="T108" s="450">
        <f t="shared" si="27"/>
        <v>15062.34</v>
      </c>
      <c r="U108" s="364"/>
      <c r="V108" s="364"/>
      <c r="W108" s="318"/>
      <c r="X108" s="318"/>
    </row>
    <row r="109" spans="1:24" s="319" customFormat="1" ht="12.75" hidden="1" customHeight="1">
      <c r="A109" s="308" t="s">
        <v>754</v>
      </c>
      <c r="B109" s="309">
        <v>310</v>
      </c>
      <c r="C109" s="450"/>
      <c r="D109" s="450"/>
      <c r="E109" s="450"/>
      <c r="F109" s="450"/>
      <c r="G109" s="450"/>
      <c r="H109" s="450"/>
      <c r="I109" s="450"/>
      <c r="J109" s="450"/>
      <c r="K109" s="450"/>
      <c r="L109" s="450"/>
      <c r="M109" s="448"/>
      <c r="N109" s="448">
        <f>'[4]1 полуг'!N100</f>
        <v>0</v>
      </c>
      <c r="O109" s="450">
        <f t="shared" si="26"/>
        <v>0</v>
      </c>
      <c r="P109" s="449">
        <f t="shared" ref="P109" si="49">SUM(P110:P116)</f>
        <v>0</v>
      </c>
      <c r="Q109" s="448"/>
      <c r="R109" s="449">
        <f t="shared" ref="R109:S109" si="50">SUM(R110:R116)</f>
        <v>7531.1699999999992</v>
      </c>
      <c r="S109" s="449">
        <f t="shared" si="50"/>
        <v>0</v>
      </c>
      <c r="T109" s="450">
        <f t="shared" si="27"/>
        <v>7531.1699999999992</v>
      </c>
      <c r="U109" s="364"/>
      <c r="V109" s="364"/>
      <c r="W109" s="318"/>
      <c r="X109" s="318"/>
    </row>
    <row r="110" spans="1:24" s="319" customFormat="1" ht="12.75" hidden="1" customHeight="1">
      <c r="A110" s="308" t="s">
        <v>175</v>
      </c>
      <c r="B110" s="309">
        <v>310</v>
      </c>
      <c r="C110" s="450"/>
      <c r="D110" s="450"/>
      <c r="E110" s="450"/>
      <c r="F110" s="450"/>
      <c r="G110" s="450"/>
      <c r="H110" s="450"/>
      <c r="I110" s="450"/>
      <c r="J110" s="450"/>
      <c r="K110" s="450"/>
      <c r="L110" s="450"/>
      <c r="M110" s="448">
        <f>'[4]3кв'!N95+'[4]1 полуг'!M101</f>
        <v>0</v>
      </c>
      <c r="N110" s="448">
        <f>'[4]3кв'!P95+'[4]1 полуг'!N101</f>
        <v>0</v>
      </c>
      <c r="O110" s="450">
        <f t="shared" si="26"/>
        <v>0</v>
      </c>
      <c r="P110" s="449">
        <f t="shared" ref="P110" si="51">SUM(P111:P117)</f>
        <v>0</v>
      </c>
      <c r="Q110" s="448">
        <f>'[4]3кв'!S95+'[4]1 полуг'!Q101</f>
        <v>0</v>
      </c>
      <c r="R110" s="449">
        <f t="shared" ref="R110:S110" si="52">SUM(R111:R117)</f>
        <v>3773.2899999999995</v>
      </c>
      <c r="S110" s="449">
        <f t="shared" si="52"/>
        <v>0</v>
      </c>
      <c r="T110" s="450">
        <f t="shared" si="27"/>
        <v>3773.2899999999995</v>
      </c>
      <c r="U110" s="364"/>
      <c r="V110" s="364"/>
      <c r="W110" s="318"/>
      <c r="X110" s="318"/>
    </row>
    <row r="111" spans="1:24" s="319" customFormat="1" ht="12.75" hidden="1" customHeight="1">
      <c r="A111" s="308" t="s">
        <v>398</v>
      </c>
      <c r="B111" s="309">
        <v>310</v>
      </c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>
        <f t="shared" ref="M111:Q111" si="53">+M114</f>
        <v>0</v>
      </c>
      <c r="N111" s="450">
        <f t="shared" si="53"/>
        <v>0</v>
      </c>
      <c r="O111" s="450">
        <f t="shared" si="26"/>
        <v>0</v>
      </c>
      <c r="P111" s="449">
        <f t="shared" ref="P111" si="54">SUM(P112:P118)</f>
        <v>0</v>
      </c>
      <c r="Q111" s="450">
        <f t="shared" si="53"/>
        <v>0</v>
      </c>
      <c r="R111" s="449">
        <f t="shared" ref="R111:S111" si="55">SUM(R112:R118)</f>
        <v>1886.645</v>
      </c>
      <c r="S111" s="449">
        <f t="shared" si="55"/>
        <v>0</v>
      </c>
      <c r="T111" s="450">
        <f t="shared" si="27"/>
        <v>1886.645</v>
      </c>
      <c r="U111" s="364"/>
      <c r="V111" s="364"/>
      <c r="W111" s="318"/>
      <c r="X111" s="318"/>
    </row>
    <row r="112" spans="1:24" s="319" customFormat="1" ht="12.75" hidden="1" customHeight="1">
      <c r="A112" s="627" t="s">
        <v>748</v>
      </c>
      <c r="B112" s="309">
        <v>310</v>
      </c>
      <c r="C112" s="450"/>
      <c r="D112" s="450"/>
      <c r="E112" s="450"/>
      <c r="F112" s="450"/>
      <c r="G112" s="450"/>
      <c r="H112" s="450"/>
      <c r="I112" s="450"/>
      <c r="J112" s="450"/>
      <c r="K112" s="450"/>
      <c r="L112" s="450"/>
      <c r="M112" s="450"/>
      <c r="N112" s="450">
        <f>'[4]1 полуг'!N105</f>
        <v>0</v>
      </c>
      <c r="O112" s="450">
        <f t="shared" si="26"/>
        <v>0</v>
      </c>
      <c r="P112" s="449">
        <f t="shared" ref="P112" si="56">SUM(P113:P119)</f>
        <v>0</v>
      </c>
      <c r="Q112" s="450"/>
      <c r="R112" s="449">
        <f t="shared" ref="R112:S112" si="57">SUM(R113:R119)</f>
        <v>969.3359999999999</v>
      </c>
      <c r="S112" s="449">
        <f t="shared" si="57"/>
        <v>0</v>
      </c>
      <c r="T112" s="450">
        <f t="shared" si="27"/>
        <v>969.3359999999999</v>
      </c>
      <c r="U112" s="364"/>
      <c r="V112" s="364"/>
      <c r="W112" s="318"/>
      <c r="X112" s="318"/>
    </row>
    <row r="113" spans="1:24" s="319" customFormat="1" ht="12.75" hidden="1" customHeight="1">
      <c r="A113" s="627" t="s">
        <v>755</v>
      </c>
      <c r="B113" s="309">
        <v>310</v>
      </c>
      <c r="C113" s="450"/>
      <c r="D113" s="450"/>
      <c r="E113" s="450"/>
      <c r="F113" s="450"/>
      <c r="G113" s="450"/>
      <c r="H113" s="450"/>
      <c r="I113" s="450"/>
      <c r="J113" s="450"/>
      <c r="K113" s="450"/>
      <c r="L113" s="450"/>
      <c r="M113" s="450"/>
      <c r="N113" s="450"/>
      <c r="O113" s="450">
        <f t="shared" si="26"/>
        <v>0</v>
      </c>
      <c r="P113" s="449">
        <f t="shared" ref="P113" si="58">SUM(P114:P120)</f>
        <v>0</v>
      </c>
      <c r="Q113" s="450"/>
      <c r="R113" s="449">
        <f t="shared" ref="R113:S113" si="59">SUM(R114:R120)</f>
        <v>484.66800000000001</v>
      </c>
      <c r="S113" s="449">
        <f t="shared" si="59"/>
        <v>0</v>
      </c>
      <c r="T113" s="450">
        <f t="shared" si="27"/>
        <v>484.66800000000001</v>
      </c>
      <c r="U113" s="364"/>
      <c r="V113" s="364"/>
      <c r="W113" s="318"/>
      <c r="X113" s="318"/>
    </row>
    <row r="114" spans="1:24">
      <c r="A114" s="308" t="s">
        <v>786</v>
      </c>
      <c r="B114" s="309">
        <v>310</v>
      </c>
      <c r="C114" s="449">
        <v>21.19</v>
      </c>
      <c r="D114" s="449">
        <v>21.19</v>
      </c>
      <c r="E114" s="450">
        <f>'[4]3кв'!E96+'[4]1 полуг'!E102</f>
        <v>0</v>
      </c>
      <c r="F114" s="450"/>
      <c r="G114" s="450"/>
      <c r="H114" s="450">
        <f>'[4]3кв'!I96+'[4]1 полуг'!H102</f>
        <v>0</v>
      </c>
      <c r="I114" s="450">
        <f>'[4]3кв'!I96+'[4]1 полуг'!H102</f>
        <v>0</v>
      </c>
      <c r="J114" s="450">
        <f>'[4]3кв'!L96+'[4]1 полуг'!J102</f>
        <v>0</v>
      </c>
      <c r="K114" s="450"/>
      <c r="L114" s="450">
        <v>86.754000000000005</v>
      </c>
      <c r="M114" s="450"/>
      <c r="N114" s="450">
        <f>'[4]3кв'!P96+'[4]1 полуг'!N102</f>
        <v>0</v>
      </c>
      <c r="O114" s="450">
        <f t="shared" si="26"/>
        <v>86.754000000000005</v>
      </c>
      <c r="P114" s="449">
        <f t="shared" ref="P114" si="60">SUM(P115:P121)</f>
        <v>0</v>
      </c>
      <c r="Q114" s="450"/>
      <c r="R114" s="449">
        <f t="shared" ref="R114:S114" si="61">SUM(R115:R121)</f>
        <v>242.334</v>
      </c>
      <c r="S114" s="449">
        <f t="shared" si="61"/>
        <v>0</v>
      </c>
      <c r="T114" s="450">
        <f t="shared" si="27"/>
        <v>350.27800000000002</v>
      </c>
      <c r="U114" s="364"/>
      <c r="V114" s="364"/>
      <c r="W114" s="318"/>
      <c r="X114" s="318"/>
    </row>
    <row r="115" spans="1:24" ht="12.75" customHeight="1">
      <c r="A115" s="307" t="s">
        <v>141</v>
      </c>
      <c r="B115" s="306">
        <v>340</v>
      </c>
      <c r="C115" s="450">
        <f>SUM(C116:C135)</f>
        <v>800.58843999999999</v>
      </c>
      <c r="D115" s="450">
        <f>SUM(D116:D133)</f>
        <v>800.58843999999999</v>
      </c>
      <c r="E115" s="448">
        <f t="shared" ref="E115" si="62">SUM(E116:E133)</f>
        <v>0</v>
      </c>
      <c r="F115" s="450">
        <f>SUM(F116:F133)</f>
        <v>64.638000000000005</v>
      </c>
      <c r="G115" s="450">
        <f>SUM(G116:G135)</f>
        <v>99.350000000000009</v>
      </c>
      <c r="H115" s="450">
        <f t="shared" ref="H115:P115" si="63">SUM(H116:H133)</f>
        <v>0</v>
      </c>
      <c r="I115" s="450">
        <f t="shared" si="63"/>
        <v>0</v>
      </c>
      <c r="J115" s="450">
        <f t="shared" si="63"/>
        <v>46.539000000000001</v>
      </c>
      <c r="K115" s="450">
        <f>SUM(K116:K135)</f>
        <v>660.74900000000002</v>
      </c>
      <c r="L115" s="450">
        <f>SUM(L116:L135)</f>
        <v>999.21469999999999</v>
      </c>
      <c r="M115" s="450">
        <f>SUM(M116:M135)</f>
        <v>66.349999999999994</v>
      </c>
      <c r="N115" s="450">
        <f t="shared" si="63"/>
        <v>0</v>
      </c>
      <c r="O115" s="450">
        <f t="shared" si="26"/>
        <v>1065.5646999999999</v>
      </c>
      <c r="P115" s="450">
        <f t="shared" si="63"/>
        <v>0</v>
      </c>
      <c r="Q115" s="450">
        <f t="shared" ref="Q115" si="64">SUM(Q116:Q133)</f>
        <v>0</v>
      </c>
      <c r="R115" s="450">
        <f>SUM(R116:R135)</f>
        <v>174.89699999999999</v>
      </c>
      <c r="S115" s="450">
        <f t="shared" ref="S115" si="65">SUM(S116:S133)</f>
        <v>0</v>
      </c>
      <c r="T115" s="450">
        <f t="shared" si="27"/>
        <v>2912.3261400000001</v>
      </c>
      <c r="U115" s="364"/>
      <c r="V115" s="364"/>
      <c r="W115" s="318"/>
      <c r="X115" s="318"/>
    </row>
    <row r="116" spans="1:24" ht="12.75" customHeight="1">
      <c r="A116" s="576" t="s">
        <v>142</v>
      </c>
      <c r="B116" s="309">
        <v>340</v>
      </c>
      <c r="C116" s="449">
        <v>40.427999999999997</v>
      </c>
      <c r="D116" s="449">
        <v>40.427999999999997</v>
      </c>
      <c r="E116" s="447">
        <f>'[4]1 полуг'!E107</f>
        <v>0</v>
      </c>
      <c r="F116" s="447">
        <f>'[4]1 полуг'!F107</f>
        <v>0</v>
      </c>
      <c r="G116" s="447"/>
      <c r="H116" s="447">
        <f>'[4]1 полуг'!H107</f>
        <v>0</v>
      </c>
      <c r="I116" s="447">
        <f>'[4]1 полуг'!H107</f>
        <v>0</v>
      </c>
      <c r="J116" s="447">
        <f>'[4]1 полуг'!J107</f>
        <v>0</v>
      </c>
      <c r="K116" s="447">
        <f>'[4]1 полуг'!K107</f>
        <v>0</v>
      </c>
      <c r="L116" s="449">
        <v>49.942500000000003</v>
      </c>
      <c r="M116" s="449"/>
      <c r="N116" s="449">
        <f>'[4]1 полуг'!N107</f>
        <v>0</v>
      </c>
      <c r="O116" s="450">
        <f t="shared" si="26"/>
        <v>49.942500000000003</v>
      </c>
      <c r="P116" s="449">
        <f>'[4]1 полуг'!P107</f>
        <v>0</v>
      </c>
      <c r="Q116" s="449"/>
      <c r="R116" s="449">
        <f>'[4]1 полуг'!R107</f>
        <v>0</v>
      </c>
      <c r="S116" s="449">
        <f>'[4]1 полуг'!S107</f>
        <v>0</v>
      </c>
      <c r="T116" s="450">
        <f t="shared" si="27"/>
        <v>90.370499999999993</v>
      </c>
      <c r="V116" s="364"/>
      <c r="W116" s="318"/>
      <c r="X116" s="318"/>
    </row>
    <row r="117" spans="1:24" ht="14.25" customHeight="1">
      <c r="A117" s="576" t="s">
        <v>143</v>
      </c>
      <c r="B117" s="309">
        <v>340</v>
      </c>
      <c r="C117" s="449">
        <v>150.61274</v>
      </c>
      <c r="D117" s="449">
        <v>150.61274</v>
      </c>
      <c r="E117" s="447">
        <f>'[4]1 полуг'!E108</f>
        <v>0</v>
      </c>
      <c r="F117" s="447">
        <f>'[4]1 полуг'!F108</f>
        <v>0</v>
      </c>
      <c r="G117" s="447"/>
      <c r="H117" s="447">
        <f>'[4]1 полуг'!H108</f>
        <v>0</v>
      </c>
      <c r="I117" s="447">
        <f>'[4]1 полуг'!H108</f>
        <v>0</v>
      </c>
      <c r="J117" s="447">
        <f>'[4]1 полуг'!J108</f>
        <v>0</v>
      </c>
      <c r="K117" s="447">
        <f>'[4]1 полуг'!K108</f>
        <v>0</v>
      </c>
      <c r="L117" s="449">
        <v>432</v>
      </c>
      <c r="M117" s="449">
        <f>'[4]3кв'!O99</f>
        <v>0</v>
      </c>
      <c r="N117" s="449">
        <f>'[4]1 полуг'!N108</f>
        <v>0</v>
      </c>
      <c r="O117" s="450">
        <f t="shared" si="26"/>
        <v>432</v>
      </c>
      <c r="P117" s="449">
        <f>'[4]1 полуг'!P108</f>
        <v>0</v>
      </c>
      <c r="Q117" s="449"/>
      <c r="R117" s="449">
        <v>15.41</v>
      </c>
      <c r="S117" s="449">
        <f>'[4]1 полуг'!S108</f>
        <v>0</v>
      </c>
      <c r="T117" s="450">
        <f t="shared" si="27"/>
        <v>598.02274</v>
      </c>
      <c r="V117" s="364"/>
      <c r="W117" s="318"/>
      <c r="X117" s="318"/>
    </row>
    <row r="118" spans="1:24" ht="15" hidden="1" customHeight="1">
      <c r="A118" s="576" t="s">
        <v>144</v>
      </c>
      <c r="B118" s="309">
        <v>340</v>
      </c>
      <c r="C118" s="449"/>
      <c r="D118" s="449"/>
      <c r="E118" s="447">
        <f>'[4]1 полуг'!E109</f>
        <v>0</v>
      </c>
      <c r="F118" s="447">
        <f>'[4]1 полуг'!F109</f>
        <v>0</v>
      </c>
      <c r="G118" s="447"/>
      <c r="H118" s="447">
        <f>'[4]1 полуг'!H109</f>
        <v>0</v>
      </c>
      <c r="I118" s="447">
        <f>'[4]1 полуг'!H109</f>
        <v>0</v>
      </c>
      <c r="J118" s="447">
        <f>'[4]1 полуг'!J109</f>
        <v>0</v>
      </c>
      <c r="K118" s="447"/>
      <c r="L118" s="449"/>
      <c r="M118" s="449"/>
      <c r="N118" s="449">
        <f>'[4]1 полуг'!N109</f>
        <v>0</v>
      </c>
      <c r="O118" s="450">
        <f t="shared" si="26"/>
        <v>0</v>
      </c>
      <c r="P118" s="449">
        <f>'[4]1 полуг'!P109</f>
        <v>0</v>
      </c>
      <c r="Q118" s="449"/>
      <c r="R118" s="449">
        <f>'[4]1 полуг'!R109</f>
        <v>0</v>
      </c>
      <c r="S118" s="449">
        <f>'[4]1 полуг'!S109</f>
        <v>0</v>
      </c>
      <c r="T118" s="450">
        <f t="shared" si="27"/>
        <v>0</v>
      </c>
      <c r="V118" s="364"/>
      <c r="W118" s="318"/>
      <c r="X118" s="318"/>
    </row>
    <row r="119" spans="1:24" ht="15" customHeight="1">
      <c r="A119" s="576" t="s">
        <v>145</v>
      </c>
      <c r="B119" s="309">
        <v>340</v>
      </c>
      <c r="C119" s="449">
        <v>349.38979999999998</v>
      </c>
      <c r="D119" s="449">
        <v>349.38979999999998</v>
      </c>
      <c r="E119" s="447">
        <f>'[4]3кв'!E101+'[4]1 полуг'!E110</f>
        <v>0</v>
      </c>
      <c r="F119" s="447">
        <f>'[4]3кв'!F101+'[4]1 полуг'!F110</f>
        <v>0</v>
      </c>
      <c r="G119" s="447">
        <v>50</v>
      </c>
      <c r="H119" s="447">
        <f>'[4]3кв'!I101+'[4]1 полуг'!H110</f>
        <v>0</v>
      </c>
      <c r="I119" s="447">
        <f>'[4]3кв'!I101+'[4]1 полуг'!H110</f>
        <v>0</v>
      </c>
      <c r="J119" s="447">
        <v>35.975999999999999</v>
      </c>
      <c r="K119" s="447">
        <v>157.42150000000001</v>
      </c>
      <c r="L119" s="447">
        <v>281.8</v>
      </c>
      <c r="M119" s="449">
        <v>34.35</v>
      </c>
      <c r="N119" s="449">
        <f>'[4]3кв'!P101+'[4]1 полуг'!N110</f>
        <v>0</v>
      </c>
      <c r="O119" s="450">
        <f t="shared" si="26"/>
        <v>316.15000000000003</v>
      </c>
      <c r="P119" s="449">
        <f>'[4]3кв'!R101+'[4]1 полуг'!P110</f>
        <v>0</v>
      </c>
      <c r="Q119" s="449"/>
      <c r="R119" s="449">
        <v>52.027000000000001</v>
      </c>
      <c r="S119" s="449"/>
      <c r="T119" s="450">
        <f t="shared" si="27"/>
        <v>960.96430000000009</v>
      </c>
      <c r="V119" s="364"/>
      <c r="W119" s="318"/>
      <c r="X119" s="318"/>
    </row>
    <row r="120" spans="1:24" ht="12.75" customHeight="1">
      <c r="A120" s="576" t="s">
        <v>680</v>
      </c>
      <c r="B120" s="309">
        <v>341</v>
      </c>
      <c r="C120" s="449"/>
      <c r="D120" s="449"/>
      <c r="E120" s="447">
        <f>'[4]1 полуг'!E111</f>
        <v>0</v>
      </c>
      <c r="F120" s="447">
        <f>'[4]1 полуг'!F111</f>
        <v>0</v>
      </c>
      <c r="G120" s="447"/>
      <c r="H120" s="447">
        <f>'[4]1 полуг'!H111</f>
        <v>0</v>
      </c>
      <c r="I120" s="447">
        <f>'[4]1 полуг'!H111</f>
        <v>0</v>
      </c>
      <c r="J120" s="447">
        <f>'[4]1 полуг'!J111</f>
        <v>0</v>
      </c>
      <c r="K120" s="447">
        <v>157.6</v>
      </c>
      <c r="L120" s="447"/>
      <c r="M120" s="449"/>
      <c r="N120" s="449">
        <f>'[4]1 полуг'!N111</f>
        <v>0</v>
      </c>
      <c r="O120" s="450">
        <f t="shared" si="26"/>
        <v>0</v>
      </c>
      <c r="P120" s="449">
        <f>'[4]1 полуг'!P111</f>
        <v>0</v>
      </c>
      <c r="Q120" s="449"/>
      <c r="R120" s="449">
        <f>'[4]1 полуг'!R111</f>
        <v>0</v>
      </c>
      <c r="S120" s="449">
        <f>'[4]1 полуг'!S111</f>
        <v>0</v>
      </c>
      <c r="T120" s="450">
        <f t="shared" si="27"/>
        <v>157.6</v>
      </c>
      <c r="V120" s="364"/>
      <c r="W120" s="318"/>
      <c r="X120" s="318"/>
    </row>
    <row r="121" spans="1:24" ht="13.5" customHeight="1">
      <c r="A121" s="576" t="s">
        <v>146</v>
      </c>
      <c r="B121" s="309">
        <v>340</v>
      </c>
      <c r="C121" s="449"/>
      <c r="D121" s="449"/>
      <c r="E121" s="447">
        <f>'[4]3кв'!E102+'[4]1 полуг'!E112</f>
        <v>0</v>
      </c>
      <c r="F121" s="447">
        <f>'[4]3кв'!F102+'[4]1 полуг'!F112</f>
        <v>0</v>
      </c>
      <c r="G121" s="447"/>
      <c r="H121" s="447">
        <f>'[4]3кв'!I102+'[4]1 полуг'!H112</f>
        <v>0</v>
      </c>
      <c r="I121" s="447">
        <f>'[4]3кв'!I102+'[4]1 полуг'!H112</f>
        <v>0</v>
      </c>
      <c r="J121" s="447">
        <f>'[4]3кв'!L102+'[4]1 полуг'!J112</f>
        <v>0</v>
      </c>
      <c r="K121" s="447"/>
      <c r="L121" s="447"/>
      <c r="M121" s="449"/>
      <c r="N121" s="449"/>
      <c r="O121" s="450">
        <f t="shared" si="26"/>
        <v>0</v>
      </c>
      <c r="P121" s="449">
        <f>'[4]3кв'!R102+'[4]1 полуг'!P112</f>
        <v>0</v>
      </c>
      <c r="Q121" s="449"/>
      <c r="R121" s="449">
        <f>'[4]3кв'!S102+'[4]1 полуг'!R112</f>
        <v>0</v>
      </c>
      <c r="S121" s="449">
        <f>'[4]3кв'!T102+'[4]1 полуг'!S112</f>
        <v>0</v>
      </c>
      <c r="T121" s="450">
        <f t="shared" si="27"/>
        <v>0</v>
      </c>
      <c r="V121" s="364"/>
      <c r="W121" s="318"/>
      <c r="X121" s="318"/>
    </row>
    <row r="122" spans="1:24" ht="14.25" customHeight="1">
      <c r="A122" s="576" t="s">
        <v>298</v>
      </c>
      <c r="B122" s="309">
        <v>340</v>
      </c>
      <c r="C122" s="449">
        <f>18.2879+100</f>
        <v>118.28790000000001</v>
      </c>
      <c r="D122" s="449">
        <f>18.2879+100</f>
        <v>118.28790000000001</v>
      </c>
      <c r="E122" s="447">
        <f>'[4]3кв'!E103</f>
        <v>0</v>
      </c>
      <c r="F122" s="447">
        <f>'[4]3кв'!F103</f>
        <v>0</v>
      </c>
      <c r="G122" s="447"/>
      <c r="H122" s="447">
        <v>0</v>
      </c>
      <c r="I122" s="447">
        <f>'[4]3кв'!I103</f>
        <v>0</v>
      </c>
      <c r="J122" s="447">
        <f>'[4]3кв'!L103</f>
        <v>0</v>
      </c>
      <c r="K122" s="447">
        <f>'[4]3кв'!M103</f>
        <v>0</v>
      </c>
      <c r="L122" s="447">
        <f>'[4]3кв'!N103+'[4]1 полуг'!L122</f>
        <v>0</v>
      </c>
      <c r="M122" s="449">
        <f>'[4]1 полуг'!M122</f>
        <v>0</v>
      </c>
      <c r="N122" s="449">
        <f>'[4]3кв'!P103+'[4]1 полуг'!N122</f>
        <v>0</v>
      </c>
      <c r="O122" s="450">
        <f t="shared" si="26"/>
        <v>0</v>
      </c>
      <c r="P122" s="449">
        <f>'[4]3кв'!R103</f>
        <v>0</v>
      </c>
      <c r="Q122" s="449"/>
      <c r="R122" s="449">
        <f>'[4]3кв'!S103</f>
        <v>0</v>
      </c>
      <c r="S122" s="449">
        <f>'[4]3кв'!T103</f>
        <v>0</v>
      </c>
      <c r="T122" s="450">
        <f t="shared" si="27"/>
        <v>118.28790000000001</v>
      </c>
      <c r="V122" s="364"/>
      <c r="W122" s="318"/>
      <c r="X122" s="318"/>
    </row>
    <row r="123" spans="1:24" ht="15" customHeight="1">
      <c r="A123" s="576" t="s">
        <v>147</v>
      </c>
      <c r="B123" s="309">
        <v>340</v>
      </c>
      <c r="C123" s="449"/>
      <c r="D123" s="449"/>
      <c r="E123" s="447">
        <f>'[4]3кв'!E104+'[4]1 полуг'!E113</f>
        <v>0</v>
      </c>
      <c r="F123" s="447">
        <f>'[4]3кв'!F104+'[4]1 полуг'!F113</f>
        <v>0</v>
      </c>
      <c r="G123" s="447">
        <v>19.98</v>
      </c>
      <c r="H123" s="447">
        <v>0</v>
      </c>
      <c r="I123" s="447">
        <f>'[4]3кв'!I104+'[4]1 полуг'!H113</f>
        <v>0</v>
      </c>
      <c r="J123" s="447">
        <v>2.7</v>
      </c>
      <c r="K123" s="447">
        <f>'[4]3кв'!M104+'[4]1 полуг'!K113</f>
        <v>0</v>
      </c>
      <c r="L123" s="447">
        <v>25.013200000000001</v>
      </c>
      <c r="M123" s="449">
        <f>'[4]1 полуг'!M113</f>
        <v>0</v>
      </c>
      <c r="N123" s="449">
        <f>'[4]3кв'!P104+'[4]1 полуг'!N113</f>
        <v>0</v>
      </c>
      <c r="O123" s="450">
        <f t="shared" si="26"/>
        <v>25.013200000000001</v>
      </c>
      <c r="P123" s="449">
        <f>'[4]3кв'!R104+'[4]1 полуг'!P113</f>
        <v>0</v>
      </c>
      <c r="Q123" s="449"/>
      <c r="R123" s="449">
        <f>'[4]3кв'!S104+'[4]1 полуг'!R113</f>
        <v>0</v>
      </c>
      <c r="S123" s="449"/>
      <c r="T123" s="450">
        <f t="shared" si="27"/>
        <v>47.693200000000004</v>
      </c>
      <c r="U123" s="320"/>
      <c r="V123" s="364"/>
      <c r="W123" s="318"/>
      <c r="X123" s="318"/>
    </row>
    <row r="124" spans="1:24" ht="12.75" customHeight="1">
      <c r="A124" s="576" t="s">
        <v>925</v>
      </c>
      <c r="B124" s="309">
        <v>340</v>
      </c>
      <c r="C124" s="629"/>
      <c r="D124" s="629"/>
      <c r="E124" s="447"/>
      <c r="F124" s="447"/>
      <c r="G124" s="447"/>
      <c r="H124" s="447"/>
      <c r="I124" s="447"/>
      <c r="J124" s="447"/>
      <c r="K124" s="447"/>
      <c r="L124" s="447">
        <v>0</v>
      </c>
      <c r="M124" s="449"/>
      <c r="N124" s="449"/>
      <c r="O124" s="450">
        <f t="shared" si="26"/>
        <v>0</v>
      </c>
      <c r="P124" s="449"/>
      <c r="Q124" s="449"/>
      <c r="R124" s="449">
        <v>84.26</v>
      </c>
      <c r="S124" s="449"/>
      <c r="T124" s="450">
        <f t="shared" si="27"/>
        <v>84.26</v>
      </c>
      <c r="U124" s="320"/>
      <c r="V124" s="364"/>
      <c r="W124" s="318"/>
      <c r="X124" s="318"/>
    </row>
    <row r="125" spans="1:24" ht="11.25" customHeight="1">
      <c r="A125" s="576" t="s">
        <v>148</v>
      </c>
      <c r="B125" s="309">
        <v>340</v>
      </c>
      <c r="C125" s="449">
        <v>11.6</v>
      </c>
      <c r="D125" s="449">
        <v>11.6</v>
      </c>
      <c r="E125" s="447">
        <f>'[4]3кв'!E106+'[4]1 полуг'!E114</f>
        <v>0</v>
      </c>
      <c r="F125" s="447">
        <f>[4]сентябрь!F104</f>
        <v>0</v>
      </c>
      <c r="G125" s="447">
        <v>29.37</v>
      </c>
      <c r="H125" s="447">
        <f>'[4]3кв'!I106+'[4]1 полуг'!H114</f>
        <v>0</v>
      </c>
      <c r="I125" s="447">
        <f>'[4]3кв'!I106+'[4]1 полуг'!H114</f>
        <v>0</v>
      </c>
      <c r="J125" s="447">
        <f>'[4]3кв'!L106+'[4]1 полуг'!J114</f>
        <v>0</v>
      </c>
      <c r="K125" s="447">
        <f>'[4]3кв'!M106+'[4]1 полуг'!K114</f>
        <v>0</v>
      </c>
      <c r="L125" s="447">
        <v>8.34</v>
      </c>
      <c r="M125" s="449"/>
      <c r="N125" s="449">
        <f>'[4]3кв'!P106+'[4]1 полуг'!N114</f>
        <v>0</v>
      </c>
      <c r="O125" s="450">
        <f t="shared" si="26"/>
        <v>8.34</v>
      </c>
      <c r="P125" s="449">
        <f>'[4]3кв'!R106+'[4]1 полуг'!P114</f>
        <v>0</v>
      </c>
      <c r="Q125" s="449"/>
      <c r="R125" s="449">
        <f>'[4]3кв'!S106+'[4]1 полуг'!R114</f>
        <v>0</v>
      </c>
      <c r="S125" s="449"/>
      <c r="T125" s="450">
        <f t="shared" si="27"/>
        <v>49.31</v>
      </c>
      <c r="U125" s="320"/>
      <c r="V125" s="364"/>
      <c r="W125" s="318"/>
      <c r="X125" s="318"/>
    </row>
    <row r="126" spans="1:24">
      <c r="A126" s="576" t="s">
        <v>286</v>
      </c>
      <c r="B126" s="309">
        <v>340</v>
      </c>
      <c r="C126" s="449"/>
      <c r="D126" s="449"/>
      <c r="E126" s="447">
        <f>'[4]1 полуг'!E115</f>
        <v>0</v>
      </c>
      <c r="F126" s="447">
        <f>'[4]3кв'!G105</f>
        <v>0</v>
      </c>
      <c r="G126" s="447"/>
      <c r="H126" s="447">
        <f>'[4]1 полуг'!H115</f>
        <v>0</v>
      </c>
      <c r="I126" s="447">
        <f>'[4]1 полуг'!H115</f>
        <v>0</v>
      </c>
      <c r="J126" s="447">
        <f>'[4]1 полуг'!J115</f>
        <v>0</v>
      </c>
      <c r="K126" s="447">
        <f>'[4]1 полуг'!K115</f>
        <v>0</v>
      </c>
      <c r="L126" s="447">
        <f>'[4]1 полуг'!L115</f>
        <v>0</v>
      </c>
      <c r="M126" s="449"/>
      <c r="N126" s="449">
        <f>'[4]1 полуг'!N115</f>
        <v>0</v>
      </c>
      <c r="O126" s="450">
        <f t="shared" si="26"/>
        <v>0</v>
      </c>
      <c r="P126" s="449">
        <f>'[4]1 полуг'!P115</f>
        <v>0</v>
      </c>
      <c r="Q126" s="449"/>
      <c r="R126" s="449">
        <f>'[4]1 полуг'!R115</f>
        <v>0</v>
      </c>
      <c r="S126" s="449"/>
      <c r="T126" s="450">
        <f t="shared" si="27"/>
        <v>0</v>
      </c>
      <c r="V126" s="364"/>
      <c r="W126" s="318"/>
      <c r="X126" s="318"/>
    </row>
    <row r="127" spans="1:24">
      <c r="A127" s="576" t="s">
        <v>149</v>
      </c>
      <c r="B127" s="309">
        <v>340</v>
      </c>
      <c r="C127" s="449">
        <v>130.27000000000001</v>
      </c>
      <c r="D127" s="449">
        <v>130.27000000000001</v>
      </c>
      <c r="E127" s="447">
        <f>'[4]3кв'!E109+'[4]1 полуг'!E120</f>
        <v>0</v>
      </c>
      <c r="F127" s="447">
        <v>64.638000000000005</v>
      </c>
      <c r="G127" s="447"/>
      <c r="H127" s="447">
        <f>'[4]3кв'!I109+'[4]1 полуг'!H120</f>
        <v>0</v>
      </c>
      <c r="I127" s="447">
        <f>'[4]3кв'!I109+'[4]1 полуг'!H120</f>
        <v>0</v>
      </c>
      <c r="J127" s="447">
        <v>7.8630000000000004</v>
      </c>
      <c r="K127" s="447">
        <v>302.72750000000002</v>
      </c>
      <c r="L127" s="447">
        <v>148.761</v>
      </c>
      <c r="M127" s="449"/>
      <c r="N127" s="449"/>
      <c r="O127" s="450">
        <f t="shared" si="26"/>
        <v>148.761</v>
      </c>
      <c r="P127" s="449">
        <f>'[4]3кв'!R109+'[4]1 полуг'!P120</f>
        <v>0</v>
      </c>
      <c r="Q127" s="449"/>
      <c r="R127" s="449">
        <f>'[4]3кв'!S109+'[4]1 полуг'!R120</f>
        <v>0</v>
      </c>
      <c r="S127" s="449"/>
      <c r="T127" s="450">
        <f t="shared" si="27"/>
        <v>654.2595</v>
      </c>
      <c r="V127" s="364"/>
      <c r="W127" s="318"/>
      <c r="X127" s="318"/>
    </row>
    <row r="128" spans="1:24" hidden="1">
      <c r="A128" s="576" t="s">
        <v>176</v>
      </c>
      <c r="B128" s="309">
        <v>340</v>
      </c>
      <c r="C128" s="449"/>
      <c r="D128" s="449"/>
      <c r="E128" s="447">
        <f>'[4]3кв'!E112+'[4]1 полуг'!E121</f>
        <v>0</v>
      </c>
      <c r="F128" s="447">
        <f>'[4]3кв'!F112+'[4]1 полуг'!F122</f>
        <v>0</v>
      </c>
      <c r="G128" s="447"/>
      <c r="H128" s="447"/>
      <c r="I128" s="447">
        <f>'[4]3кв'!I112+'[4]1 полуг'!H122</f>
        <v>0</v>
      </c>
      <c r="J128" s="447">
        <f>'[4]3кв'!L112+'[4]1 полуг'!J122</f>
        <v>0</v>
      </c>
      <c r="K128" s="447">
        <f>'[4]3кв'!M112+'[4]1 полуг'!K122</f>
        <v>0</v>
      </c>
      <c r="L128" s="447">
        <f>'[4]1 полуг'!L117</f>
        <v>0</v>
      </c>
      <c r="M128" s="449"/>
      <c r="N128" s="449"/>
      <c r="O128" s="450">
        <f t="shared" si="26"/>
        <v>0</v>
      </c>
      <c r="P128" s="449">
        <f>'[4]3кв'!R112+'[4]1 полуг'!P117</f>
        <v>0</v>
      </c>
      <c r="Q128" s="449"/>
      <c r="R128" s="449">
        <f>'[4]3кв'!S112+'[4]1 полуг'!R122</f>
        <v>0</v>
      </c>
      <c r="S128" s="449">
        <f>'[4]3кв'!T112+'[4]1 полуг'!S122</f>
        <v>0</v>
      </c>
      <c r="T128" s="450">
        <f t="shared" si="27"/>
        <v>0</v>
      </c>
      <c r="V128" s="364"/>
      <c r="W128" s="318"/>
      <c r="X128" s="318"/>
    </row>
    <row r="129" spans="1:24" ht="15" hidden="1" customHeight="1">
      <c r="A129" s="576" t="s">
        <v>756</v>
      </c>
      <c r="B129" s="309">
        <v>340</v>
      </c>
      <c r="C129" s="449"/>
      <c r="D129" s="449"/>
      <c r="E129" s="447">
        <f>'[4]3кв'!E108+'[4]1 полуг'!E116</f>
        <v>0</v>
      </c>
      <c r="F129" s="447">
        <f>'[4]3кв'!F108+'[4]1 полуг'!F116</f>
        <v>0</v>
      </c>
      <c r="G129" s="447"/>
      <c r="H129" s="447">
        <f>'[4]3кв'!I108+'[4]1 полуг'!H116</f>
        <v>0</v>
      </c>
      <c r="I129" s="447">
        <f>'[4]3кв'!I108+'[4]1 полуг'!H116</f>
        <v>0</v>
      </c>
      <c r="J129" s="447">
        <f>'[4]3кв'!L108+'[4]1 полуг'!J116</f>
        <v>0</v>
      </c>
      <c r="K129" s="447">
        <f>'[4]3кв'!M108+'[4]1 полуг'!K116</f>
        <v>0</v>
      </c>
      <c r="L129" s="447">
        <f>'[4]3кв'!N108+'[4]1 полуг'!L116</f>
        <v>0</v>
      </c>
      <c r="M129" s="449"/>
      <c r="N129" s="449">
        <f>'[4]3кв'!P108+'[4]1 полуг'!N116</f>
        <v>0</v>
      </c>
      <c r="O129" s="450">
        <f t="shared" si="26"/>
        <v>0</v>
      </c>
      <c r="P129" s="449">
        <f>'[4]3кв'!R108+'[4]1 полуг'!P116</f>
        <v>0</v>
      </c>
      <c r="Q129" s="449"/>
      <c r="R129" s="449">
        <f>'[4]3кв'!S108+'[4]1 полуг'!R116</f>
        <v>0</v>
      </c>
      <c r="S129" s="449">
        <f>'[4]3кв'!T108+'[4]1 полуг'!S116</f>
        <v>0</v>
      </c>
      <c r="T129" s="450">
        <f t="shared" si="27"/>
        <v>0</v>
      </c>
      <c r="V129" s="364"/>
      <c r="W129" s="318"/>
      <c r="X129" s="318"/>
    </row>
    <row r="130" spans="1:24" hidden="1">
      <c r="A130" s="576" t="s">
        <v>757</v>
      </c>
      <c r="B130" s="309">
        <v>340</v>
      </c>
      <c r="C130" s="449"/>
      <c r="D130" s="449"/>
      <c r="E130" s="447">
        <f>'[4]3кв'!E107</f>
        <v>0</v>
      </c>
      <c r="F130" s="447">
        <f>'[4]3кв'!F107</f>
        <v>0</v>
      </c>
      <c r="G130" s="447"/>
      <c r="H130" s="447">
        <f>'[4]3кв'!I107</f>
        <v>0</v>
      </c>
      <c r="I130" s="447">
        <f>'[4]3кв'!I107</f>
        <v>0</v>
      </c>
      <c r="J130" s="447">
        <f>'[4]3кв'!L107</f>
        <v>0</v>
      </c>
      <c r="K130" s="447">
        <f>'[4]1 полуг'!K118+'[4]3кв'!M110</f>
        <v>0</v>
      </c>
      <c r="L130" s="447">
        <f>'[4]1 полуг'!L118</f>
        <v>0</v>
      </c>
      <c r="M130" s="449"/>
      <c r="N130" s="449">
        <f>'[4]1 полуг'!N118</f>
        <v>0</v>
      </c>
      <c r="O130" s="450">
        <f t="shared" si="26"/>
        <v>0</v>
      </c>
      <c r="P130" s="449">
        <f>'[4]3кв'!R107</f>
        <v>0</v>
      </c>
      <c r="Q130" s="449"/>
      <c r="R130" s="449">
        <f>'[4]3кв'!S107</f>
        <v>0</v>
      </c>
      <c r="S130" s="449">
        <f>'[4]3кв'!T107</f>
        <v>0</v>
      </c>
      <c r="T130" s="450">
        <f t="shared" si="27"/>
        <v>0</v>
      </c>
      <c r="V130" s="364"/>
      <c r="W130" s="318"/>
      <c r="X130" s="318"/>
    </row>
    <row r="131" spans="1:24" ht="13.5" customHeight="1">
      <c r="A131" s="576" t="s">
        <v>399</v>
      </c>
      <c r="B131" s="309">
        <v>340</v>
      </c>
      <c r="C131" s="449"/>
      <c r="D131" s="449"/>
      <c r="E131" s="447"/>
      <c r="F131" s="447"/>
      <c r="G131" s="447"/>
      <c r="H131" s="447"/>
      <c r="I131" s="447"/>
      <c r="J131" s="447"/>
      <c r="K131" s="447">
        <v>13</v>
      </c>
      <c r="L131" s="447"/>
      <c r="M131" s="449"/>
      <c r="N131" s="449"/>
      <c r="O131" s="450">
        <f t="shared" si="26"/>
        <v>0</v>
      </c>
      <c r="P131" s="449"/>
      <c r="Q131" s="449"/>
      <c r="R131" s="449"/>
      <c r="S131" s="449"/>
      <c r="T131" s="450">
        <f t="shared" si="27"/>
        <v>13</v>
      </c>
      <c r="V131" s="364"/>
      <c r="W131" s="318"/>
      <c r="X131" s="318"/>
    </row>
    <row r="132" spans="1:24" hidden="1">
      <c r="A132" s="576" t="s">
        <v>758</v>
      </c>
      <c r="B132" s="309">
        <v>340</v>
      </c>
      <c r="C132" s="449">
        <f t="shared" ref="C132:D132" si="66">D132+E132</f>
        <v>0</v>
      </c>
      <c r="D132" s="449">
        <f t="shared" si="66"/>
        <v>0</v>
      </c>
      <c r="E132" s="447">
        <f>'[4]1 полуг'!E117</f>
        <v>0</v>
      </c>
      <c r="F132" s="447">
        <f>'[4]1 полуг'!F117</f>
        <v>0</v>
      </c>
      <c r="G132" s="447"/>
      <c r="H132" s="447">
        <f>'[4]1 полуг'!H117</f>
        <v>0</v>
      </c>
      <c r="I132" s="447">
        <f>'[4]1 полуг'!H117</f>
        <v>0</v>
      </c>
      <c r="J132" s="447">
        <f>'[4]1 полуг'!J117</f>
        <v>0</v>
      </c>
      <c r="K132" s="447">
        <f>'[4]1 полуг'!K117</f>
        <v>0</v>
      </c>
      <c r="L132" s="447">
        <v>0</v>
      </c>
      <c r="M132" s="449"/>
      <c r="N132" s="449">
        <f>'[4]1 полуг'!N117</f>
        <v>0</v>
      </c>
      <c r="O132" s="450">
        <f t="shared" si="26"/>
        <v>0</v>
      </c>
      <c r="P132" s="449">
        <v>0</v>
      </c>
      <c r="Q132" s="449"/>
      <c r="R132" s="449">
        <f>'[4]1 полуг'!R117</f>
        <v>0</v>
      </c>
      <c r="S132" s="449">
        <f>'[4]1 полуг'!S117</f>
        <v>0</v>
      </c>
      <c r="T132" s="450">
        <f t="shared" si="27"/>
        <v>0</v>
      </c>
      <c r="V132" s="364"/>
      <c r="W132" s="318"/>
      <c r="X132" s="318"/>
    </row>
    <row r="133" spans="1:24">
      <c r="A133" s="576" t="s">
        <v>150</v>
      </c>
      <c r="B133" s="309">
        <v>340</v>
      </c>
      <c r="C133" s="449"/>
      <c r="D133" s="449"/>
      <c r="E133" s="447">
        <f>'[4]3кв'!E113+'[4]1 полуг'!E123</f>
        <v>0</v>
      </c>
      <c r="F133" s="447">
        <f>'[4]3кв'!F113+'[4]1 полуг'!F123</f>
        <v>0</v>
      </c>
      <c r="G133" s="447"/>
      <c r="H133" s="447">
        <f>'[4]3кв'!I113+'[4]1 полуг'!H123</f>
        <v>0</v>
      </c>
      <c r="I133" s="447">
        <f>'[4]3кв'!I113+'[4]1 полуг'!H123</f>
        <v>0</v>
      </c>
      <c r="J133" s="447">
        <f>'[4]3кв'!L113+'[4]1 полуг'!J123</f>
        <v>0</v>
      </c>
      <c r="K133" s="447"/>
      <c r="L133" s="447">
        <v>2.8580000000000001</v>
      </c>
      <c r="M133" s="449"/>
      <c r="N133" s="449">
        <f>'[4]3кв'!P113+'[4]1 полуг'!N123</f>
        <v>0</v>
      </c>
      <c r="O133" s="450">
        <f t="shared" si="26"/>
        <v>2.8580000000000001</v>
      </c>
      <c r="P133" s="449">
        <f>'[4]3кв'!R113+'[4]1 полуг'!P123</f>
        <v>0</v>
      </c>
      <c r="Q133" s="449"/>
      <c r="R133" s="449">
        <f>'[4]3кв'!S113+'[4]1 полуг'!R123</f>
        <v>0</v>
      </c>
      <c r="S133" s="449"/>
      <c r="T133" s="450">
        <f t="shared" si="27"/>
        <v>2.8580000000000001</v>
      </c>
      <c r="V133" s="364"/>
      <c r="W133" s="318"/>
      <c r="X133" s="318"/>
    </row>
    <row r="134" spans="1:24">
      <c r="A134" s="576" t="s">
        <v>938</v>
      </c>
      <c r="B134" s="309">
        <v>340</v>
      </c>
      <c r="C134" s="449"/>
      <c r="D134" s="449"/>
      <c r="E134" s="447"/>
      <c r="F134" s="447"/>
      <c r="G134" s="447"/>
      <c r="H134" s="447"/>
      <c r="I134" s="447"/>
      <c r="J134" s="447"/>
      <c r="K134" s="447">
        <v>30</v>
      </c>
      <c r="L134" s="447"/>
      <c r="M134" s="449"/>
      <c r="N134" s="449"/>
      <c r="O134" s="450"/>
      <c r="P134" s="449"/>
      <c r="Q134" s="449"/>
      <c r="R134" s="449">
        <v>23.2</v>
      </c>
      <c r="S134" s="449"/>
      <c r="T134" s="450">
        <f t="shared" si="27"/>
        <v>53.2</v>
      </c>
      <c r="V134" s="364"/>
      <c r="W134" s="318"/>
      <c r="X134" s="318"/>
    </row>
    <row r="135" spans="1:24" ht="15" customHeight="1">
      <c r="A135" s="576" t="s">
        <v>937</v>
      </c>
      <c r="B135" s="309">
        <v>390</v>
      </c>
      <c r="C135" s="447">
        <f t="shared" ref="C135" si="67">D135+E135</f>
        <v>0</v>
      </c>
      <c r="D135" s="447"/>
      <c r="E135" s="447">
        <f>[4]июнь!E109+[4]май!E103+[4]апр!E99</f>
        <v>0</v>
      </c>
      <c r="F135" s="447">
        <f>[4]июнь!F109+[4]май!F103+[4]апр!F99</f>
        <v>0</v>
      </c>
      <c r="G135" s="447">
        <f>[4]июнь!G109+[4]май!G103+[4]апр!G99</f>
        <v>0</v>
      </c>
      <c r="H135" s="447">
        <f>[4]июнь!H109+[4]май!H103+[4]апр!H99</f>
        <v>0</v>
      </c>
      <c r="I135" s="447">
        <f>[4]июнь!H109+[4]май!H103+[4]апр!H99</f>
        <v>0</v>
      </c>
      <c r="J135" s="447">
        <f>[4]июнь!J109+[4]май!J103+[4]апр!J99</f>
        <v>0</v>
      </c>
      <c r="K135" s="447">
        <f>[4]июнь!K109+[4]май!K103+[4]апр!K99</f>
        <v>0</v>
      </c>
      <c r="L135" s="447">
        <v>50.5</v>
      </c>
      <c r="M135" s="449">
        <v>32</v>
      </c>
      <c r="N135" s="449">
        <f>[4]июнь!N109+[4]май!N103+[4]апр!M99</f>
        <v>0</v>
      </c>
      <c r="O135" s="450">
        <f t="shared" si="26"/>
        <v>82.5</v>
      </c>
      <c r="P135" s="449">
        <f>[4]июнь!P109+[4]май!P103+[4]апр!O99</f>
        <v>0</v>
      </c>
      <c r="Q135" s="449"/>
      <c r="R135" s="449"/>
      <c r="S135" s="449">
        <f>[4]июнь!R109+[4]май!R103+[4]апр!Q99</f>
        <v>0</v>
      </c>
      <c r="T135" s="450">
        <f>C135+F135+G135+J135+K135+O135+P135+Q135+R135+S135</f>
        <v>82.5</v>
      </c>
      <c r="V135" s="364"/>
      <c r="W135" s="318"/>
      <c r="X135" s="318"/>
    </row>
    <row r="136" spans="1:24">
      <c r="A136" s="314" t="s">
        <v>152</v>
      </c>
      <c r="B136" s="567"/>
      <c r="C136" s="489">
        <f>+C5</f>
        <v>4616.7411700000002</v>
      </c>
      <c r="D136" s="489">
        <f>+D5</f>
        <v>4616.7411700000002</v>
      </c>
      <c r="E136" s="490">
        <f>SUM(E5+E115+E114+E135+E108+E110+E109+E111+E112+E113)</f>
        <v>0</v>
      </c>
      <c r="F136" s="489">
        <f>+F5</f>
        <v>1838.4880500000002</v>
      </c>
      <c r="G136" s="821">
        <f>+G5</f>
        <v>465.53059999999999</v>
      </c>
      <c r="H136" s="489">
        <f t="shared" ref="H136:N136" si="68">+H5</f>
        <v>0</v>
      </c>
      <c r="I136" s="489">
        <f t="shared" si="68"/>
        <v>0</v>
      </c>
      <c r="J136" s="489">
        <f t="shared" si="68"/>
        <v>154.60894000000002</v>
      </c>
      <c r="K136" s="489">
        <f t="shared" si="68"/>
        <v>2511.1467199999997</v>
      </c>
      <c r="L136" s="489">
        <f t="shared" si="68"/>
        <v>8692.6242600000005</v>
      </c>
      <c r="M136" s="489">
        <f t="shared" si="68"/>
        <v>565.27616999999998</v>
      </c>
      <c r="N136" s="821">
        <f t="shared" si="68"/>
        <v>235.20686000000001</v>
      </c>
      <c r="O136" s="450">
        <f t="shared" si="26"/>
        <v>9493.1072899999999</v>
      </c>
      <c r="P136" s="821">
        <f>SUM(P5+P115+P114+P135+P108+P110+P109+P111+P112+P113)</f>
        <v>1657.9350399999996</v>
      </c>
      <c r="Q136" s="489">
        <f>SUM(Q5+Q115+Q114+Q135+Q108+Q110+Q109+Q111+Q112+Q113)</f>
        <v>0</v>
      </c>
      <c r="R136" s="821">
        <f t="shared" ref="R136:S136" si="69">+R5</f>
        <v>1007.7740900000001</v>
      </c>
      <c r="S136" s="489">
        <f t="shared" si="69"/>
        <v>842.53537000000006</v>
      </c>
      <c r="T136" s="450">
        <f>C136+F136+G136+J136+K136+O136+P136+Q136+R136+S136</f>
        <v>22587.867270000002</v>
      </c>
      <c r="U136" s="318"/>
      <c r="V136" s="364"/>
      <c r="W136" s="318"/>
      <c r="X136" s="318"/>
    </row>
    <row r="137" spans="1:24" hidden="1">
      <c r="A137" s="315"/>
      <c r="B137" s="568"/>
      <c r="C137" s="491"/>
      <c r="D137" s="491"/>
      <c r="E137" s="492"/>
      <c r="F137" s="492"/>
      <c r="G137" s="492"/>
      <c r="H137" s="492"/>
      <c r="I137" s="492"/>
      <c r="J137" s="492"/>
      <c r="K137" s="492"/>
      <c r="L137" s="492"/>
      <c r="M137" s="506"/>
      <c r="N137" s="506"/>
      <c r="O137" s="506"/>
      <c r="P137" s="506"/>
      <c r="Q137" s="506"/>
      <c r="R137" s="506"/>
      <c r="S137" s="506"/>
      <c r="T137" s="507">
        <f>C137+F137+G137+J137+K137+L137+M137+N137+P137+R137+S137</f>
        <v>0</v>
      </c>
      <c r="V137" s="364"/>
    </row>
    <row r="138" spans="1:24" ht="14.25" hidden="1" customHeight="1">
      <c r="A138" s="315"/>
      <c r="B138" s="568"/>
      <c r="C138" s="491">
        <f>'[4]3кв'!C115+'[4]1 полуг'!C124</f>
        <v>6007236.7599999998</v>
      </c>
      <c r="D138" s="491">
        <f>'[4]3кв'!D115+'[4]1 полуг'!D124</f>
        <v>6007236.7599999998</v>
      </c>
      <c r="E138" s="491">
        <f>'[4]3кв'!E115+'[4]1 полуг'!E124</f>
        <v>0</v>
      </c>
      <c r="F138" s="491">
        <f>'[4]1 полуг'!F124+'[4]3кв'!G115</f>
        <v>406395</v>
      </c>
      <c r="G138" s="491">
        <f>'[4]3кв'!H115+'[4]1 полуг'!G124</f>
        <v>495026.03</v>
      </c>
      <c r="H138" s="491"/>
      <c r="I138" s="491">
        <f>'[4]3кв'!I115+'[4]1 полуг'!H124</f>
        <v>0</v>
      </c>
      <c r="J138" s="491">
        <f>'[4]3кв'!L115+'[4]1 полуг'!J124</f>
        <v>169363.59</v>
      </c>
      <c r="K138" s="491">
        <f>'[4]3кв'!M115+'[4]1 полуг'!K124</f>
        <v>2536705.31</v>
      </c>
      <c r="L138" s="491">
        <f>'[4]3кв'!N115+'[4]1 полуг'!L124</f>
        <v>9446371.9900000002</v>
      </c>
      <c r="M138" s="507">
        <f>'[4]1 полуг'!M124+'[4]3кв'!O115</f>
        <v>1807551.3900000001</v>
      </c>
      <c r="N138" s="507">
        <f>'[4]3кв'!P115+'[4]1 полуг'!N124</f>
        <v>67217.459999999992</v>
      </c>
      <c r="O138" s="507">
        <f>'[4]3кв'!Q115+'[4]1 полуг'!O124</f>
        <v>11321140.84</v>
      </c>
      <c r="P138" s="507">
        <f>'[4]3кв'!R115+'[4]1 полуг'!P124</f>
        <v>3012110</v>
      </c>
      <c r="Q138" s="507"/>
      <c r="R138" s="507">
        <f>'[4]3кв'!S115+'[4]1 полуг'!R124</f>
        <v>1236974.8</v>
      </c>
      <c r="S138" s="507">
        <f>'[4]3кв'!T115+'[4]1 полуг'!S124</f>
        <v>779359.2</v>
      </c>
      <c r="T138" s="507">
        <f>C138+F138+G138+J138+K138+L138+M138+N138+P138+R138+S138</f>
        <v>25964311.530000001</v>
      </c>
      <c r="V138" s="364"/>
    </row>
    <row r="139" spans="1:24" ht="15" hidden="1" customHeight="1">
      <c r="A139" s="315"/>
      <c r="B139" s="568"/>
      <c r="C139" s="491">
        <f t="shared" ref="C139:S139" si="70">C136-C138</f>
        <v>-6002620.0188299995</v>
      </c>
      <c r="D139" s="491">
        <f t="shared" si="70"/>
        <v>-6002620.0188299995</v>
      </c>
      <c r="E139" s="491">
        <f t="shared" si="70"/>
        <v>0</v>
      </c>
      <c r="F139" s="491">
        <f t="shared" si="70"/>
        <v>-404556.51195000001</v>
      </c>
      <c r="G139" s="491">
        <f t="shared" si="70"/>
        <v>-494560.49940000003</v>
      </c>
      <c r="H139" s="491">
        <f>H136-H138</f>
        <v>0</v>
      </c>
      <c r="I139" s="491">
        <f t="shared" si="70"/>
        <v>0</v>
      </c>
      <c r="J139" s="491">
        <f t="shared" si="70"/>
        <v>-169208.98105999999</v>
      </c>
      <c r="K139" s="491">
        <f t="shared" si="70"/>
        <v>-2534194.16328</v>
      </c>
      <c r="L139" s="491">
        <f>L136-L138</f>
        <v>-9437679.3657399993</v>
      </c>
      <c r="M139" s="507">
        <f>M136-M138</f>
        <v>-1806986.1138300002</v>
      </c>
      <c r="N139" s="507">
        <f t="shared" si="70"/>
        <v>-66982.253139999986</v>
      </c>
      <c r="O139" s="507">
        <f t="shared" si="70"/>
        <v>-11311647.73271</v>
      </c>
      <c r="P139" s="507">
        <f t="shared" si="70"/>
        <v>-3010452.0649600001</v>
      </c>
      <c r="Q139" s="507"/>
      <c r="R139" s="507">
        <f t="shared" si="70"/>
        <v>-1235967.0259100001</v>
      </c>
      <c r="S139" s="507">
        <f t="shared" si="70"/>
        <v>-778516.6646299999</v>
      </c>
      <c r="T139" s="507">
        <f>C139+F139+G139+J139+K139+L139+M139+N139+P139+R139+S139</f>
        <v>-25941723.662730001</v>
      </c>
    </row>
    <row r="140" spans="1:24" ht="22.5" customHeight="1">
      <c r="A140" s="315"/>
      <c r="B140" s="568"/>
      <c r="C140" s="491"/>
      <c r="D140" s="491"/>
      <c r="E140" s="491"/>
      <c r="F140" s="491"/>
      <c r="G140" s="491"/>
      <c r="H140" s="491"/>
      <c r="I140" s="491"/>
      <c r="J140" s="491"/>
      <c r="K140" s="491"/>
      <c r="L140" s="491"/>
      <c r="M140" s="507"/>
      <c r="N140" s="507"/>
      <c r="O140" s="507"/>
      <c r="P140" s="507"/>
      <c r="Q140" s="507"/>
      <c r="R140" s="507"/>
      <c r="S140" s="507"/>
      <c r="T140" s="507"/>
    </row>
    <row r="141" spans="1:24" ht="15" customHeight="1" thickBot="1">
      <c r="A141" s="315"/>
      <c r="B141" s="568"/>
      <c r="C141" s="493"/>
      <c r="D141" s="494"/>
      <c r="E141" s="494"/>
      <c r="F141" s="494"/>
      <c r="G141" s="494"/>
      <c r="H141" s="494"/>
      <c r="I141" s="494"/>
      <c r="J141" s="494"/>
      <c r="K141" s="494"/>
      <c r="L141" s="494"/>
      <c r="M141" s="494"/>
      <c r="N141" s="494"/>
      <c r="O141" s="493"/>
      <c r="P141" s="494"/>
      <c r="Q141" s="494"/>
      <c r="R141" s="494"/>
      <c r="S141" s="494"/>
      <c r="T141" s="494"/>
    </row>
    <row r="142" spans="1:24" ht="15" hidden="1" customHeight="1" thickBot="1">
      <c r="A142" s="316"/>
      <c r="B142" s="569"/>
      <c r="C142" s="495">
        <f>'[4]1 полуг'!C124+[4]июль!C113+[4]август!C111+[4]сентябрь!C111</f>
        <v>6007236.7599999998</v>
      </c>
      <c r="D142" s="495">
        <f>'[4]1 полуг'!D124+[4]июль!D113+[4]август!D111+[4]сентябрь!D111</f>
        <v>6007236.7599999998</v>
      </c>
      <c r="E142" s="495">
        <f>'[4]1 полуг'!E124+[4]июль!E113+[4]август!E111+[4]сентябрь!E111</f>
        <v>0</v>
      </c>
      <c r="F142" s="630">
        <f>'[4]1 полуг'!F124+[4]июль!F113+[4]август!F111+[4]сентябрь!F111</f>
        <v>406395</v>
      </c>
      <c r="G142" s="495">
        <f>'[4]1 полуг'!G124+[4]июль!G113+[4]август!H111+[4]сентябрь!G111</f>
        <v>495026.03</v>
      </c>
      <c r="H142" s="495">
        <f>'[4]1 полуг'!H124+[4]июль!H113+[4]август!I111+[4]сентябрь!H111</f>
        <v>0</v>
      </c>
      <c r="I142" s="495">
        <f>'[4]1 полуг'!I124+[4]июль!I113+[4]август!J111+[4]сентябрь!I111</f>
        <v>0</v>
      </c>
      <c r="J142" s="495">
        <f>'[4]1 полуг'!J124+[4]июль!J113+[4]август!K111+[4]сентябрь!J111</f>
        <v>169363.59</v>
      </c>
      <c r="K142" s="495">
        <f>'[4]1 полуг'!K124+[4]июль!K113+[4]август!L111+[4]сентябрь!K111</f>
        <v>2536705.31</v>
      </c>
      <c r="L142" s="495">
        <f>'[4]1 полуг'!L124+[4]июль!L113+[4]август!M111+[4]сентябрь!L111</f>
        <v>9446371.9900000002</v>
      </c>
      <c r="M142" s="495">
        <f>'[4]1 полуг'!M124+[4]июль!M113+[4]август!N111+[4]сентябрь!M111</f>
        <v>1807551.3900000001</v>
      </c>
      <c r="N142" s="495">
        <f>'[4]1 полуг'!N124+[4]июль!N113+[4]август!O111+[4]сентябрь!N111</f>
        <v>67217.459999999992</v>
      </c>
      <c r="O142" s="495">
        <f>'[4]1 полуг'!O124+[4]июль!O113+[4]август!P111+[4]сентябрь!O111</f>
        <v>11321140.84</v>
      </c>
      <c r="P142" s="495">
        <f>'[4]1 полуг'!P124+[4]июль!P113+[4]август!Q111+[4]сентябрь!P111</f>
        <v>3012110</v>
      </c>
      <c r="Q142" s="495"/>
      <c r="R142" s="495">
        <f>'[4]1 полуг'!Q124+[4]июль!Q113+[4]сентябрь!Q111</f>
        <v>270546.8</v>
      </c>
      <c r="S142" s="495">
        <f>'[4]1 полуг'!S124+[4]июль!S113+[4]август!T111+[4]сентябрь!S111</f>
        <v>7695294.4299999997</v>
      </c>
      <c r="T142" s="495"/>
    </row>
    <row r="143" spans="1:24" ht="15.75" customHeight="1" thickBot="1">
      <c r="A143" s="316"/>
      <c r="B143" s="569"/>
      <c r="C143" s="496"/>
      <c r="D143" s="496"/>
      <c r="E143" s="497"/>
      <c r="F143" s="497"/>
      <c r="G143" s="497"/>
      <c r="H143" s="497"/>
      <c r="I143" s="497"/>
      <c r="J143" s="497"/>
      <c r="K143" s="497"/>
      <c r="L143" s="496"/>
      <c r="M143" s="496"/>
      <c r="N143" s="497"/>
      <c r="O143" s="990" t="s">
        <v>287</v>
      </c>
      <c r="P143" s="991"/>
      <c r="Q143" s="991"/>
      <c r="R143" s="992"/>
      <c r="S143" s="579"/>
      <c r="T143" s="583">
        <f>T136</f>
        <v>22587.867270000002</v>
      </c>
      <c r="V143" s="366"/>
    </row>
    <row r="144" spans="1:24" ht="12.75" thickBot="1">
      <c r="C144" s="498"/>
      <c r="D144" s="499"/>
      <c r="E144" s="498"/>
      <c r="F144" s="498"/>
      <c r="G144" s="500"/>
      <c r="H144" s="500"/>
      <c r="I144" s="500"/>
      <c r="J144" s="498"/>
      <c r="K144" s="498"/>
      <c r="L144" s="498"/>
      <c r="M144" s="498"/>
      <c r="N144" s="498"/>
      <c r="O144" s="990" t="s">
        <v>963</v>
      </c>
      <c r="P144" s="991"/>
      <c r="Q144" s="991"/>
      <c r="R144" s="992"/>
      <c r="S144" s="581"/>
      <c r="T144" s="580">
        <f>N2+T2-T143</f>
        <v>1070.6413699999976</v>
      </c>
      <c r="V144" s="318"/>
    </row>
    <row r="145" spans="5:20" ht="12" customHeight="1">
      <c r="E145" s="498"/>
      <c r="S145" s="623"/>
      <c r="T145" s="499"/>
    </row>
    <row r="146" spans="5:20" ht="12" customHeight="1">
      <c r="E146" s="498"/>
      <c r="G146" s="626"/>
      <c r="H146" s="502"/>
      <c r="I146" s="502"/>
      <c r="T146" s="499"/>
    </row>
    <row r="147" spans="5:20">
      <c r="T147" s="499"/>
    </row>
    <row r="148" spans="5:20" ht="12" customHeight="1">
      <c r="T148" s="499"/>
    </row>
    <row r="150" spans="5:20">
      <c r="G150" s="626"/>
      <c r="H150" s="502"/>
      <c r="I150" s="502"/>
    </row>
    <row r="152" spans="5:20">
      <c r="O152" s="498" t="s">
        <v>684</v>
      </c>
    </row>
    <row r="153" spans="5:20">
      <c r="T153" s="499"/>
    </row>
    <row r="154" spans="5:20">
      <c r="T154" s="499"/>
    </row>
  </sheetData>
  <mergeCells count="25">
    <mergeCell ref="R3:R4"/>
    <mergeCell ref="S3:S4"/>
    <mergeCell ref="R1:T1"/>
    <mergeCell ref="K3:K4"/>
    <mergeCell ref="L3:L4"/>
    <mergeCell ref="M3:M4"/>
    <mergeCell ref="N3:N4"/>
    <mergeCell ref="O3:O4"/>
    <mergeCell ref="T3:T4"/>
    <mergeCell ref="O143:R143"/>
    <mergeCell ref="O144:R144"/>
    <mergeCell ref="A2:G2"/>
    <mergeCell ref="J2:L2"/>
    <mergeCell ref="N2:O2"/>
    <mergeCell ref="P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P3:P4"/>
  </mergeCells>
  <pageMargins left="0.2" right="0" top="0" bottom="0" header="0" footer="0"/>
  <pageSetup paperSize="9" scale="6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112" customWidth="1"/>
    <col min="2" max="3" width="9.140625" style="112"/>
    <col min="4" max="4" width="7.140625" style="112" customWidth="1"/>
    <col min="5" max="5" width="9.140625" style="112" customWidth="1"/>
    <col min="6" max="6" width="6.28515625" style="112" customWidth="1"/>
    <col min="7" max="7" width="4" style="147" customWidth="1"/>
    <col min="8" max="8" width="0.85546875" style="112" customWidth="1"/>
    <col min="9" max="9" width="7.85546875" style="112" customWidth="1"/>
    <col min="10" max="10" width="6.28515625" style="112" customWidth="1"/>
    <col min="11" max="11" width="3.28515625" style="112" customWidth="1"/>
    <col min="12" max="12" width="6" style="112" customWidth="1"/>
    <col min="13" max="13" width="7.85546875" style="112" customWidth="1"/>
    <col min="14" max="14" width="7" style="112" customWidth="1"/>
    <col min="15" max="15" width="3" style="112" customWidth="1"/>
    <col min="16" max="16" width="6.28515625" style="112" customWidth="1"/>
    <col min="17" max="17" width="8.42578125" style="112" customWidth="1"/>
    <col min="18" max="18" width="6.7109375" style="112" customWidth="1"/>
    <col min="19" max="19" width="4" style="112" customWidth="1"/>
    <col min="20" max="20" width="6.140625" style="112" customWidth="1"/>
    <col min="21" max="21" width="8" style="112" customWidth="1"/>
    <col min="22" max="22" width="6.42578125" style="112" customWidth="1"/>
    <col min="23" max="23" width="4" style="112" customWidth="1"/>
    <col min="24" max="24" width="5.42578125" style="112" customWidth="1"/>
    <col min="25" max="25" width="7.42578125" style="112" customWidth="1"/>
    <col min="26" max="26" width="6.5703125" style="112" customWidth="1"/>
    <col min="27" max="27" width="4" style="112" customWidth="1"/>
    <col min="28" max="28" width="5.7109375" style="112" customWidth="1"/>
    <col min="29" max="29" width="8" style="112" customWidth="1"/>
    <col min="30" max="30" width="7.28515625" style="112" customWidth="1"/>
    <col min="31" max="31" width="4" style="112" customWidth="1"/>
    <col min="32" max="32" width="6.42578125" style="112" customWidth="1"/>
    <col min="33" max="33" width="8.85546875" style="112" customWidth="1"/>
    <col min="34" max="34" width="8.42578125" style="112" customWidth="1"/>
    <col min="35" max="35" width="4" style="112" customWidth="1"/>
    <col min="36" max="36" width="6.42578125" style="112" customWidth="1"/>
    <col min="37" max="37" width="5.7109375" style="112" customWidth="1"/>
    <col min="38" max="38" width="6.85546875" style="112" customWidth="1"/>
    <col min="39" max="39" width="4" style="112" customWidth="1"/>
    <col min="40" max="40" width="4.7109375" style="112" customWidth="1"/>
    <col min="41" max="41" width="5.7109375" style="112" customWidth="1"/>
    <col min="42" max="42" width="7.28515625" style="112" customWidth="1"/>
    <col min="43" max="43" width="4" style="112" customWidth="1"/>
    <col min="44" max="44" width="4.42578125" style="112" customWidth="1"/>
    <col min="45" max="45" width="5.42578125" style="112" customWidth="1"/>
    <col min="46" max="46" width="6" style="112" customWidth="1"/>
    <col min="47" max="47" width="4" style="112" customWidth="1"/>
    <col min="48" max="48" width="5.140625" style="112" customWidth="1"/>
    <col min="49" max="49" width="7.140625" style="112" customWidth="1"/>
    <col min="50" max="50" width="5.42578125" style="112" customWidth="1"/>
    <col min="51" max="51" width="3.7109375" style="112" customWidth="1"/>
    <col min="52" max="52" width="5.42578125" style="112" customWidth="1"/>
    <col min="53" max="53" width="8.7109375" style="112" customWidth="1"/>
    <col min="54" max="54" width="6.85546875" style="112" customWidth="1"/>
    <col min="55" max="55" width="4" style="112" customWidth="1"/>
    <col min="56" max="56" width="4.7109375" style="112" customWidth="1"/>
    <col min="57" max="57" width="6" style="112" customWidth="1"/>
    <col min="58" max="58" width="6.140625" style="112" customWidth="1"/>
    <col min="59" max="60" width="4" style="112" customWidth="1"/>
    <col min="61" max="61" width="5" style="112" customWidth="1"/>
    <col min="62" max="64" width="4" style="112" customWidth="1"/>
    <col min="65" max="65" width="6" style="112" customWidth="1"/>
    <col min="66" max="66" width="4.7109375" style="112" customWidth="1"/>
    <col min="67" max="67" width="3.85546875" style="112" customWidth="1"/>
    <col min="68" max="68" width="4" style="112" customWidth="1"/>
    <col min="69" max="69" width="5" style="112" customWidth="1"/>
    <col min="70" max="70" width="4.7109375" style="112" customWidth="1"/>
    <col min="71" max="71" width="5" style="112" customWidth="1"/>
    <col min="72" max="72" width="4" style="112" customWidth="1"/>
    <col min="73" max="73" width="5.140625" style="112" customWidth="1"/>
    <col min="74" max="74" width="6.5703125" style="112" customWidth="1"/>
    <col min="75" max="75" width="4" style="112" customWidth="1"/>
    <col min="76" max="76" width="5" style="148" customWidth="1"/>
    <col min="77" max="77" width="4.5703125" style="129" customWidth="1"/>
    <col min="78" max="78" width="4.42578125" style="129" customWidth="1"/>
    <col min="79" max="80" width="4" style="129" customWidth="1"/>
    <col min="81" max="81" width="6" style="129" customWidth="1"/>
    <col min="82" max="82" width="4.42578125" style="129" customWidth="1"/>
    <col min="83" max="84" width="4" style="129" customWidth="1"/>
    <col min="85" max="85" width="8.85546875" style="112" customWidth="1"/>
    <col min="86" max="86" width="7.42578125" style="112" customWidth="1"/>
    <col min="87" max="87" width="4" style="112" customWidth="1"/>
    <col min="88" max="88" width="7" style="112" customWidth="1"/>
    <col min="89" max="92" width="9.140625" style="112" customWidth="1"/>
    <col min="93" max="16384" width="9.140625" style="112"/>
  </cols>
  <sheetData>
    <row r="1" spans="1:128" ht="18.75">
      <c r="A1" s="1011" t="s">
        <v>625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1011"/>
      <c r="Z1" s="1011"/>
      <c r="AA1" s="1011"/>
      <c r="AB1" s="1011"/>
      <c r="AC1" s="1011"/>
      <c r="AD1" s="1011"/>
      <c r="AE1" s="1011"/>
      <c r="AF1" s="1011"/>
      <c r="AG1" s="1011"/>
      <c r="AH1" s="1011"/>
      <c r="AI1" s="1011"/>
      <c r="AJ1" s="1011"/>
      <c r="AK1" s="1011"/>
      <c r="AL1" s="1011"/>
      <c r="AM1" s="1011"/>
      <c r="AN1" s="1011"/>
      <c r="AO1" s="1011"/>
      <c r="AP1" s="1011"/>
      <c r="AQ1" s="1011"/>
      <c r="AR1" s="1011"/>
      <c r="AS1" s="1011"/>
      <c r="AT1" s="1011"/>
      <c r="AU1" s="1011"/>
      <c r="AV1" s="1011"/>
      <c r="AW1" s="1011"/>
      <c r="AX1" s="1011"/>
      <c r="AY1" s="1011"/>
      <c r="AZ1" s="1011"/>
      <c r="BA1" s="1011"/>
      <c r="BB1" s="1011"/>
      <c r="BC1" s="1011"/>
      <c r="BD1" s="1011"/>
      <c r="BE1" s="1011"/>
      <c r="BF1" s="1011"/>
      <c r="BG1" s="1011"/>
      <c r="BH1" s="1011"/>
      <c r="BI1" s="1011"/>
      <c r="BJ1" s="1011"/>
      <c r="BK1" s="1011"/>
      <c r="BL1" s="1011"/>
      <c r="BM1" s="1011"/>
      <c r="BN1" s="1011"/>
      <c r="BO1" s="1011"/>
      <c r="BP1" s="1011"/>
      <c r="BQ1" s="1011"/>
      <c r="BR1" s="1011"/>
      <c r="BS1" s="1011"/>
      <c r="BT1" s="1011"/>
      <c r="BU1" s="1011"/>
      <c r="BV1" s="1011"/>
      <c r="BW1" s="1011"/>
      <c r="BX1" s="1011"/>
      <c r="BY1" s="1011"/>
      <c r="BZ1" s="1011"/>
      <c r="CA1" s="1011"/>
      <c r="CB1" s="1011"/>
      <c r="CC1" s="1011"/>
      <c r="CD1" s="1011"/>
      <c r="CE1" s="1011"/>
      <c r="CF1" s="1011"/>
      <c r="CG1" s="1011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9"/>
      <c r="DR1" s="129"/>
      <c r="DS1" s="129"/>
      <c r="DT1" s="129"/>
      <c r="DU1" s="129"/>
      <c r="DV1" s="129"/>
      <c r="DW1" s="129"/>
      <c r="DX1" s="129"/>
    </row>
    <row r="2" spans="1:128" s="131" customForma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128"/>
      <c r="Y2" s="280"/>
      <c r="Z2" s="280"/>
      <c r="AA2" s="128"/>
      <c r="AB2" s="128"/>
      <c r="AC2" s="280"/>
      <c r="AD2" s="280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280"/>
      <c r="BR2" s="280"/>
      <c r="BS2" s="128"/>
      <c r="BT2" s="128"/>
      <c r="BU2" s="280"/>
      <c r="BV2" s="280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 t="s">
        <v>257</v>
      </c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9"/>
      <c r="DR2" s="129"/>
      <c r="DS2" s="129"/>
      <c r="DT2" s="129"/>
      <c r="DU2" s="129"/>
      <c r="DV2" s="129"/>
      <c r="DW2" s="129"/>
      <c r="DX2" s="129"/>
    </row>
    <row r="3" spans="1:128" s="133" customFormat="1" ht="54" customHeight="1">
      <c r="A3" s="911"/>
      <c r="B3" s="911"/>
      <c r="C3" s="911"/>
      <c r="D3" s="911"/>
      <c r="E3" s="1007" t="s">
        <v>187</v>
      </c>
      <c r="F3" s="1007"/>
      <c r="G3" s="1007"/>
      <c r="H3" s="1007"/>
      <c r="I3" s="1007" t="s">
        <v>188</v>
      </c>
      <c r="J3" s="1007"/>
      <c r="K3" s="1007"/>
      <c r="L3" s="1007"/>
      <c r="M3" s="1007" t="s">
        <v>189</v>
      </c>
      <c r="N3" s="1007"/>
      <c r="O3" s="1007"/>
      <c r="P3" s="1007"/>
      <c r="Q3" s="1007" t="s">
        <v>190</v>
      </c>
      <c r="R3" s="1007"/>
      <c r="S3" s="1007"/>
      <c r="T3" s="1007"/>
      <c r="U3" s="1007" t="s">
        <v>191</v>
      </c>
      <c r="V3" s="1007"/>
      <c r="W3" s="1007"/>
      <c r="X3" s="1007"/>
      <c r="Y3" s="1007" t="s">
        <v>192</v>
      </c>
      <c r="Z3" s="1007"/>
      <c r="AA3" s="1007"/>
      <c r="AB3" s="1007"/>
      <c r="AC3" s="1007" t="s">
        <v>193</v>
      </c>
      <c r="AD3" s="1007"/>
      <c r="AE3" s="1007"/>
      <c r="AF3" s="1007"/>
      <c r="AG3" s="1008" t="s">
        <v>194</v>
      </c>
      <c r="AH3" s="1009"/>
      <c r="AI3" s="1009"/>
      <c r="AJ3" s="1010"/>
      <c r="AK3" s="1004" t="s">
        <v>288</v>
      </c>
      <c r="AL3" s="1005"/>
      <c r="AM3" s="1005"/>
      <c r="AN3" s="1006"/>
      <c r="AO3" s="1004" t="s">
        <v>402</v>
      </c>
      <c r="AP3" s="1005"/>
      <c r="AQ3" s="1005"/>
      <c r="AR3" s="1006"/>
      <c r="AS3" s="1004" t="s">
        <v>403</v>
      </c>
      <c r="AT3" s="1005"/>
      <c r="AU3" s="1005"/>
      <c r="AV3" s="1006"/>
      <c r="AW3" s="1004" t="s">
        <v>404</v>
      </c>
      <c r="AX3" s="1005"/>
      <c r="AY3" s="1005"/>
      <c r="AZ3" s="1006"/>
      <c r="BA3" s="1008" t="s">
        <v>406</v>
      </c>
      <c r="BB3" s="1009"/>
      <c r="BC3" s="1009"/>
      <c r="BD3" s="1010"/>
      <c r="BE3" s="1004" t="s">
        <v>611</v>
      </c>
      <c r="BF3" s="1005"/>
      <c r="BG3" s="1005"/>
      <c r="BH3" s="1006"/>
      <c r="BI3" s="1004" t="s">
        <v>421</v>
      </c>
      <c r="BJ3" s="1005"/>
      <c r="BK3" s="1005"/>
      <c r="BL3" s="1006"/>
      <c r="BM3" s="1004" t="s">
        <v>405</v>
      </c>
      <c r="BN3" s="1005"/>
      <c r="BO3" s="1005"/>
      <c r="BP3" s="1006"/>
      <c r="BQ3" s="1007" t="s">
        <v>71</v>
      </c>
      <c r="BR3" s="1007"/>
      <c r="BS3" s="1007"/>
      <c r="BT3" s="1007"/>
      <c r="BU3" s="1007" t="s">
        <v>624</v>
      </c>
      <c r="BV3" s="1007"/>
      <c r="BW3" s="1007"/>
      <c r="BX3" s="1004"/>
      <c r="BY3" s="1004" t="s">
        <v>400</v>
      </c>
      <c r="BZ3" s="1005"/>
      <c r="CA3" s="1005"/>
      <c r="CB3" s="1006"/>
      <c r="CC3" s="1004" t="s">
        <v>621</v>
      </c>
      <c r="CD3" s="1005"/>
      <c r="CE3" s="1005"/>
      <c r="CF3" s="1006"/>
      <c r="CG3" s="1008" t="s">
        <v>195</v>
      </c>
      <c r="CH3" s="1009"/>
      <c r="CI3" s="1009"/>
      <c r="CJ3" s="1010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</row>
    <row r="4" spans="1:128" s="133" customFormat="1" ht="27" customHeight="1">
      <c r="A4" s="134" t="s">
        <v>196</v>
      </c>
      <c r="B4" s="911" t="s">
        <v>197</v>
      </c>
      <c r="C4" s="911"/>
      <c r="D4" s="911"/>
      <c r="E4" s="135" t="s">
        <v>68</v>
      </c>
      <c r="F4" s="135" t="s">
        <v>69</v>
      </c>
      <c r="G4" s="135" t="s">
        <v>70</v>
      </c>
      <c r="H4" s="135" t="s">
        <v>198</v>
      </c>
      <c r="I4" s="135" t="s">
        <v>68</v>
      </c>
      <c r="J4" s="135" t="s">
        <v>69</v>
      </c>
      <c r="K4" s="135" t="s">
        <v>70</v>
      </c>
      <c r="L4" s="135" t="s">
        <v>198</v>
      </c>
      <c r="M4" s="135" t="s">
        <v>68</v>
      </c>
      <c r="N4" s="135" t="s">
        <v>69</v>
      </c>
      <c r="O4" s="135" t="s">
        <v>70</v>
      </c>
      <c r="P4" s="135" t="s">
        <v>199</v>
      </c>
      <c r="Q4" s="135" t="s">
        <v>68</v>
      </c>
      <c r="R4" s="135" t="s">
        <v>69</v>
      </c>
      <c r="S4" s="135" t="s">
        <v>70</v>
      </c>
      <c r="T4" s="135" t="s">
        <v>198</v>
      </c>
      <c r="U4" s="135" t="s">
        <v>68</v>
      </c>
      <c r="V4" s="135" t="s">
        <v>69</v>
      </c>
      <c r="W4" s="135" t="s">
        <v>70</v>
      </c>
      <c r="X4" s="135" t="s">
        <v>198</v>
      </c>
      <c r="Y4" s="135" t="s">
        <v>68</v>
      </c>
      <c r="Z4" s="135" t="s">
        <v>69</v>
      </c>
      <c r="AA4" s="135" t="s">
        <v>70</v>
      </c>
      <c r="AB4" s="135" t="s">
        <v>242</v>
      </c>
      <c r="AC4" s="135" t="s">
        <v>68</v>
      </c>
      <c r="AD4" s="135" t="s">
        <v>69</v>
      </c>
      <c r="AE4" s="135" t="s">
        <v>70</v>
      </c>
      <c r="AF4" s="135" t="s">
        <v>198</v>
      </c>
      <c r="AG4" s="282" t="s">
        <v>68</v>
      </c>
      <c r="AH4" s="282" t="s">
        <v>69</v>
      </c>
      <c r="AI4" s="282" t="s">
        <v>70</v>
      </c>
      <c r="AJ4" s="282" t="s">
        <v>198</v>
      </c>
      <c r="AK4" s="135" t="s">
        <v>68</v>
      </c>
      <c r="AL4" s="135" t="s">
        <v>69</v>
      </c>
      <c r="AM4" s="135" t="s">
        <v>70</v>
      </c>
      <c r="AN4" s="135" t="s">
        <v>198</v>
      </c>
      <c r="AO4" s="135" t="s">
        <v>68</v>
      </c>
      <c r="AP4" s="135" t="s">
        <v>69</v>
      </c>
      <c r="AQ4" s="135" t="s">
        <v>70</v>
      </c>
      <c r="AR4" s="135" t="s">
        <v>198</v>
      </c>
      <c r="AS4" s="135" t="s">
        <v>68</v>
      </c>
      <c r="AT4" s="135" t="s">
        <v>69</v>
      </c>
      <c r="AU4" s="135" t="s">
        <v>70</v>
      </c>
      <c r="AV4" s="135" t="s">
        <v>198</v>
      </c>
      <c r="AW4" s="135" t="s">
        <v>68</v>
      </c>
      <c r="AX4" s="135" t="s">
        <v>69</v>
      </c>
      <c r="AY4" s="135" t="s">
        <v>70</v>
      </c>
      <c r="AZ4" s="135" t="s">
        <v>198</v>
      </c>
      <c r="BA4" s="282" t="s">
        <v>68</v>
      </c>
      <c r="BB4" s="282" t="s">
        <v>69</v>
      </c>
      <c r="BC4" s="282" t="s">
        <v>70</v>
      </c>
      <c r="BD4" s="282" t="s">
        <v>198</v>
      </c>
      <c r="BE4" s="135" t="s">
        <v>68</v>
      </c>
      <c r="BF4" s="135" t="s">
        <v>69</v>
      </c>
      <c r="BG4" s="135" t="s">
        <v>70</v>
      </c>
      <c r="BH4" s="135" t="s">
        <v>198</v>
      </c>
      <c r="BI4" s="135" t="s">
        <v>68</v>
      </c>
      <c r="BJ4" s="135" t="s">
        <v>69</v>
      </c>
      <c r="BK4" s="135" t="s">
        <v>70</v>
      </c>
      <c r="BL4" s="135" t="s">
        <v>198</v>
      </c>
      <c r="BM4" s="135" t="s">
        <v>68</v>
      </c>
      <c r="BN4" s="135" t="s">
        <v>69</v>
      </c>
      <c r="BO4" s="135" t="s">
        <v>70</v>
      </c>
      <c r="BP4" s="135" t="s">
        <v>198</v>
      </c>
      <c r="BQ4" s="135" t="s">
        <v>68</v>
      </c>
      <c r="BR4" s="135" t="s">
        <v>69</v>
      </c>
      <c r="BS4" s="135" t="s">
        <v>70</v>
      </c>
      <c r="BT4" s="135" t="s">
        <v>198</v>
      </c>
      <c r="BU4" s="135" t="s">
        <v>68</v>
      </c>
      <c r="BV4" s="135" t="s">
        <v>69</v>
      </c>
      <c r="BW4" s="135" t="s">
        <v>70</v>
      </c>
      <c r="BX4" s="135" t="s">
        <v>198</v>
      </c>
      <c r="BY4" s="135" t="s">
        <v>68</v>
      </c>
      <c r="BZ4" s="135" t="s">
        <v>69</v>
      </c>
      <c r="CA4" s="135" t="s">
        <v>70</v>
      </c>
      <c r="CB4" s="135" t="s">
        <v>200</v>
      </c>
      <c r="CC4" s="135" t="s">
        <v>68</v>
      </c>
      <c r="CD4" s="135" t="s">
        <v>69</v>
      </c>
      <c r="CE4" s="135" t="s">
        <v>70</v>
      </c>
      <c r="CF4" s="135" t="s">
        <v>200</v>
      </c>
      <c r="CG4" s="293" t="s">
        <v>68</v>
      </c>
      <c r="CH4" s="293" t="s">
        <v>69</v>
      </c>
      <c r="CI4" s="293" t="s">
        <v>70</v>
      </c>
      <c r="CJ4" s="282" t="s">
        <v>200</v>
      </c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</row>
    <row r="5" spans="1:128" s="137" customFormat="1">
      <c r="A5" s="114">
        <v>200</v>
      </c>
      <c r="B5" s="869" t="s">
        <v>201</v>
      </c>
      <c r="C5" s="870"/>
      <c r="D5" s="871"/>
      <c r="E5" s="113">
        <f>E7+E9+E10+E45+E6</f>
        <v>138</v>
      </c>
      <c r="F5" s="113">
        <f>F7+F9+F10+F45+F6</f>
        <v>0</v>
      </c>
      <c r="G5" s="113">
        <f>F5/E5*100</f>
        <v>0</v>
      </c>
      <c r="H5" s="113">
        <f t="shared" ref="H5:H46" si="0">F5-E5</f>
        <v>-138</v>
      </c>
      <c r="I5" s="113">
        <f>I7+I9+I10+I45</f>
        <v>173</v>
      </c>
      <c r="J5" s="113">
        <f>J7+J9+J10+J45</f>
        <v>0</v>
      </c>
      <c r="K5" s="113">
        <f>J5/I5*100</f>
        <v>0</v>
      </c>
      <c r="L5" s="114"/>
      <c r="M5" s="113">
        <f>M7+M9+M10+M45</f>
        <v>253</v>
      </c>
      <c r="N5" s="113">
        <f>N7+N9+N10+N45</f>
        <v>0</v>
      </c>
      <c r="O5" s="113">
        <f>N5/M5*100</f>
        <v>0</v>
      </c>
      <c r="P5" s="114">
        <f>N5-M5</f>
        <v>-253</v>
      </c>
      <c r="Q5" s="113">
        <f>Q7+Q9+Q10+Q45+Q6</f>
        <v>255</v>
      </c>
      <c r="R5" s="113">
        <f>R7+R9+R10+R45+R6</f>
        <v>0</v>
      </c>
      <c r="S5" s="113">
        <f>R5/Q5*100</f>
        <v>0</v>
      </c>
      <c r="T5" s="113">
        <f>R5-Q5</f>
        <v>-255</v>
      </c>
      <c r="U5" s="113">
        <f>U7+U9+U10+U45</f>
        <v>191</v>
      </c>
      <c r="V5" s="113">
        <f>V7+V9+V10+V45</f>
        <v>0</v>
      </c>
      <c r="W5" s="113">
        <f>V5/U5*100</f>
        <v>0</v>
      </c>
      <c r="X5" s="114">
        <f>V5-U5</f>
        <v>-191</v>
      </c>
      <c r="Y5" s="113">
        <f>Y7+Y9+Y10+Y45</f>
        <v>189</v>
      </c>
      <c r="Z5" s="113">
        <f>Z7+Z9+Z10+Z45</f>
        <v>0</v>
      </c>
      <c r="AA5" s="113">
        <f>Z5/Y5*100</f>
        <v>0</v>
      </c>
      <c r="AB5" s="114">
        <f t="shared" ref="AB5:AB19" si="1">Z5-Y5</f>
        <v>-189</v>
      </c>
      <c r="AC5" s="113">
        <f>AC7+AC9+AC10+AC45</f>
        <v>173</v>
      </c>
      <c r="AD5" s="113">
        <f>AD7+AD9+AD10+AD45</f>
        <v>0</v>
      </c>
      <c r="AE5" s="113">
        <f>AD5/AC5*100</f>
        <v>0</v>
      </c>
      <c r="AF5" s="114">
        <f t="shared" ref="AF5:AF19" si="2">AD5-AC5</f>
        <v>-173</v>
      </c>
      <c r="AG5" s="283">
        <f t="shared" ref="AG5:AH65" si="3">E5+I5+M5+Q5+U5+Y5+AC5</f>
        <v>1372</v>
      </c>
      <c r="AH5" s="283">
        <f>AH7+AH9+AH10+AH45+AH6</f>
        <v>0</v>
      </c>
      <c r="AI5" s="283">
        <f>AH5/AG5*100</f>
        <v>0</v>
      </c>
      <c r="AJ5" s="283">
        <f>AH5-AG5</f>
        <v>-1372</v>
      </c>
      <c r="AK5" s="113">
        <f>AK7+AK9+AK10+AK45</f>
        <v>30</v>
      </c>
      <c r="AL5" s="113">
        <f>AL7+AL9+AL10+AL45</f>
        <v>0</v>
      </c>
      <c r="AM5" s="113">
        <f>AL5/AK5*100</f>
        <v>0</v>
      </c>
      <c r="AN5" s="113">
        <f t="shared" ref="AN5:AN17" si="4">AL5-AK5</f>
        <v>-30</v>
      </c>
      <c r="AO5" s="113">
        <f>AO7+AO9+AO10+AO45</f>
        <v>20</v>
      </c>
      <c r="AP5" s="113">
        <f>AP7+AP9+AP10+AP45</f>
        <v>0</v>
      </c>
      <c r="AQ5" s="113">
        <f>AP5/AO5*100</f>
        <v>0</v>
      </c>
      <c r="AR5" s="113">
        <f t="shared" ref="AR5:AR13" si="5">AP5-AO5</f>
        <v>-20</v>
      </c>
      <c r="AS5" s="113">
        <f>AS7+AS9+AS10+AS45+AS6</f>
        <v>30</v>
      </c>
      <c r="AT5" s="113">
        <f>AT7+AT9+AT10+AT45+AT6</f>
        <v>0</v>
      </c>
      <c r="AU5" s="113">
        <f>AT5/AS5*100</f>
        <v>0</v>
      </c>
      <c r="AV5" s="113">
        <f t="shared" ref="AV5:AV13" si="6">AT5-AS5</f>
        <v>-30</v>
      </c>
      <c r="AW5" s="113">
        <f>AW7+AW9+AW10+AW45</f>
        <v>30</v>
      </c>
      <c r="AX5" s="113">
        <f>AX7+AX9+AX10+AX45</f>
        <v>0</v>
      </c>
      <c r="AY5" s="113">
        <f>AX5/AW5*100</f>
        <v>0</v>
      </c>
      <c r="AZ5" s="113">
        <f t="shared" ref="AZ5:AZ13" si="7">AX5-AW5</f>
        <v>-30</v>
      </c>
      <c r="BA5" s="283">
        <f t="shared" ref="BA5:BB65" si="8">AK5+AO5+AS5+AW5</f>
        <v>110</v>
      </c>
      <c r="BB5" s="283">
        <f>BB7+BB9+BB10+BB45</f>
        <v>0</v>
      </c>
      <c r="BC5" s="283">
        <f>BB5/BA5*100</f>
        <v>0</v>
      </c>
      <c r="BD5" s="283">
        <f t="shared" ref="BD5:BD13" si="9">BB5-BA5</f>
        <v>-110</v>
      </c>
      <c r="BE5" s="113">
        <f>BE7+BE9+BE10+BE45</f>
        <v>10</v>
      </c>
      <c r="BF5" s="113">
        <f>BF7+BF9+BF10+BF45</f>
        <v>3.6999999999999998E-2</v>
      </c>
      <c r="BG5" s="113">
        <f>BF5/BE5*100</f>
        <v>0.37</v>
      </c>
      <c r="BH5" s="113">
        <f t="shared" ref="BH5:BH13" si="10">BF5-BE5</f>
        <v>-9.9629999999999992</v>
      </c>
      <c r="BI5" s="113">
        <f>BI7+BI9+BI10+BI45</f>
        <v>15</v>
      </c>
      <c r="BJ5" s="113">
        <f>BJ7+BJ9+BJ10+BJ45</f>
        <v>0</v>
      </c>
      <c r="BK5" s="113">
        <f>BJ5/BI5*100</f>
        <v>0</v>
      </c>
      <c r="BL5" s="113">
        <f>BJ5-BI5</f>
        <v>-15</v>
      </c>
      <c r="BM5" s="113">
        <f>BM7+BM9+BM10+BM45</f>
        <v>15</v>
      </c>
      <c r="BN5" s="113">
        <f>BN7+BN9+BN10+BN45</f>
        <v>0</v>
      </c>
      <c r="BO5" s="113">
        <f>BN5/BM5*100</f>
        <v>0</v>
      </c>
      <c r="BP5" s="113">
        <f>BN5-BM5</f>
        <v>-15</v>
      </c>
      <c r="BQ5" s="113">
        <f>BQ7+BQ9+BQ10+BQ45</f>
        <v>31</v>
      </c>
      <c r="BR5" s="113">
        <f>BR7+BR9+BR10+BR45</f>
        <v>0</v>
      </c>
      <c r="BS5" s="113">
        <f t="shared" ref="BS5:BS13" si="11">BR5/BQ5*100</f>
        <v>0</v>
      </c>
      <c r="BT5" s="114">
        <f>BR5-BQ5</f>
        <v>-31</v>
      </c>
      <c r="BU5" s="113">
        <f>BU7+BU9+BU10+BU45</f>
        <v>900</v>
      </c>
      <c r="BV5" s="78">
        <f>BV7+BV9+BV10+BV45</f>
        <v>0</v>
      </c>
      <c r="BW5" s="115">
        <f>BV5/BU5*100</f>
        <v>0</v>
      </c>
      <c r="BX5" s="114">
        <f>BV5-BU5</f>
        <v>-900</v>
      </c>
      <c r="BY5" s="78">
        <f>BY7+BY9+BY10+BY45</f>
        <v>20.5</v>
      </c>
      <c r="BZ5" s="78">
        <f>BZ7+BZ9+BZ10+BZ45</f>
        <v>0</v>
      </c>
      <c r="CA5" s="115">
        <f>BZ5/BY5*100</f>
        <v>0</v>
      </c>
      <c r="CB5" s="114">
        <f>BZ5-BY5</f>
        <v>-20.5</v>
      </c>
      <c r="CC5" s="78">
        <f>CC7+CC9+CC10+CC45</f>
        <v>53.244999999999997</v>
      </c>
      <c r="CD5" s="78">
        <f>CD7+CD9+CD10+CD45</f>
        <v>0</v>
      </c>
      <c r="CE5" s="115">
        <f>CD5/CC5*100</f>
        <v>0</v>
      </c>
      <c r="CF5" s="114">
        <f>CD5-CC5</f>
        <v>-53.244999999999997</v>
      </c>
      <c r="CG5" s="283">
        <f t="shared" ref="CG5:CG10" si="12">AG5+BA5+BE5+BI5+BM5+BQ5+BU5+BY5</f>
        <v>2473.5</v>
      </c>
      <c r="CH5" s="283">
        <f>CH7+CH9+CH10+CH45+CH6</f>
        <v>3.6999999999999998E-2</v>
      </c>
      <c r="CI5" s="283">
        <f t="shared" ref="CI5:CI66" si="13">CH5/CG5*100</f>
        <v>1.4958560743885182E-3</v>
      </c>
      <c r="CJ5" s="283">
        <f t="shared" ref="CJ5:CJ66" si="14">CH5-CG5</f>
        <v>-2473.4630000000002</v>
      </c>
      <c r="CL5" s="137">
        <f>F5+J5+N5+R5+V5+Z5+AD5+AL5+AP5+AT5+AX5+BF5+BJ5+BN5+BR5+BV5+BZ5</f>
        <v>3.6999999999999998E-2</v>
      </c>
      <c r="CM5" s="137">
        <f>E5+I5+M5+Q5+U5+Y5+AC5+AG5+AK5+AO5+AS5+AW5+BE5+BI5+BM5+BQ5+BU5+BY5-AG5</f>
        <v>2473.5</v>
      </c>
      <c r="CO5" s="146">
        <f t="shared" ref="CO5:CO65" si="15">F5+J5+N5+R5+V5+Z5+AD5+AL5+AP5+AT5+AX5+BF5+BJ5+BN5+BR5+BV5+BZ5</f>
        <v>3.6999999999999998E-2</v>
      </c>
    </row>
    <row r="6" spans="1:128" s="137" customFormat="1" hidden="1">
      <c r="A6" s="114">
        <v>211</v>
      </c>
      <c r="B6" s="276" t="s">
        <v>420</v>
      </c>
      <c r="C6" s="277"/>
      <c r="D6" s="278"/>
      <c r="E6" s="113">
        <v>0</v>
      </c>
      <c r="F6" s="113">
        <v>0</v>
      </c>
      <c r="G6" s="113" t="e">
        <f>F6/E6*100</f>
        <v>#DIV/0!</v>
      </c>
      <c r="H6" s="113">
        <f t="shared" si="0"/>
        <v>0</v>
      </c>
      <c r="I6" s="113"/>
      <c r="J6" s="113"/>
      <c r="K6" s="113"/>
      <c r="L6" s="114"/>
      <c r="M6" s="113"/>
      <c r="N6" s="113"/>
      <c r="O6" s="113"/>
      <c r="P6" s="114"/>
      <c r="Q6" s="113"/>
      <c r="R6" s="113"/>
      <c r="S6" s="113"/>
      <c r="T6" s="113"/>
      <c r="U6" s="113"/>
      <c r="V6" s="113"/>
      <c r="W6" s="113"/>
      <c r="X6" s="114"/>
      <c r="Y6" s="113"/>
      <c r="Z6" s="113"/>
      <c r="AA6" s="113"/>
      <c r="AB6" s="114"/>
      <c r="AC6" s="113"/>
      <c r="AD6" s="113"/>
      <c r="AE6" s="113"/>
      <c r="AF6" s="114"/>
      <c r="AG6" s="283">
        <f t="shared" si="3"/>
        <v>0</v>
      </c>
      <c r="AH6" s="283">
        <f>F6+R6</f>
        <v>0</v>
      </c>
      <c r="AI6" s="283" t="e">
        <f>AH6/AG6*100</f>
        <v>#DIV/0!</v>
      </c>
      <c r="AJ6" s="283">
        <f>AH6-AG6</f>
        <v>0</v>
      </c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 t="e">
        <f>AT6/AS6*100</f>
        <v>#DIV/0!</v>
      </c>
      <c r="AV6" s="113">
        <f t="shared" si="6"/>
        <v>0</v>
      </c>
      <c r="AW6" s="113"/>
      <c r="AX6" s="113"/>
      <c r="AY6" s="113"/>
      <c r="AZ6" s="113"/>
      <c r="BA6" s="283">
        <f t="shared" si="8"/>
        <v>0</v>
      </c>
      <c r="BB6" s="283"/>
      <c r="BC6" s="283"/>
      <c r="BD6" s="28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4"/>
      <c r="BU6" s="113"/>
      <c r="BV6" s="78"/>
      <c r="BW6" s="115"/>
      <c r="BX6" s="114"/>
      <c r="BY6" s="113"/>
      <c r="BZ6" s="113"/>
      <c r="CA6" s="115"/>
      <c r="CB6" s="114"/>
      <c r="CC6" s="113"/>
      <c r="CD6" s="113"/>
      <c r="CE6" s="115"/>
      <c r="CF6" s="114"/>
      <c r="CG6" s="283">
        <f t="shared" si="12"/>
        <v>0</v>
      </c>
      <c r="CH6" s="283">
        <f>F6+R6+AT6</f>
        <v>0</v>
      </c>
      <c r="CI6" s="283" t="e">
        <f t="shared" si="13"/>
        <v>#DIV/0!</v>
      </c>
      <c r="CJ6" s="283">
        <f t="shared" si="14"/>
        <v>0</v>
      </c>
      <c r="CL6" s="137">
        <f t="shared" ref="CL6:CL66" si="16">F6+J6+N6+R6+V6+Z6+AD6+AL6+AP6+AT6+AX6+BF6+BJ6+BN6+BR6+BV6+BZ6</f>
        <v>0</v>
      </c>
      <c r="CM6" s="137">
        <f t="shared" ref="CM6:CM66" si="17">E6+I6+M6+Q6+U6+Y6+AC6+AG6+AK6+AO6+AS6+AW6+BE6+BI6+BM6+BQ6+BU6+BY6-AG6</f>
        <v>0</v>
      </c>
      <c r="CO6" s="146">
        <f t="shared" si="15"/>
        <v>0</v>
      </c>
    </row>
    <row r="7" spans="1:128" s="141" customFormat="1" ht="13.5">
      <c r="A7" s="123">
        <v>212</v>
      </c>
      <c r="B7" s="887" t="s">
        <v>102</v>
      </c>
      <c r="C7" s="888"/>
      <c r="D7" s="889"/>
      <c r="E7" s="116">
        <f>E8</f>
        <v>2</v>
      </c>
      <c r="F7" s="116">
        <f>F8</f>
        <v>0</v>
      </c>
      <c r="G7" s="113"/>
      <c r="H7" s="113">
        <f t="shared" si="0"/>
        <v>-2</v>
      </c>
      <c r="I7" s="116">
        <f>I8</f>
        <v>2</v>
      </c>
      <c r="J7" s="116">
        <f>J8</f>
        <v>0</v>
      </c>
      <c r="K7" s="123"/>
      <c r="L7" s="123"/>
      <c r="M7" s="116">
        <f>M8</f>
        <v>3</v>
      </c>
      <c r="N7" s="116">
        <f>N8</f>
        <v>0</v>
      </c>
      <c r="O7" s="116"/>
      <c r="P7" s="123">
        <f>N7-M7</f>
        <v>-3</v>
      </c>
      <c r="Q7" s="116">
        <f>Q8</f>
        <v>5</v>
      </c>
      <c r="R7" s="116">
        <f>R8</f>
        <v>0</v>
      </c>
      <c r="S7" s="116"/>
      <c r="T7" s="123"/>
      <c r="U7" s="116">
        <f>U8</f>
        <v>2</v>
      </c>
      <c r="V7" s="116">
        <f>V8</f>
        <v>0</v>
      </c>
      <c r="W7" s="123"/>
      <c r="X7" s="123">
        <f>V7-U7</f>
        <v>-2</v>
      </c>
      <c r="Y7" s="116">
        <f>Y8</f>
        <v>2</v>
      </c>
      <c r="Z7" s="116">
        <f>Z8</f>
        <v>0</v>
      </c>
      <c r="AA7" s="116"/>
      <c r="AB7" s="123">
        <f t="shared" si="1"/>
        <v>-2</v>
      </c>
      <c r="AC7" s="116">
        <f>AC8</f>
        <v>2</v>
      </c>
      <c r="AD7" s="116">
        <f>AD8</f>
        <v>0</v>
      </c>
      <c r="AE7" s="116"/>
      <c r="AF7" s="123"/>
      <c r="AG7" s="283">
        <f t="shared" si="3"/>
        <v>18</v>
      </c>
      <c r="AH7" s="284">
        <f>AH8</f>
        <v>0</v>
      </c>
      <c r="AI7" s="283">
        <f>AH7/AG7*100</f>
        <v>0</v>
      </c>
      <c r="AJ7" s="283">
        <f>AH7-AG7</f>
        <v>-18</v>
      </c>
      <c r="AK7" s="116">
        <f>AK8</f>
        <v>0</v>
      </c>
      <c r="AL7" s="116">
        <f>AL8</f>
        <v>0</v>
      </c>
      <c r="AM7" s="113"/>
      <c r="AN7" s="113">
        <f t="shared" si="4"/>
        <v>0</v>
      </c>
      <c r="AO7" s="116">
        <f>AO8</f>
        <v>0</v>
      </c>
      <c r="AP7" s="116">
        <f>AP8</f>
        <v>0</v>
      </c>
      <c r="AQ7" s="113"/>
      <c r="AR7" s="113">
        <f t="shared" si="5"/>
        <v>0</v>
      </c>
      <c r="AS7" s="116">
        <f>AS8</f>
        <v>0</v>
      </c>
      <c r="AT7" s="116">
        <f>AT8</f>
        <v>0</v>
      </c>
      <c r="AU7" s="113"/>
      <c r="AV7" s="113">
        <f t="shared" si="6"/>
        <v>0</v>
      </c>
      <c r="AW7" s="116">
        <f>AW8</f>
        <v>0</v>
      </c>
      <c r="AX7" s="116">
        <f>AX8</f>
        <v>0</v>
      </c>
      <c r="AY7" s="113"/>
      <c r="AZ7" s="113">
        <f t="shared" si="7"/>
        <v>0</v>
      </c>
      <c r="BA7" s="283">
        <f t="shared" si="8"/>
        <v>0</v>
      </c>
      <c r="BB7" s="284">
        <f>BB8</f>
        <v>0</v>
      </c>
      <c r="BC7" s="283"/>
      <c r="BD7" s="283">
        <f>BB7-BA7</f>
        <v>0</v>
      </c>
      <c r="BE7" s="116">
        <f>BE8</f>
        <v>0</v>
      </c>
      <c r="BF7" s="116">
        <f>BF8</f>
        <v>0</v>
      </c>
      <c r="BG7" s="113"/>
      <c r="BH7" s="113">
        <f t="shared" si="10"/>
        <v>0</v>
      </c>
      <c r="BI7" s="116">
        <f>BI8</f>
        <v>0</v>
      </c>
      <c r="BJ7" s="116">
        <f>BJ8</f>
        <v>0</v>
      </c>
      <c r="BK7" s="113"/>
      <c r="BL7" s="113">
        <f t="shared" ref="BL7:BL13" si="18">BJ7-BI7</f>
        <v>0</v>
      </c>
      <c r="BM7" s="116">
        <f>BM8</f>
        <v>0</v>
      </c>
      <c r="BN7" s="116">
        <f>BN8</f>
        <v>0</v>
      </c>
      <c r="BO7" s="113"/>
      <c r="BP7" s="113">
        <f t="shared" ref="BP7:BP13" si="19">BN7-BM7</f>
        <v>0</v>
      </c>
      <c r="BQ7" s="116">
        <f>BQ8</f>
        <v>2</v>
      </c>
      <c r="BR7" s="116">
        <f>BR8</f>
        <v>0</v>
      </c>
      <c r="BS7" s="116">
        <f t="shared" si="11"/>
        <v>0</v>
      </c>
      <c r="BT7" s="123">
        <f>BR7-BQ7</f>
        <v>-2</v>
      </c>
      <c r="BU7" s="116">
        <f>BU8</f>
        <v>30</v>
      </c>
      <c r="BV7" s="154">
        <f>BV8</f>
        <v>0</v>
      </c>
      <c r="BW7" s="117">
        <f>BV7/BU7*100</f>
        <v>0</v>
      </c>
      <c r="BX7" s="123">
        <f t="shared" ref="BX7:BX66" si="20">BV7-BU7</f>
        <v>-30</v>
      </c>
      <c r="BY7" s="154">
        <f>BY8</f>
        <v>2.5</v>
      </c>
      <c r="BZ7" s="154">
        <f>BZ8</f>
        <v>0</v>
      </c>
      <c r="CA7" s="117">
        <f>BZ7/BY7*100</f>
        <v>0</v>
      </c>
      <c r="CB7" s="123">
        <f>BZ7-BY7</f>
        <v>-2.5</v>
      </c>
      <c r="CC7" s="154">
        <f>CC8</f>
        <v>0</v>
      </c>
      <c r="CD7" s="154">
        <f>CD8</f>
        <v>0</v>
      </c>
      <c r="CE7" s="117" t="e">
        <f>CD7/CC7*100</f>
        <v>#DIV/0!</v>
      </c>
      <c r="CF7" s="123">
        <f>CD7-CC7</f>
        <v>0</v>
      </c>
      <c r="CG7" s="283">
        <f t="shared" si="12"/>
        <v>52.5</v>
      </c>
      <c r="CH7" s="284">
        <f>CH8</f>
        <v>0</v>
      </c>
      <c r="CI7" s="284">
        <f t="shared" si="13"/>
        <v>0</v>
      </c>
      <c r="CJ7" s="284">
        <f t="shared" si="14"/>
        <v>-52.5</v>
      </c>
      <c r="CL7" s="137">
        <f t="shared" si="16"/>
        <v>0</v>
      </c>
      <c r="CM7" s="137">
        <f t="shared" si="17"/>
        <v>52.5</v>
      </c>
      <c r="CO7" s="146">
        <f t="shared" si="15"/>
        <v>0</v>
      </c>
    </row>
    <row r="8" spans="1:128">
      <c r="A8" s="122"/>
      <c r="B8" s="875" t="s">
        <v>202</v>
      </c>
      <c r="C8" s="876"/>
      <c r="D8" s="877"/>
      <c r="E8" s="108">
        <v>2</v>
      </c>
      <c r="F8" s="108"/>
      <c r="G8" s="108"/>
      <c r="H8" s="109">
        <f t="shared" si="0"/>
        <v>-2</v>
      </c>
      <c r="I8" s="108">
        <v>2</v>
      </c>
      <c r="J8" s="108"/>
      <c r="K8" s="122"/>
      <c r="L8" s="122"/>
      <c r="M8" s="108">
        <v>3</v>
      </c>
      <c r="N8" s="108"/>
      <c r="O8" s="108"/>
      <c r="P8" s="122">
        <f>N8-M8</f>
        <v>-3</v>
      </c>
      <c r="Q8" s="108">
        <v>5</v>
      </c>
      <c r="R8" s="108"/>
      <c r="S8" s="108"/>
      <c r="T8" s="122"/>
      <c r="U8" s="108">
        <v>2</v>
      </c>
      <c r="V8" s="108"/>
      <c r="W8" s="122"/>
      <c r="X8" s="122">
        <f>V8-U8</f>
        <v>-2</v>
      </c>
      <c r="Y8" s="108">
        <v>2</v>
      </c>
      <c r="Z8" s="108"/>
      <c r="AA8" s="108"/>
      <c r="AB8" s="122">
        <f t="shared" si="1"/>
        <v>-2</v>
      </c>
      <c r="AC8" s="108">
        <v>2</v>
      </c>
      <c r="AD8" s="108"/>
      <c r="AE8" s="108"/>
      <c r="AF8" s="122"/>
      <c r="AG8" s="283">
        <f t="shared" si="3"/>
        <v>18</v>
      </c>
      <c r="AH8" s="285">
        <f>F8+J8+N8+R8+V8+Z8+AD8</f>
        <v>0</v>
      </c>
      <c r="AI8" s="283">
        <f>AH8/AG8*100</f>
        <v>0</v>
      </c>
      <c r="AJ8" s="285">
        <f>AH8-AG8</f>
        <v>-18</v>
      </c>
      <c r="AK8" s="108"/>
      <c r="AL8" s="108"/>
      <c r="AM8" s="108"/>
      <c r="AN8" s="109">
        <f t="shared" si="4"/>
        <v>0</v>
      </c>
      <c r="AO8" s="108"/>
      <c r="AP8" s="108"/>
      <c r="AQ8" s="108"/>
      <c r="AR8" s="109">
        <f t="shared" si="5"/>
        <v>0</v>
      </c>
      <c r="AS8" s="108"/>
      <c r="AT8" s="108"/>
      <c r="AU8" s="108"/>
      <c r="AV8" s="109">
        <f t="shared" si="6"/>
        <v>0</v>
      </c>
      <c r="AW8" s="108"/>
      <c r="AX8" s="108"/>
      <c r="AY8" s="108"/>
      <c r="AZ8" s="109">
        <f t="shared" si="7"/>
        <v>0</v>
      </c>
      <c r="BA8" s="283">
        <f t="shared" si="8"/>
        <v>0</v>
      </c>
      <c r="BB8" s="285">
        <f>AL8+AP8+AT8+AX8</f>
        <v>0</v>
      </c>
      <c r="BC8" s="285"/>
      <c r="BD8" s="285">
        <f>BB8-BA8</f>
        <v>0</v>
      </c>
      <c r="BE8" s="108"/>
      <c r="BF8" s="108"/>
      <c r="BG8" s="108"/>
      <c r="BH8" s="109">
        <f t="shared" si="10"/>
        <v>0</v>
      </c>
      <c r="BI8" s="108"/>
      <c r="BJ8" s="108"/>
      <c r="BK8" s="108"/>
      <c r="BL8" s="109">
        <f t="shared" si="18"/>
        <v>0</v>
      </c>
      <c r="BM8" s="108"/>
      <c r="BN8" s="108"/>
      <c r="BO8" s="108"/>
      <c r="BP8" s="109">
        <f t="shared" si="19"/>
        <v>0</v>
      </c>
      <c r="BQ8" s="108">
        <v>2</v>
      </c>
      <c r="BR8" s="108"/>
      <c r="BS8" s="108">
        <f t="shared" si="11"/>
        <v>0</v>
      </c>
      <c r="BT8" s="122">
        <f>BR8-BQ8</f>
        <v>-2</v>
      </c>
      <c r="BU8" s="108">
        <v>30</v>
      </c>
      <c r="BV8" s="153"/>
      <c r="BW8" s="110">
        <f>BV8/BU8*100</f>
        <v>0</v>
      </c>
      <c r="BX8" s="122">
        <f t="shared" si="20"/>
        <v>-30</v>
      </c>
      <c r="BY8" s="156">
        <v>2.5</v>
      </c>
      <c r="BZ8" s="156"/>
      <c r="CA8" s="122"/>
      <c r="CB8" s="122"/>
      <c r="CC8" s="156"/>
      <c r="CD8" s="156"/>
      <c r="CE8" s="122"/>
      <c r="CF8" s="122"/>
      <c r="CG8" s="285">
        <f t="shared" si="12"/>
        <v>52.5</v>
      </c>
      <c r="CH8" s="273">
        <f>R8+V8+Z8+AD8+BR8+BV8+F8+J8+N8+AL8+BZ8+AP8+AT8+AX8+BF8</f>
        <v>0</v>
      </c>
      <c r="CI8" s="285">
        <f t="shared" si="13"/>
        <v>0</v>
      </c>
      <c r="CJ8" s="285">
        <f t="shared" si="14"/>
        <v>-52.5</v>
      </c>
      <c r="CL8" s="142">
        <f t="shared" si="16"/>
        <v>0</v>
      </c>
      <c r="CM8" s="137">
        <f t="shared" si="17"/>
        <v>52.5</v>
      </c>
      <c r="CO8" s="146">
        <f t="shared" si="15"/>
        <v>0</v>
      </c>
    </row>
    <row r="9" spans="1:128" hidden="1">
      <c r="A9" s="122">
        <v>213</v>
      </c>
      <c r="B9" s="890" t="s">
        <v>203</v>
      </c>
      <c r="C9" s="891"/>
      <c r="D9" s="892"/>
      <c r="E9" s="108"/>
      <c r="F9" s="108"/>
      <c r="G9" s="106"/>
      <c r="H9" s="108">
        <f t="shared" si="0"/>
        <v>0</v>
      </c>
      <c r="I9" s="108"/>
      <c r="J9" s="108"/>
      <c r="K9" s="108"/>
      <c r="L9" s="122">
        <f t="shared" ref="L9:L19" si="21">J9-I9</f>
        <v>0</v>
      </c>
      <c r="M9" s="108"/>
      <c r="N9" s="108"/>
      <c r="O9" s="106"/>
      <c r="P9" s="122">
        <f>N9-M9</f>
        <v>0</v>
      </c>
      <c r="Q9" s="108"/>
      <c r="R9" s="108"/>
      <c r="S9" s="108"/>
      <c r="T9" s="122"/>
      <c r="U9" s="108"/>
      <c r="V9" s="108"/>
      <c r="W9" s="122"/>
      <c r="X9" s="122"/>
      <c r="Y9" s="108"/>
      <c r="Z9" s="108"/>
      <c r="AA9" s="108"/>
      <c r="AB9" s="122">
        <f t="shared" si="1"/>
        <v>0</v>
      </c>
      <c r="AC9" s="108"/>
      <c r="AD9" s="108"/>
      <c r="AE9" s="108"/>
      <c r="AF9" s="122"/>
      <c r="AG9" s="283">
        <f t="shared" si="3"/>
        <v>0</v>
      </c>
      <c r="AH9" s="285"/>
      <c r="AI9" s="285"/>
      <c r="AJ9" s="285"/>
      <c r="AK9" s="108"/>
      <c r="AL9" s="108"/>
      <c r="AM9" s="106"/>
      <c r="AN9" s="108">
        <f t="shared" si="4"/>
        <v>0</v>
      </c>
      <c r="AO9" s="108"/>
      <c r="AP9" s="108"/>
      <c r="AQ9" s="106"/>
      <c r="AR9" s="108">
        <f t="shared" si="5"/>
        <v>0</v>
      </c>
      <c r="AS9" s="108"/>
      <c r="AT9" s="108"/>
      <c r="AU9" s="106"/>
      <c r="AV9" s="108">
        <f t="shared" si="6"/>
        <v>0</v>
      </c>
      <c r="AW9" s="108"/>
      <c r="AX9" s="108"/>
      <c r="AY9" s="106"/>
      <c r="AZ9" s="108">
        <f t="shared" si="7"/>
        <v>0</v>
      </c>
      <c r="BA9" s="283">
        <f t="shared" si="8"/>
        <v>0</v>
      </c>
      <c r="BB9" s="285"/>
      <c r="BC9" s="283"/>
      <c r="BD9" s="285">
        <f t="shared" si="9"/>
        <v>0</v>
      </c>
      <c r="BE9" s="108"/>
      <c r="BF9" s="108"/>
      <c r="BG9" s="106"/>
      <c r="BH9" s="108">
        <f t="shared" si="10"/>
        <v>0</v>
      </c>
      <c r="BI9" s="108"/>
      <c r="BJ9" s="108"/>
      <c r="BK9" s="106"/>
      <c r="BL9" s="108">
        <f t="shared" si="18"/>
        <v>0</v>
      </c>
      <c r="BM9" s="108"/>
      <c r="BN9" s="108"/>
      <c r="BO9" s="106"/>
      <c r="BP9" s="108">
        <f t="shared" si="19"/>
        <v>0</v>
      </c>
      <c r="BQ9" s="108"/>
      <c r="BR9" s="108"/>
      <c r="BS9" s="108"/>
      <c r="BT9" s="122"/>
      <c r="BU9" s="108"/>
      <c r="BV9" s="153"/>
      <c r="BW9" s="110"/>
      <c r="BX9" s="122"/>
      <c r="BY9" s="122"/>
      <c r="BZ9" s="122"/>
      <c r="CA9" s="122"/>
      <c r="CB9" s="122"/>
      <c r="CC9" s="122"/>
      <c r="CD9" s="122"/>
      <c r="CE9" s="122"/>
      <c r="CF9" s="122"/>
      <c r="CG9" s="285">
        <f t="shared" si="12"/>
        <v>0</v>
      </c>
      <c r="CH9" s="273">
        <f>R9+V9+Z9+AD9+BR9+BV9+F9+J9+N9+AL9+BZ9+AP9+AT9+AX9+BF9</f>
        <v>0</v>
      </c>
      <c r="CI9" s="285"/>
      <c r="CJ9" s="285"/>
      <c r="CL9" s="142">
        <f t="shared" si="16"/>
        <v>0</v>
      </c>
      <c r="CM9" s="137">
        <f t="shared" si="17"/>
        <v>0</v>
      </c>
      <c r="CO9" s="146">
        <f t="shared" si="15"/>
        <v>0</v>
      </c>
    </row>
    <row r="10" spans="1:128" s="137" customFormat="1">
      <c r="A10" s="114">
        <v>220</v>
      </c>
      <c r="B10" s="869" t="s">
        <v>106</v>
      </c>
      <c r="C10" s="870"/>
      <c r="D10" s="871"/>
      <c r="E10" s="113">
        <f>E11+E12+E16+E25+E14</f>
        <v>136</v>
      </c>
      <c r="F10" s="113">
        <f>F11+F12+F16+F25+F14</f>
        <v>0</v>
      </c>
      <c r="G10" s="113">
        <f>F10/E10*100</f>
        <v>0</v>
      </c>
      <c r="H10" s="113">
        <f t="shared" si="0"/>
        <v>-136</v>
      </c>
      <c r="I10" s="113">
        <f>I11+I12+I16+I25+I14</f>
        <v>171</v>
      </c>
      <c r="J10" s="113">
        <f>J11+J12+J16+J25+J14</f>
        <v>0</v>
      </c>
      <c r="K10" s="113">
        <f>J10/I10*100</f>
        <v>0</v>
      </c>
      <c r="L10" s="114"/>
      <c r="M10" s="113">
        <f>M11+M12+M16+M25+M14</f>
        <v>250</v>
      </c>
      <c r="N10" s="113">
        <f>N11+N12+N16+N25+N14</f>
        <v>0</v>
      </c>
      <c r="O10" s="113">
        <f>N10/M10*100</f>
        <v>0</v>
      </c>
      <c r="P10" s="114">
        <f t="shared" ref="P10:P66" si="22">N10-M10</f>
        <v>-250</v>
      </c>
      <c r="Q10" s="113">
        <f>Q11+Q12+Q16+Q25+Q14</f>
        <v>250</v>
      </c>
      <c r="R10" s="113">
        <f>R11+R12+R16+R25+R14</f>
        <v>0</v>
      </c>
      <c r="S10" s="113">
        <f t="shared" ref="S10:S17" si="23">R10/Q10*100</f>
        <v>0</v>
      </c>
      <c r="T10" s="113">
        <f>R10-Q10</f>
        <v>-250</v>
      </c>
      <c r="U10" s="113">
        <f>U11+U12+U16+U25+U14</f>
        <v>189</v>
      </c>
      <c r="V10" s="113">
        <f>V11+V12+V16+V25+V14</f>
        <v>0</v>
      </c>
      <c r="W10" s="113">
        <f>V10/U10*100</f>
        <v>0</v>
      </c>
      <c r="X10" s="114">
        <f t="shared" ref="X10:X17" si="24">V10-U10</f>
        <v>-189</v>
      </c>
      <c r="Y10" s="113">
        <f>Y11+Y12+Y16+Y25+Y14</f>
        <v>187</v>
      </c>
      <c r="Z10" s="113">
        <f>Z11+Z12+Z16+Z25+Z14</f>
        <v>0</v>
      </c>
      <c r="AA10" s="113">
        <f>Z10/Y10*100</f>
        <v>0</v>
      </c>
      <c r="AB10" s="114">
        <f t="shared" si="1"/>
        <v>-187</v>
      </c>
      <c r="AC10" s="113">
        <f>AC11+AC12+AC16+AC25+AC14</f>
        <v>171</v>
      </c>
      <c r="AD10" s="113">
        <f>AD11+AD12+AD16+AD25+AD14</f>
        <v>0</v>
      </c>
      <c r="AE10" s="113">
        <f>AD10/AC10*100</f>
        <v>0</v>
      </c>
      <c r="AF10" s="114">
        <f t="shared" si="2"/>
        <v>-171</v>
      </c>
      <c r="AG10" s="283">
        <f t="shared" si="3"/>
        <v>1354</v>
      </c>
      <c r="AH10" s="283">
        <f>AH11+AH12+AH16+AH25+AH14</f>
        <v>0</v>
      </c>
      <c r="AI10" s="283">
        <f>AH10/AG10*100</f>
        <v>0</v>
      </c>
      <c r="AJ10" s="283">
        <f t="shared" ref="AJ10:AJ66" si="25">AH10-AG10</f>
        <v>-1354</v>
      </c>
      <c r="AK10" s="113">
        <f>AK11+AK12+AK16+AK25+AK14</f>
        <v>30</v>
      </c>
      <c r="AL10" s="113">
        <f>AL11+AL12+AL16+AL25+AL14</f>
        <v>0</v>
      </c>
      <c r="AM10" s="113">
        <f t="shared" ref="AM10:AM17" si="26">AL10/AK10*100</f>
        <v>0</v>
      </c>
      <c r="AN10" s="113">
        <f t="shared" si="4"/>
        <v>-30</v>
      </c>
      <c r="AO10" s="113">
        <f>AO11+AO12+AO16+AO25+AO14</f>
        <v>20</v>
      </c>
      <c r="AP10" s="113">
        <f>AP11+AP12+AP16+AP25+AP14</f>
        <v>0</v>
      </c>
      <c r="AQ10" s="113">
        <f>AP10/AO10*100</f>
        <v>0</v>
      </c>
      <c r="AR10" s="113">
        <f t="shared" si="5"/>
        <v>-20</v>
      </c>
      <c r="AS10" s="113">
        <f>AS11+AS12+AS16+AS25+AS14</f>
        <v>30</v>
      </c>
      <c r="AT10" s="113">
        <f>AT11+AT12+AT16+AT25+AT14</f>
        <v>0</v>
      </c>
      <c r="AU10" s="113">
        <f>AT10/AS10*100</f>
        <v>0</v>
      </c>
      <c r="AV10" s="113">
        <f t="shared" si="6"/>
        <v>-30</v>
      </c>
      <c r="AW10" s="113">
        <f>AW11+AW12+AW16+AW25+AW14</f>
        <v>30</v>
      </c>
      <c r="AX10" s="113">
        <f>AX11+AX12+AX16+AX25+AX14</f>
        <v>0</v>
      </c>
      <c r="AY10" s="113">
        <f>AX10/AW10*100</f>
        <v>0</v>
      </c>
      <c r="AZ10" s="113">
        <f t="shared" si="7"/>
        <v>-30</v>
      </c>
      <c r="BA10" s="283">
        <f t="shared" si="8"/>
        <v>110</v>
      </c>
      <c r="BB10" s="289">
        <f>BB11+BB12+BB16+BB25+BB14</f>
        <v>0</v>
      </c>
      <c r="BC10" s="283">
        <f>BB10/BA10*100</f>
        <v>0</v>
      </c>
      <c r="BD10" s="283">
        <f t="shared" si="9"/>
        <v>-110</v>
      </c>
      <c r="BE10" s="113">
        <f>BE11+BE12+BE16+BE25+BE14</f>
        <v>10</v>
      </c>
      <c r="BF10" s="113">
        <f>BF11+BF12+BF16+BF25+BF14</f>
        <v>0</v>
      </c>
      <c r="BG10" s="113">
        <f>BF10/BE10*100</f>
        <v>0</v>
      </c>
      <c r="BH10" s="113">
        <f t="shared" si="10"/>
        <v>-10</v>
      </c>
      <c r="BI10" s="113">
        <f>BI11+BI12+BI16+BI25+BI14</f>
        <v>15</v>
      </c>
      <c r="BJ10" s="113">
        <f>BJ11+BJ12+BJ16+BJ25+BJ14</f>
        <v>0</v>
      </c>
      <c r="BK10" s="113">
        <f>BJ10/BI10*100</f>
        <v>0</v>
      </c>
      <c r="BL10" s="113">
        <f t="shared" si="18"/>
        <v>-15</v>
      </c>
      <c r="BM10" s="113">
        <f>BM11+BM12+BM16+BM25+BM14</f>
        <v>15</v>
      </c>
      <c r="BN10" s="113">
        <f>BN11+BN12+BN16+BN25+BN14</f>
        <v>0</v>
      </c>
      <c r="BO10" s="113">
        <f>BN10/BM10*100</f>
        <v>0</v>
      </c>
      <c r="BP10" s="113">
        <f t="shared" si="19"/>
        <v>-15</v>
      </c>
      <c r="BQ10" s="113">
        <f>BQ11+BQ12+BQ16+BQ25</f>
        <v>21</v>
      </c>
      <c r="BR10" s="113">
        <f>BR11+BR12+BR16+BR25</f>
        <v>0</v>
      </c>
      <c r="BS10" s="113">
        <f t="shared" si="11"/>
        <v>0</v>
      </c>
      <c r="BT10" s="114">
        <f t="shared" ref="BT10:BT17" si="27">BR10-BQ10</f>
        <v>-21</v>
      </c>
      <c r="BU10" s="113">
        <f>BU11+BU12+BU16+BU25+BU15</f>
        <v>549</v>
      </c>
      <c r="BV10" s="78">
        <f>BV11+BV12+BV16+BV25+BV15</f>
        <v>0</v>
      </c>
      <c r="BW10" s="115">
        <f>BV10/BU10*100</f>
        <v>0</v>
      </c>
      <c r="BX10" s="114">
        <f t="shared" si="20"/>
        <v>-549</v>
      </c>
      <c r="BY10" s="113">
        <f>BY11+BY12+BY16+BY25</f>
        <v>18</v>
      </c>
      <c r="BZ10" s="78">
        <f>BZ11+BZ12+BZ16+BZ25</f>
        <v>0</v>
      </c>
      <c r="CA10" s="115">
        <f>BZ10/BY10*100</f>
        <v>0</v>
      </c>
      <c r="CB10" s="114">
        <f>BZ10-BY10</f>
        <v>-18</v>
      </c>
      <c r="CC10" s="113">
        <f>CC11+CC12+CC16+CC25+CC14</f>
        <v>53.244999999999997</v>
      </c>
      <c r="CD10" s="113">
        <f>CD11+CD12+CD16+CD25+CD14</f>
        <v>0</v>
      </c>
      <c r="CE10" s="115">
        <f>CD10/CC10*100</f>
        <v>0</v>
      </c>
      <c r="CF10" s="114">
        <f>CD10-CC10</f>
        <v>-53.244999999999997</v>
      </c>
      <c r="CG10" s="283">
        <f t="shared" si="12"/>
        <v>2092</v>
      </c>
      <c r="CH10" s="289">
        <f>CH11+CH12+CH16+CH25+CH14+CH15</f>
        <v>0</v>
      </c>
      <c r="CI10" s="283">
        <f t="shared" si="13"/>
        <v>0</v>
      </c>
      <c r="CJ10" s="283">
        <f t="shared" si="14"/>
        <v>-2092</v>
      </c>
      <c r="CL10" s="137">
        <f t="shared" si="16"/>
        <v>0</v>
      </c>
      <c r="CM10" s="137">
        <f t="shared" si="17"/>
        <v>2092</v>
      </c>
      <c r="CO10" s="146">
        <f t="shared" si="15"/>
        <v>0</v>
      </c>
    </row>
    <row r="11" spans="1:128">
      <c r="A11" s="122">
        <v>221</v>
      </c>
      <c r="B11" s="890" t="s">
        <v>107</v>
      </c>
      <c r="C11" s="891"/>
      <c r="D11" s="892"/>
      <c r="E11" s="108">
        <v>32</v>
      </c>
      <c r="F11" s="108"/>
      <c r="G11" s="108">
        <f>F11/E11*100</f>
        <v>0</v>
      </c>
      <c r="H11" s="108">
        <f t="shared" si="0"/>
        <v>-32</v>
      </c>
      <c r="I11" s="108">
        <v>32</v>
      </c>
      <c r="J11" s="108"/>
      <c r="K11" s="108">
        <f>J11/I11*100</f>
        <v>0</v>
      </c>
      <c r="L11" s="122">
        <f t="shared" si="21"/>
        <v>-32</v>
      </c>
      <c r="M11" s="108">
        <v>37</v>
      </c>
      <c r="N11" s="108"/>
      <c r="O11" s="108">
        <f>N11/M11*100</f>
        <v>0</v>
      </c>
      <c r="P11" s="122">
        <f t="shared" si="22"/>
        <v>-37</v>
      </c>
      <c r="Q11" s="108">
        <v>37</v>
      </c>
      <c r="R11" s="108"/>
      <c r="S11" s="109">
        <f t="shared" si="23"/>
        <v>0</v>
      </c>
      <c r="T11" s="122">
        <f>R11-Q11</f>
        <v>-37</v>
      </c>
      <c r="U11" s="108">
        <v>32</v>
      </c>
      <c r="V11" s="108"/>
      <c r="W11" s="108">
        <f>V11/U11*100</f>
        <v>0</v>
      </c>
      <c r="X11" s="108">
        <f t="shared" si="24"/>
        <v>-32</v>
      </c>
      <c r="Y11" s="108">
        <v>32</v>
      </c>
      <c r="Z11" s="108"/>
      <c r="AA11" s="108">
        <f>Z11/Y11*100</f>
        <v>0</v>
      </c>
      <c r="AB11" s="122">
        <f t="shared" si="1"/>
        <v>-32</v>
      </c>
      <c r="AC11" s="108">
        <v>32</v>
      </c>
      <c r="AD11" s="108"/>
      <c r="AE11" s="108">
        <f>AD11/AC11*100</f>
        <v>0</v>
      </c>
      <c r="AF11" s="122">
        <f t="shared" si="2"/>
        <v>-32</v>
      </c>
      <c r="AG11" s="283">
        <f t="shared" si="3"/>
        <v>234</v>
      </c>
      <c r="AH11" s="285">
        <f>F11+J11+N11+R11+V11+Z11+AD11</f>
        <v>0</v>
      </c>
      <c r="AI11" s="285">
        <f>AH11/AG11*100</f>
        <v>0</v>
      </c>
      <c r="AJ11" s="285">
        <f t="shared" si="25"/>
        <v>-234</v>
      </c>
      <c r="AK11" s="108">
        <v>15</v>
      </c>
      <c r="AL11" s="108"/>
      <c r="AM11" s="108">
        <f t="shared" si="26"/>
        <v>0</v>
      </c>
      <c r="AN11" s="108">
        <f t="shared" si="4"/>
        <v>-15</v>
      </c>
      <c r="AO11" s="108">
        <v>15</v>
      </c>
      <c r="AP11" s="108"/>
      <c r="AQ11" s="108">
        <f>AP11/AO11*100</f>
        <v>0</v>
      </c>
      <c r="AR11" s="108">
        <f t="shared" si="5"/>
        <v>-15</v>
      </c>
      <c r="AS11" s="108">
        <v>15</v>
      </c>
      <c r="AT11" s="108"/>
      <c r="AU11" s="108">
        <f>AT11/AS11*100</f>
        <v>0</v>
      </c>
      <c r="AV11" s="108">
        <f t="shared" si="6"/>
        <v>-15</v>
      </c>
      <c r="AW11" s="108">
        <v>15</v>
      </c>
      <c r="AX11" s="108"/>
      <c r="AY11" s="108">
        <f>AX11/AW11*100</f>
        <v>0</v>
      </c>
      <c r="AZ11" s="108">
        <f t="shared" si="7"/>
        <v>-15</v>
      </c>
      <c r="BA11" s="283">
        <f t="shared" si="8"/>
        <v>60</v>
      </c>
      <c r="BB11" s="285">
        <f>AL11+AP11+AT11+AX11</f>
        <v>0</v>
      </c>
      <c r="BC11" s="285">
        <f>BB11/BA11*100</f>
        <v>0</v>
      </c>
      <c r="BD11" s="285">
        <f t="shared" si="9"/>
        <v>-60</v>
      </c>
      <c r="BE11" s="108">
        <v>10</v>
      </c>
      <c r="BF11" s="108"/>
      <c r="BG11" s="108"/>
      <c r="BH11" s="108">
        <f t="shared" si="10"/>
        <v>-10</v>
      </c>
      <c r="BI11" s="108">
        <v>15</v>
      </c>
      <c r="BJ11" s="108"/>
      <c r="BK11" s="108"/>
      <c r="BL11" s="108">
        <f t="shared" si="18"/>
        <v>-15</v>
      </c>
      <c r="BM11" s="108">
        <v>15</v>
      </c>
      <c r="BN11" s="108"/>
      <c r="BO11" s="108">
        <f>BN11/BM11*100</f>
        <v>0</v>
      </c>
      <c r="BP11" s="108">
        <f t="shared" si="19"/>
        <v>-15</v>
      </c>
      <c r="BQ11" s="108"/>
      <c r="BR11" s="108"/>
      <c r="BS11" s="108"/>
      <c r="BT11" s="122">
        <f t="shared" si="27"/>
        <v>0</v>
      </c>
      <c r="BU11" s="108">
        <v>143</v>
      </c>
      <c r="BV11" s="153"/>
      <c r="BW11" s="110">
        <f>BV11/BU11*100</f>
        <v>0</v>
      </c>
      <c r="BX11" s="122">
        <f t="shared" si="20"/>
        <v>-143</v>
      </c>
      <c r="BY11" s="122"/>
      <c r="BZ11" s="122"/>
      <c r="CA11" s="122"/>
      <c r="CB11" s="122"/>
      <c r="CC11" s="122"/>
      <c r="CD11" s="122"/>
      <c r="CE11" s="122"/>
      <c r="CF11" s="122"/>
      <c r="CG11" s="285">
        <f>AG11+BA11+BE11+BI11+BM11+BQ11+BU11+BY11</f>
        <v>477</v>
      </c>
      <c r="CH11" s="273">
        <f>R11+V11+Z11+AD11+BR11+BV11+F11+J11+N11+AL11+BZ11+AP11+AT11+AX11+BF11+BN11+BJ11</f>
        <v>0</v>
      </c>
      <c r="CI11" s="285">
        <f t="shared" si="13"/>
        <v>0</v>
      </c>
      <c r="CJ11" s="285">
        <f t="shared" si="14"/>
        <v>-477</v>
      </c>
      <c r="CK11" s="112">
        <v>54.6</v>
      </c>
      <c r="CL11" s="142">
        <f t="shared" si="16"/>
        <v>0</v>
      </c>
      <c r="CM11" s="137">
        <f t="shared" si="17"/>
        <v>477</v>
      </c>
      <c r="CO11" s="146">
        <f t="shared" si="15"/>
        <v>0</v>
      </c>
    </row>
    <row r="12" spans="1:128" s="141" customFormat="1" ht="13.5">
      <c r="A12" s="123">
        <v>222</v>
      </c>
      <c r="B12" s="887" t="s">
        <v>204</v>
      </c>
      <c r="C12" s="888"/>
      <c r="D12" s="889"/>
      <c r="E12" s="116">
        <f>E13</f>
        <v>0</v>
      </c>
      <c r="F12" s="116">
        <f>F13</f>
        <v>0</v>
      </c>
      <c r="G12" s="113"/>
      <c r="H12" s="116">
        <f t="shared" si="0"/>
        <v>0</v>
      </c>
      <c r="I12" s="116">
        <f>I13</f>
        <v>0</v>
      </c>
      <c r="J12" s="116"/>
      <c r="K12" s="116"/>
      <c r="L12" s="123">
        <f t="shared" si="21"/>
        <v>0</v>
      </c>
      <c r="M12" s="116">
        <f>M13</f>
        <v>0</v>
      </c>
      <c r="N12" s="116"/>
      <c r="O12" s="116"/>
      <c r="P12" s="123">
        <f t="shared" si="22"/>
        <v>0</v>
      </c>
      <c r="Q12" s="116">
        <f>Q13</f>
        <v>0</v>
      </c>
      <c r="R12" s="116">
        <f>R13</f>
        <v>0</v>
      </c>
      <c r="S12" s="116" t="e">
        <f t="shared" si="23"/>
        <v>#DIV/0!</v>
      </c>
      <c r="T12" s="116">
        <f>R12-Q12</f>
        <v>0</v>
      </c>
      <c r="U12" s="116">
        <f>U13</f>
        <v>0</v>
      </c>
      <c r="V12" s="116"/>
      <c r="W12" s="116"/>
      <c r="X12" s="123">
        <f t="shared" si="24"/>
        <v>0</v>
      </c>
      <c r="Y12" s="116">
        <f>Y13</f>
        <v>0</v>
      </c>
      <c r="Z12" s="116">
        <f>Z13</f>
        <v>0</v>
      </c>
      <c r="AA12" s="116"/>
      <c r="AB12" s="123">
        <f t="shared" si="1"/>
        <v>0</v>
      </c>
      <c r="AC12" s="116">
        <f>AC13</f>
        <v>0</v>
      </c>
      <c r="AD12" s="116">
        <f>AD13</f>
        <v>0</v>
      </c>
      <c r="AE12" s="116"/>
      <c r="AF12" s="123">
        <f t="shared" si="2"/>
        <v>0</v>
      </c>
      <c r="AG12" s="283">
        <f t="shared" si="3"/>
        <v>0</v>
      </c>
      <c r="AH12" s="284">
        <f>AH13</f>
        <v>0</v>
      </c>
      <c r="AI12" s="284" t="e">
        <f>AH12/AG12*100</f>
        <v>#DIV/0!</v>
      </c>
      <c r="AJ12" s="286">
        <f t="shared" si="25"/>
        <v>0</v>
      </c>
      <c r="AK12" s="116">
        <f>AK13</f>
        <v>0</v>
      </c>
      <c r="AL12" s="116"/>
      <c r="AM12" s="113"/>
      <c r="AN12" s="116">
        <f t="shared" si="4"/>
        <v>0</v>
      </c>
      <c r="AO12" s="116">
        <f>AO13</f>
        <v>0</v>
      </c>
      <c r="AP12" s="116"/>
      <c r="AQ12" s="113"/>
      <c r="AR12" s="116">
        <f t="shared" si="5"/>
        <v>0</v>
      </c>
      <c r="AS12" s="116">
        <f>AS13</f>
        <v>0</v>
      </c>
      <c r="AT12" s="116"/>
      <c r="AU12" s="113" t="e">
        <f>AT12/AS12*100</f>
        <v>#DIV/0!</v>
      </c>
      <c r="AV12" s="116">
        <f t="shared" si="6"/>
        <v>0</v>
      </c>
      <c r="AW12" s="116">
        <f>AW13</f>
        <v>0</v>
      </c>
      <c r="AX12" s="116"/>
      <c r="AY12" s="113"/>
      <c r="AZ12" s="116">
        <f t="shared" si="7"/>
        <v>0</v>
      </c>
      <c r="BA12" s="283">
        <f t="shared" si="8"/>
        <v>0</v>
      </c>
      <c r="BB12" s="284"/>
      <c r="BC12" s="283" t="e">
        <f>BB12/BA12*100</f>
        <v>#DIV/0!</v>
      </c>
      <c r="BD12" s="284">
        <f t="shared" si="9"/>
        <v>0</v>
      </c>
      <c r="BE12" s="116">
        <f>BE13</f>
        <v>0</v>
      </c>
      <c r="BF12" s="116">
        <f>BF13</f>
        <v>0</v>
      </c>
      <c r="BG12" s="113" t="e">
        <f>BF12/BE12*100</f>
        <v>#DIV/0!</v>
      </c>
      <c r="BH12" s="116">
        <f t="shared" si="10"/>
        <v>0</v>
      </c>
      <c r="BI12" s="116">
        <f>BI13</f>
        <v>0</v>
      </c>
      <c r="BJ12" s="116">
        <f>BJ13</f>
        <v>0</v>
      </c>
      <c r="BK12" s="113"/>
      <c r="BL12" s="116">
        <f t="shared" si="18"/>
        <v>0</v>
      </c>
      <c r="BM12" s="116">
        <f>BM13</f>
        <v>0</v>
      </c>
      <c r="BN12" s="116">
        <f>BN13</f>
        <v>0</v>
      </c>
      <c r="BO12" s="108" t="e">
        <f>BN12/BM12*100</f>
        <v>#DIV/0!</v>
      </c>
      <c r="BP12" s="116">
        <f t="shared" si="19"/>
        <v>0</v>
      </c>
      <c r="BQ12" s="116">
        <f>BQ13</f>
        <v>10</v>
      </c>
      <c r="BR12" s="154">
        <f>BR13</f>
        <v>0</v>
      </c>
      <c r="BS12" s="116">
        <f>BR12/BQ12*100</f>
        <v>0</v>
      </c>
      <c r="BT12" s="123">
        <f>BR12-BQ12</f>
        <v>-10</v>
      </c>
      <c r="BU12" s="116">
        <f>BU13</f>
        <v>35</v>
      </c>
      <c r="BV12" s="154">
        <f>BV13</f>
        <v>0</v>
      </c>
      <c r="BW12" s="117">
        <f>BV12/BU12*100</f>
        <v>0</v>
      </c>
      <c r="BX12" s="123">
        <f t="shared" si="20"/>
        <v>-35</v>
      </c>
      <c r="BY12" s="116">
        <f>BY13</f>
        <v>7</v>
      </c>
      <c r="BZ12" s="154">
        <f>BZ13</f>
        <v>0</v>
      </c>
      <c r="CA12" s="117">
        <f>BZ12/BY12*100</f>
        <v>0</v>
      </c>
      <c r="CB12" s="123">
        <f>BZ12-BY12</f>
        <v>-7</v>
      </c>
      <c r="CC12" s="116">
        <f>CC13</f>
        <v>0</v>
      </c>
      <c r="CD12" s="154">
        <f>CD13</f>
        <v>0</v>
      </c>
      <c r="CE12" s="117" t="e">
        <f>CD12/CC12*100</f>
        <v>#DIV/0!</v>
      </c>
      <c r="CF12" s="123">
        <f>CD12-CC12</f>
        <v>0</v>
      </c>
      <c r="CG12" s="283">
        <f>Q12+U12+Y12+AC12+BQ12+BU12+E12+I12+M12+AK12+BY12+AO12+AS12+AW12+BE12</f>
        <v>52</v>
      </c>
      <c r="CH12" s="292">
        <f>CH13</f>
        <v>0</v>
      </c>
      <c r="CI12" s="284">
        <f t="shared" si="13"/>
        <v>0</v>
      </c>
      <c r="CJ12" s="284">
        <f t="shared" si="14"/>
        <v>-52</v>
      </c>
      <c r="CL12" s="137">
        <f t="shared" si="16"/>
        <v>0</v>
      </c>
      <c r="CM12" s="137">
        <f t="shared" si="17"/>
        <v>52</v>
      </c>
      <c r="CO12" s="146">
        <f t="shared" si="15"/>
        <v>0</v>
      </c>
    </row>
    <row r="13" spans="1:128" ht="24" customHeight="1">
      <c r="A13" s="122"/>
      <c r="B13" s="893" t="s">
        <v>205</v>
      </c>
      <c r="C13" s="894"/>
      <c r="D13" s="895"/>
      <c r="E13" s="108"/>
      <c r="F13" s="108"/>
      <c r="G13" s="108"/>
      <c r="H13" s="108">
        <f t="shared" si="0"/>
        <v>0</v>
      </c>
      <c r="I13" s="108"/>
      <c r="J13" s="108"/>
      <c r="K13" s="108"/>
      <c r="L13" s="122">
        <f t="shared" si="21"/>
        <v>0</v>
      </c>
      <c r="M13" s="108"/>
      <c r="N13" s="108"/>
      <c r="O13" s="108"/>
      <c r="P13" s="122">
        <f t="shared" si="22"/>
        <v>0</v>
      </c>
      <c r="Q13" s="108"/>
      <c r="R13" s="108"/>
      <c r="S13" s="109" t="e">
        <f t="shared" si="23"/>
        <v>#DIV/0!</v>
      </c>
      <c r="T13" s="108">
        <f>R13-Q13</f>
        <v>0</v>
      </c>
      <c r="U13" s="108"/>
      <c r="V13" s="108"/>
      <c r="W13" s="108"/>
      <c r="X13" s="122">
        <f t="shared" si="24"/>
        <v>0</v>
      </c>
      <c r="Y13" s="108"/>
      <c r="Z13" s="108"/>
      <c r="AA13" s="108"/>
      <c r="AB13" s="122">
        <f t="shared" si="1"/>
        <v>0</v>
      </c>
      <c r="AC13" s="108"/>
      <c r="AD13" s="108"/>
      <c r="AE13" s="108"/>
      <c r="AF13" s="122">
        <f t="shared" si="2"/>
        <v>0</v>
      </c>
      <c r="AG13" s="283">
        <f t="shared" si="3"/>
        <v>0</v>
      </c>
      <c r="AH13" s="285">
        <f>F13+J13+N13+R13+V13+Z13+AD13</f>
        <v>0</v>
      </c>
      <c r="AI13" s="285" t="e">
        <f>AH13/AG13*100</f>
        <v>#DIV/0!</v>
      </c>
      <c r="AJ13" s="287">
        <f t="shared" si="25"/>
        <v>0</v>
      </c>
      <c r="AK13" s="108"/>
      <c r="AL13" s="108"/>
      <c r="AM13" s="108"/>
      <c r="AN13" s="108">
        <f t="shared" si="4"/>
        <v>0</v>
      </c>
      <c r="AO13" s="108"/>
      <c r="AP13" s="108"/>
      <c r="AQ13" s="108"/>
      <c r="AR13" s="108">
        <f t="shared" si="5"/>
        <v>0</v>
      </c>
      <c r="AS13" s="108"/>
      <c r="AT13" s="108"/>
      <c r="AU13" s="108" t="e">
        <f>AT13/AS13*100</f>
        <v>#DIV/0!</v>
      </c>
      <c r="AV13" s="108">
        <f t="shared" si="6"/>
        <v>0</v>
      </c>
      <c r="AW13" s="108"/>
      <c r="AX13" s="108"/>
      <c r="AY13" s="108"/>
      <c r="AZ13" s="108">
        <f t="shared" si="7"/>
        <v>0</v>
      </c>
      <c r="BA13" s="283">
        <f t="shared" si="8"/>
        <v>0</v>
      </c>
      <c r="BB13" s="285">
        <f>AL13+AP13+AT13+AX13</f>
        <v>0</v>
      </c>
      <c r="BC13" s="285" t="e">
        <f>BB13/BA13*100</f>
        <v>#DIV/0!</v>
      </c>
      <c r="BD13" s="285">
        <f t="shared" si="9"/>
        <v>0</v>
      </c>
      <c r="BE13" s="108"/>
      <c r="BF13" s="108"/>
      <c r="BG13" s="108" t="e">
        <f>BF13/BE13*100</f>
        <v>#DIV/0!</v>
      </c>
      <c r="BH13" s="108">
        <f t="shared" si="10"/>
        <v>0</v>
      </c>
      <c r="BI13" s="108"/>
      <c r="BJ13" s="108"/>
      <c r="BK13" s="108"/>
      <c r="BL13" s="108">
        <f t="shared" si="18"/>
        <v>0</v>
      </c>
      <c r="BM13" s="108"/>
      <c r="BN13" s="108"/>
      <c r="BO13" s="108"/>
      <c r="BP13" s="108">
        <f t="shared" si="19"/>
        <v>0</v>
      </c>
      <c r="BQ13" s="108">
        <v>10</v>
      </c>
      <c r="BR13" s="153"/>
      <c r="BS13" s="108">
        <f t="shared" si="11"/>
        <v>0</v>
      </c>
      <c r="BT13" s="122">
        <f t="shared" si="27"/>
        <v>-10</v>
      </c>
      <c r="BU13" s="108">
        <v>35</v>
      </c>
      <c r="BV13" s="153"/>
      <c r="BW13" s="110">
        <f>BV13/BU13*100</f>
        <v>0</v>
      </c>
      <c r="BX13" s="122">
        <f t="shared" si="20"/>
        <v>-35</v>
      </c>
      <c r="BY13" s="122">
        <v>7</v>
      </c>
      <c r="BZ13" s="156"/>
      <c r="CA13" s="122"/>
      <c r="CB13" s="122"/>
      <c r="CC13" s="122"/>
      <c r="CD13" s="156"/>
      <c r="CE13" s="122"/>
      <c r="CF13" s="122"/>
      <c r="CG13" s="285">
        <f t="shared" ref="CG13:CH15" si="28">Q13+U13+Y13+AC13+BQ13+BU13+E13+I13+M13+AK13+BY13+AO13+AS13+AW13+BE13</f>
        <v>52</v>
      </c>
      <c r="CH13" s="273">
        <f>R13+V13+Z13+AD13+BR13+BV13+F13+J13+N13+AL13+BZ13+AP13+AT13+AX13+BF13+BJ13</f>
        <v>0</v>
      </c>
      <c r="CI13" s="285">
        <f t="shared" si="13"/>
        <v>0</v>
      </c>
      <c r="CJ13" s="285">
        <f t="shared" si="14"/>
        <v>-52</v>
      </c>
      <c r="CL13" s="142">
        <f t="shared" si="16"/>
        <v>0</v>
      </c>
      <c r="CM13" s="137">
        <f t="shared" si="17"/>
        <v>52</v>
      </c>
      <c r="CO13" s="146">
        <f t="shared" si="15"/>
        <v>0</v>
      </c>
    </row>
    <row r="14" spans="1:128" s="142" customFormat="1" ht="13.5" hidden="1">
      <c r="A14" s="124">
        <v>223</v>
      </c>
      <c r="B14" s="902" t="s">
        <v>622</v>
      </c>
      <c r="C14" s="903"/>
      <c r="D14" s="904"/>
      <c r="E14" s="106"/>
      <c r="F14" s="106"/>
      <c r="G14" s="106"/>
      <c r="H14" s="106"/>
      <c r="I14" s="106"/>
      <c r="J14" s="106"/>
      <c r="K14" s="106"/>
      <c r="L14" s="143"/>
      <c r="M14" s="106"/>
      <c r="N14" s="106"/>
      <c r="O14" s="106"/>
      <c r="P14" s="143"/>
      <c r="Q14" s="106"/>
      <c r="R14" s="106"/>
      <c r="S14" s="111"/>
      <c r="T14" s="106"/>
      <c r="U14" s="106"/>
      <c r="V14" s="106"/>
      <c r="W14" s="106"/>
      <c r="X14" s="143"/>
      <c r="Y14" s="106"/>
      <c r="Z14" s="106"/>
      <c r="AA14" s="106"/>
      <c r="AB14" s="143"/>
      <c r="AC14" s="106"/>
      <c r="AD14" s="106"/>
      <c r="AE14" s="106"/>
      <c r="AF14" s="143"/>
      <c r="AG14" s="283">
        <f t="shared" si="3"/>
        <v>0</v>
      </c>
      <c r="AH14" s="283">
        <f>F14+J14+N14+R14+V14+Z14+AD14</f>
        <v>0</v>
      </c>
      <c r="AI14" s="283"/>
      <c r="AJ14" s="288">
        <f t="shared" si="25"/>
        <v>0</v>
      </c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283">
        <f t="shared" si="8"/>
        <v>0</v>
      </c>
      <c r="BB14" s="283">
        <f>AL14+AP14+AT14+AX14</f>
        <v>0</v>
      </c>
      <c r="BC14" s="283"/>
      <c r="BD14" s="283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8"/>
      <c r="BP14" s="106"/>
      <c r="BQ14" s="106"/>
      <c r="BR14" s="106"/>
      <c r="BS14" s="106"/>
      <c r="BT14" s="143"/>
      <c r="BU14" s="106"/>
      <c r="BV14" s="193"/>
      <c r="BW14" s="107"/>
      <c r="BX14" s="143"/>
      <c r="BY14" s="143"/>
      <c r="BZ14" s="143"/>
      <c r="CA14" s="143"/>
      <c r="CB14" s="143"/>
      <c r="CC14" s="143"/>
      <c r="CD14" s="143"/>
      <c r="CE14" s="143"/>
      <c r="CF14" s="143"/>
      <c r="CG14" s="283">
        <f t="shared" si="28"/>
        <v>0</v>
      </c>
      <c r="CH14" s="289">
        <f t="shared" si="28"/>
        <v>0</v>
      </c>
      <c r="CI14" s="283" t="e">
        <f>CH14/CG14*100</f>
        <v>#DIV/0!</v>
      </c>
      <c r="CJ14" s="283">
        <f>CH14-CG14</f>
        <v>0</v>
      </c>
      <c r="CL14" s="142">
        <f t="shared" si="16"/>
        <v>0</v>
      </c>
      <c r="CM14" s="137">
        <f t="shared" si="17"/>
        <v>0</v>
      </c>
      <c r="CO14" s="146">
        <f t="shared" si="15"/>
        <v>0</v>
      </c>
    </row>
    <row r="15" spans="1:128" hidden="1">
      <c r="A15" s="125">
        <v>224</v>
      </c>
      <c r="B15" s="905" t="s">
        <v>401</v>
      </c>
      <c r="C15" s="906"/>
      <c r="D15" s="907"/>
      <c r="E15" s="108"/>
      <c r="F15" s="108"/>
      <c r="G15" s="108"/>
      <c r="H15" s="108"/>
      <c r="I15" s="108"/>
      <c r="J15" s="108"/>
      <c r="K15" s="108"/>
      <c r="L15" s="122"/>
      <c r="M15" s="108"/>
      <c r="N15" s="108"/>
      <c r="O15" s="108"/>
      <c r="P15" s="122"/>
      <c r="Q15" s="108"/>
      <c r="R15" s="108"/>
      <c r="S15" s="109"/>
      <c r="T15" s="108"/>
      <c r="U15" s="108"/>
      <c r="V15" s="108"/>
      <c r="W15" s="108"/>
      <c r="X15" s="122"/>
      <c r="Y15" s="108"/>
      <c r="Z15" s="108"/>
      <c r="AA15" s="108"/>
      <c r="AB15" s="122"/>
      <c r="AC15" s="108"/>
      <c r="AD15" s="108"/>
      <c r="AE15" s="108"/>
      <c r="AF15" s="122"/>
      <c r="AG15" s="283">
        <f t="shared" si="3"/>
        <v>0</v>
      </c>
      <c r="AH15" s="285"/>
      <c r="AI15" s="285"/>
      <c r="AJ15" s="287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283">
        <f t="shared" si="8"/>
        <v>0</v>
      </c>
      <c r="BB15" s="285">
        <f>AL15+AP15+AT15+AX15</f>
        <v>0</v>
      </c>
      <c r="BC15" s="285"/>
      <c r="BD15" s="285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22"/>
      <c r="BU15" s="108"/>
      <c r="BV15" s="153"/>
      <c r="BW15" s="110"/>
      <c r="BX15" s="122"/>
      <c r="BY15" s="122"/>
      <c r="BZ15" s="122"/>
      <c r="CA15" s="144"/>
      <c r="CB15" s="122"/>
      <c r="CC15" s="122"/>
      <c r="CD15" s="122"/>
      <c r="CE15" s="144"/>
      <c r="CF15" s="122"/>
      <c r="CG15" s="285">
        <f t="shared" si="28"/>
        <v>0</v>
      </c>
      <c r="CH15" s="273">
        <f t="shared" si="28"/>
        <v>0</v>
      </c>
      <c r="CI15" s="285"/>
      <c r="CJ15" s="285"/>
      <c r="CL15" s="142">
        <f t="shared" si="16"/>
        <v>0</v>
      </c>
      <c r="CM15" s="137">
        <f t="shared" si="17"/>
        <v>0</v>
      </c>
      <c r="CO15" s="146">
        <f t="shared" si="15"/>
        <v>0</v>
      </c>
    </row>
    <row r="16" spans="1:128" s="141" customFormat="1" ht="13.5">
      <c r="A16" s="123">
        <v>225</v>
      </c>
      <c r="B16" s="899" t="s">
        <v>206</v>
      </c>
      <c r="C16" s="900"/>
      <c r="D16" s="901"/>
      <c r="E16" s="116">
        <f>SUM(E17:E24)</f>
        <v>11</v>
      </c>
      <c r="F16" s="116">
        <f>SUM(F17:F24)</f>
        <v>0</v>
      </c>
      <c r="G16" s="113">
        <f>F16/E16*100</f>
        <v>0</v>
      </c>
      <c r="H16" s="116">
        <f t="shared" si="0"/>
        <v>-11</v>
      </c>
      <c r="I16" s="116">
        <f>SUM(I17:I24)</f>
        <v>11</v>
      </c>
      <c r="J16" s="116">
        <f>SUM(J17:J24)</f>
        <v>0</v>
      </c>
      <c r="K16" s="116">
        <f>J16/I16*100</f>
        <v>0</v>
      </c>
      <c r="L16" s="123">
        <f t="shared" si="21"/>
        <v>-11</v>
      </c>
      <c r="M16" s="116">
        <f>SUM(M17:M24)</f>
        <v>20</v>
      </c>
      <c r="N16" s="116">
        <f>SUM(N17:N24)</f>
        <v>0</v>
      </c>
      <c r="O16" s="116">
        <f>N16/M16*100</f>
        <v>0</v>
      </c>
      <c r="P16" s="123">
        <f t="shared" si="22"/>
        <v>-20</v>
      </c>
      <c r="Q16" s="116">
        <f>SUM(Q17:Q24)</f>
        <v>20</v>
      </c>
      <c r="R16" s="116">
        <f>SUM(R17:R24)</f>
        <v>0</v>
      </c>
      <c r="S16" s="116">
        <f t="shared" si="23"/>
        <v>0</v>
      </c>
      <c r="T16" s="116">
        <f>R16-Q16</f>
        <v>-20</v>
      </c>
      <c r="U16" s="116">
        <f>SUM(U17:U24)</f>
        <v>11</v>
      </c>
      <c r="V16" s="116">
        <f>SUM(V17:V24)</f>
        <v>0</v>
      </c>
      <c r="W16" s="116">
        <f>V16/U16*100</f>
        <v>0</v>
      </c>
      <c r="X16" s="123">
        <f t="shared" si="24"/>
        <v>-11</v>
      </c>
      <c r="Y16" s="116">
        <f>SUM(Y17:Y24)</f>
        <v>15</v>
      </c>
      <c r="Z16" s="116">
        <f>SUM(Z17:Z24)</f>
        <v>0</v>
      </c>
      <c r="AA16" s="116"/>
      <c r="AB16" s="123">
        <f t="shared" si="1"/>
        <v>-15</v>
      </c>
      <c r="AC16" s="116">
        <f>SUM(AC17:AC24)</f>
        <v>11</v>
      </c>
      <c r="AD16" s="116">
        <f>SUM(AD17:AD24)</f>
        <v>0</v>
      </c>
      <c r="AE16" s="116">
        <f>AD16/AC16*100</f>
        <v>0</v>
      </c>
      <c r="AF16" s="123">
        <f t="shared" si="2"/>
        <v>-11</v>
      </c>
      <c r="AG16" s="283">
        <f t="shared" si="3"/>
        <v>99</v>
      </c>
      <c r="AH16" s="284">
        <f>SUM(AH17:AH24)</f>
        <v>0</v>
      </c>
      <c r="AI16" s="284">
        <f t="shared" ref="AI16:AI34" si="29">AH16/AG16*100</f>
        <v>0</v>
      </c>
      <c r="AJ16" s="286">
        <f t="shared" si="25"/>
        <v>-99</v>
      </c>
      <c r="AK16" s="116">
        <f>SUM(AK17:AK23)</f>
        <v>15</v>
      </c>
      <c r="AL16" s="116">
        <f>SUM(AL17:AL23)</f>
        <v>0</v>
      </c>
      <c r="AM16" s="113">
        <f t="shared" si="26"/>
        <v>0</v>
      </c>
      <c r="AN16" s="116">
        <f t="shared" si="4"/>
        <v>-15</v>
      </c>
      <c r="AO16" s="116">
        <f>SUM(AO17:AO23)</f>
        <v>5</v>
      </c>
      <c r="AP16" s="116">
        <f>SUM(AP17:AP23)</f>
        <v>0</v>
      </c>
      <c r="AQ16" s="113">
        <f>AP16/AO16*100</f>
        <v>0</v>
      </c>
      <c r="AR16" s="116">
        <f>AP16-AO16</f>
        <v>-5</v>
      </c>
      <c r="AS16" s="116">
        <f>SUM(AS17:AS23)</f>
        <v>15</v>
      </c>
      <c r="AT16" s="116">
        <f>SUM(AT17:AT23)</f>
        <v>0</v>
      </c>
      <c r="AU16" s="113">
        <f>AT16/AS16*100</f>
        <v>0</v>
      </c>
      <c r="AV16" s="116">
        <f>AT16-AS16</f>
        <v>-15</v>
      </c>
      <c r="AW16" s="116">
        <f>SUM(AW17:AW23)</f>
        <v>15</v>
      </c>
      <c r="AX16" s="116">
        <f>SUM(AX17:AX23)</f>
        <v>0</v>
      </c>
      <c r="AY16" s="113">
        <f>AX16/AW16*100</f>
        <v>0</v>
      </c>
      <c r="AZ16" s="116">
        <f>AX16-AW16</f>
        <v>-15</v>
      </c>
      <c r="BA16" s="283">
        <f t="shared" si="8"/>
        <v>50</v>
      </c>
      <c r="BB16" s="292">
        <f>SUM(BB17:BB24)</f>
        <v>0</v>
      </c>
      <c r="BC16" s="283">
        <f>BB16/BA16*100</f>
        <v>0</v>
      </c>
      <c r="BD16" s="284">
        <f>BB16-BA16</f>
        <v>-50</v>
      </c>
      <c r="BE16" s="116">
        <f>SUM(BE17:BE23)</f>
        <v>0</v>
      </c>
      <c r="BF16" s="116">
        <f>SUM(BF17:BF23)</f>
        <v>0</v>
      </c>
      <c r="BG16" s="113"/>
      <c r="BH16" s="116">
        <f>BF16-BE16</f>
        <v>0</v>
      </c>
      <c r="BI16" s="116">
        <f>SUM(BI17:BI23)</f>
        <v>0</v>
      </c>
      <c r="BJ16" s="116">
        <f>SUM(BJ17:BJ23)</f>
        <v>0</v>
      </c>
      <c r="BK16" s="113"/>
      <c r="BL16" s="116">
        <f>BJ16-BI16</f>
        <v>0</v>
      </c>
      <c r="BM16" s="116">
        <f>SUM(BM17:BM23)</f>
        <v>0</v>
      </c>
      <c r="BN16" s="116">
        <f>SUM(BN17:BN23)</f>
        <v>0</v>
      </c>
      <c r="BO16" s="108" t="e">
        <f>BN16/BM16*100</f>
        <v>#DIV/0!</v>
      </c>
      <c r="BP16" s="116">
        <f t="shared" ref="BP16:BP23" si="30">BN16-BM16</f>
        <v>0</v>
      </c>
      <c r="BQ16" s="116">
        <f>SUM(BQ17:BQ23)</f>
        <v>0.4</v>
      </c>
      <c r="BR16" s="116">
        <f>SUM(BR17:BR23)</f>
        <v>0</v>
      </c>
      <c r="BS16" s="116"/>
      <c r="BT16" s="123">
        <f t="shared" si="27"/>
        <v>-0.4</v>
      </c>
      <c r="BU16" s="116">
        <f>SUM(BU17:BU23)</f>
        <v>54</v>
      </c>
      <c r="BV16" s="154">
        <f>SUM(BV17:BV23)</f>
        <v>0</v>
      </c>
      <c r="BW16" s="117">
        <f>BV16/BU16*100</f>
        <v>0</v>
      </c>
      <c r="BX16" s="123">
        <f t="shared" si="20"/>
        <v>-54</v>
      </c>
      <c r="BY16" s="154">
        <f>SUM(BY17:BY23)</f>
        <v>1.5</v>
      </c>
      <c r="BZ16" s="116">
        <f>SUM(BZ17:BZ23)</f>
        <v>0</v>
      </c>
      <c r="CA16" s="117">
        <f>BZ16/BY16*100</f>
        <v>0</v>
      </c>
      <c r="CB16" s="123">
        <f>BZ16-BY16</f>
        <v>-1.5</v>
      </c>
      <c r="CC16" s="154">
        <f>SUM(CC17:CC23)</f>
        <v>0</v>
      </c>
      <c r="CD16" s="116">
        <f>SUM(CD17:CD23)</f>
        <v>0</v>
      </c>
      <c r="CE16" s="117" t="e">
        <f>CD16/CC16*100</f>
        <v>#DIV/0!</v>
      </c>
      <c r="CF16" s="123">
        <f>CD16-CC16</f>
        <v>0</v>
      </c>
      <c r="CG16" s="284">
        <f>SUM(CG17:CG24)</f>
        <v>204.9</v>
      </c>
      <c r="CH16" s="292">
        <f>SUM(CH17:CH24)</f>
        <v>0</v>
      </c>
      <c r="CI16" s="284">
        <f t="shared" si="13"/>
        <v>0</v>
      </c>
      <c r="CJ16" s="284">
        <f t="shared" si="14"/>
        <v>-204.9</v>
      </c>
      <c r="CK16" s="141">
        <v>66.5</v>
      </c>
      <c r="CL16" s="137">
        <f t="shared" si="16"/>
        <v>0</v>
      </c>
      <c r="CM16" s="137">
        <f t="shared" si="17"/>
        <v>204.89999999999998</v>
      </c>
      <c r="CO16" s="146">
        <f t="shared" si="15"/>
        <v>0</v>
      </c>
    </row>
    <row r="17" spans="1:93" ht="12.75" hidden="1" customHeight="1">
      <c r="A17" s="122"/>
      <c r="B17" s="893" t="s">
        <v>266</v>
      </c>
      <c r="C17" s="894"/>
      <c r="D17" s="895"/>
      <c r="E17" s="108"/>
      <c r="F17" s="108"/>
      <c r="G17" s="108"/>
      <c r="H17" s="108">
        <f t="shared" si="0"/>
        <v>0</v>
      </c>
      <c r="I17" s="108"/>
      <c r="J17" s="108"/>
      <c r="K17" s="108"/>
      <c r="L17" s="122">
        <f t="shared" si="21"/>
        <v>0</v>
      </c>
      <c r="M17" s="108"/>
      <c r="N17" s="108"/>
      <c r="O17" s="108"/>
      <c r="P17" s="122">
        <f t="shared" si="22"/>
        <v>0</v>
      </c>
      <c r="Q17" s="108"/>
      <c r="R17" s="108"/>
      <c r="S17" s="109" t="e">
        <f t="shared" si="23"/>
        <v>#DIV/0!</v>
      </c>
      <c r="T17" s="109">
        <f t="shared" ref="T17:T28" si="31">R17-Q17</f>
        <v>0</v>
      </c>
      <c r="U17" s="108"/>
      <c r="V17" s="108"/>
      <c r="W17" s="108"/>
      <c r="X17" s="122">
        <f t="shared" si="24"/>
        <v>0</v>
      </c>
      <c r="Y17" s="108"/>
      <c r="Z17" s="108"/>
      <c r="AA17" s="108"/>
      <c r="AB17" s="122">
        <f t="shared" si="1"/>
        <v>0</v>
      </c>
      <c r="AC17" s="108"/>
      <c r="AD17" s="108"/>
      <c r="AE17" s="108"/>
      <c r="AF17" s="122">
        <f t="shared" si="2"/>
        <v>0</v>
      </c>
      <c r="AG17" s="283">
        <f t="shared" si="3"/>
        <v>0</v>
      </c>
      <c r="AH17" s="285">
        <f t="shared" si="3"/>
        <v>0</v>
      </c>
      <c r="AI17" s="285" t="e">
        <f t="shared" si="29"/>
        <v>#DIV/0!</v>
      </c>
      <c r="AJ17" s="287">
        <f t="shared" si="25"/>
        <v>0</v>
      </c>
      <c r="AK17" s="108"/>
      <c r="AL17" s="108"/>
      <c r="AM17" s="108" t="e">
        <f t="shared" si="26"/>
        <v>#DIV/0!</v>
      </c>
      <c r="AN17" s="108">
        <f t="shared" si="4"/>
        <v>0</v>
      </c>
      <c r="AO17" s="108"/>
      <c r="AP17" s="108"/>
      <c r="AQ17" s="108" t="e">
        <f>AP17/AO17*100</f>
        <v>#DIV/0!</v>
      </c>
      <c r="AR17" s="108">
        <f>AP17-AO17</f>
        <v>0</v>
      </c>
      <c r="AS17" s="108"/>
      <c r="AT17" s="108"/>
      <c r="AU17" s="108" t="e">
        <f>AT17/AS17*100</f>
        <v>#DIV/0!</v>
      </c>
      <c r="AV17" s="108">
        <f>AT17-AS17</f>
        <v>0</v>
      </c>
      <c r="AW17" s="108"/>
      <c r="AX17" s="108"/>
      <c r="AY17" s="108" t="e">
        <f>AX17/AW17*100</f>
        <v>#DIV/0!</v>
      </c>
      <c r="AZ17" s="108">
        <f>AX17-AW17</f>
        <v>0</v>
      </c>
      <c r="BA17" s="283">
        <f t="shared" si="8"/>
        <v>0</v>
      </c>
      <c r="BB17" s="285"/>
      <c r="BC17" s="285" t="e">
        <f>BB17/BA17*100</f>
        <v>#DIV/0!</v>
      </c>
      <c r="BD17" s="285">
        <f>BB17-BA17</f>
        <v>0</v>
      </c>
      <c r="BE17" s="108"/>
      <c r="BF17" s="108"/>
      <c r="BG17" s="108" t="e">
        <f>BF17/BE17*100</f>
        <v>#DIV/0!</v>
      </c>
      <c r="BH17" s="108">
        <f>BF17-BE17</f>
        <v>0</v>
      </c>
      <c r="BI17" s="108"/>
      <c r="BJ17" s="108"/>
      <c r="BK17" s="108" t="e">
        <f>BJ17/BI17*100</f>
        <v>#DIV/0!</v>
      </c>
      <c r="BL17" s="108">
        <f>BJ17-BI17</f>
        <v>0</v>
      </c>
      <c r="BM17" s="108"/>
      <c r="BN17" s="108"/>
      <c r="BO17" s="108"/>
      <c r="BP17" s="108">
        <f t="shared" si="30"/>
        <v>0</v>
      </c>
      <c r="BQ17" s="108"/>
      <c r="BR17" s="108"/>
      <c r="BS17" s="108"/>
      <c r="BT17" s="122">
        <f t="shared" si="27"/>
        <v>0</v>
      </c>
      <c r="BU17" s="108"/>
      <c r="BV17" s="153"/>
      <c r="BW17" s="110"/>
      <c r="BX17" s="122">
        <f t="shared" si="20"/>
        <v>0</v>
      </c>
      <c r="BY17" s="122"/>
      <c r="BZ17" s="122"/>
      <c r="CA17" s="122"/>
      <c r="CB17" s="122"/>
      <c r="CC17" s="122"/>
      <c r="CD17" s="122"/>
      <c r="CE17" s="122"/>
      <c r="CF17" s="122"/>
      <c r="CG17" s="283">
        <f t="shared" ref="CG17:CG65" si="32">AG17+BA17+BE17+BI17+BM17+BQ17+BU17+BY17</f>
        <v>0</v>
      </c>
      <c r="CH17" s="273">
        <f t="shared" ref="CH17:CH23" si="33">R17+V17+Z17+AD17+BR17+BV17+F17+J17+N17+AL17+BZ17+AP17+AT17+AX17+BF17</f>
        <v>0</v>
      </c>
      <c r="CI17" s="290" t="e">
        <f t="shared" si="13"/>
        <v>#DIV/0!</v>
      </c>
      <c r="CJ17" s="285">
        <f t="shared" si="14"/>
        <v>0</v>
      </c>
      <c r="CL17" s="142">
        <f t="shared" si="16"/>
        <v>0</v>
      </c>
      <c r="CM17" s="137">
        <f t="shared" si="17"/>
        <v>0</v>
      </c>
      <c r="CO17" s="146">
        <f t="shared" si="15"/>
        <v>0</v>
      </c>
    </row>
    <row r="18" spans="1:93" ht="13.5" hidden="1" customHeight="1">
      <c r="A18" s="122"/>
      <c r="B18" s="893" t="s">
        <v>407</v>
      </c>
      <c r="C18" s="894"/>
      <c r="D18" s="895"/>
      <c r="E18" s="108"/>
      <c r="F18" s="108"/>
      <c r="G18" s="108"/>
      <c r="H18" s="108"/>
      <c r="I18" s="108"/>
      <c r="J18" s="108"/>
      <c r="K18" s="108"/>
      <c r="L18" s="122"/>
      <c r="M18" s="108"/>
      <c r="N18" s="108"/>
      <c r="O18" s="108"/>
      <c r="P18" s="122"/>
      <c r="Q18" s="108"/>
      <c r="R18" s="108"/>
      <c r="S18" s="109"/>
      <c r="T18" s="109"/>
      <c r="U18" s="108"/>
      <c r="V18" s="108"/>
      <c r="W18" s="108"/>
      <c r="X18" s="122"/>
      <c r="Y18" s="108"/>
      <c r="Z18" s="108"/>
      <c r="AA18" s="108"/>
      <c r="AB18" s="122"/>
      <c r="AC18" s="108"/>
      <c r="AD18" s="108"/>
      <c r="AE18" s="108"/>
      <c r="AF18" s="122"/>
      <c r="AG18" s="283">
        <f t="shared" si="3"/>
        <v>0</v>
      </c>
      <c r="AH18" s="285">
        <f t="shared" si="3"/>
        <v>0</v>
      </c>
      <c r="AI18" s="285" t="e">
        <f t="shared" si="29"/>
        <v>#DIV/0!</v>
      </c>
      <c r="AJ18" s="287">
        <f t="shared" si="25"/>
        <v>0</v>
      </c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283">
        <f t="shared" si="8"/>
        <v>0</v>
      </c>
      <c r="BB18" s="285">
        <f t="shared" si="8"/>
        <v>0</v>
      </c>
      <c r="BC18" s="285"/>
      <c r="BD18" s="285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>
        <f t="shared" si="30"/>
        <v>0</v>
      </c>
      <c r="BQ18" s="108"/>
      <c r="BR18" s="108"/>
      <c r="BS18" s="108"/>
      <c r="BT18" s="122"/>
      <c r="BU18" s="108"/>
      <c r="BV18" s="153"/>
      <c r="BW18" s="110"/>
      <c r="BX18" s="122"/>
      <c r="BY18" s="122"/>
      <c r="BZ18" s="122"/>
      <c r="CA18" s="122"/>
      <c r="CB18" s="122"/>
      <c r="CC18" s="122"/>
      <c r="CD18" s="122"/>
      <c r="CE18" s="122"/>
      <c r="CF18" s="122"/>
      <c r="CG18" s="283">
        <f t="shared" si="32"/>
        <v>0</v>
      </c>
      <c r="CH18" s="273">
        <f t="shared" si="33"/>
        <v>0</v>
      </c>
      <c r="CI18" s="290" t="e">
        <f t="shared" si="13"/>
        <v>#DIV/0!</v>
      </c>
      <c r="CJ18" s="285">
        <f>CH18-CG18</f>
        <v>0</v>
      </c>
      <c r="CL18" s="142">
        <f t="shared" si="16"/>
        <v>0</v>
      </c>
      <c r="CM18" s="137">
        <f t="shared" si="17"/>
        <v>0</v>
      </c>
      <c r="CO18" s="146">
        <f t="shared" si="15"/>
        <v>0</v>
      </c>
    </row>
    <row r="19" spans="1:93" ht="13.5" customHeight="1">
      <c r="A19" s="122"/>
      <c r="B19" s="893" t="s">
        <v>207</v>
      </c>
      <c r="C19" s="894"/>
      <c r="D19" s="895"/>
      <c r="E19" s="108"/>
      <c r="F19" s="108"/>
      <c r="G19" s="108"/>
      <c r="H19" s="108"/>
      <c r="I19" s="108"/>
      <c r="J19" s="108"/>
      <c r="K19" s="108"/>
      <c r="L19" s="122">
        <f t="shared" si="21"/>
        <v>0</v>
      </c>
      <c r="M19" s="108"/>
      <c r="N19" s="108"/>
      <c r="O19" s="108"/>
      <c r="P19" s="122">
        <f t="shared" si="22"/>
        <v>0</v>
      </c>
      <c r="Q19" s="108"/>
      <c r="R19" s="108"/>
      <c r="S19" s="109"/>
      <c r="T19" s="109">
        <f t="shared" si="31"/>
        <v>0</v>
      </c>
      <c r="U19" s="108"/>
      <c r="V19" s="108"/>
      <c r="W19" s="108"/>
      <c r="X19" s="122"/>
      <c r="Y19" s="108"/>
      <c r="Z19" s="108"/>
      <c r="AA19" s="108"/>
      <c r="AB19" s="122">
        <f t="shared" si="1"/>
        <v>0</v>
      </c>
      <c r="AC19" s="108"/>
      <c r="AD19" s="108"/>
      <c r="AE19" s="108"/>
      <c r="AF19" s="122">
        <f t="shared" si="2"/>
        <v>0</v>
      </c>
      <c r="AG19" s="283">
        <f t="shared" si="3"/>
        <v>0</v>
      </c>
      <c r="AH19" s="285">
        <f t="shared" si="3"/>
        <v>0</v>
      </c>
      <c r="AI19" s="285" t="e">
        <f t="shared" si="29"/>
        <v>#DIV/0!</v>
      </c>
      <c r="AJ19" s="287">
        <f t="shared" si="25"/>
        <v>0</v>
      </c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283">
        <f t="shared" si="8"/>
        <v>0</v>
      </c>
      <c r="BB19" s="285">
        <f t="shared" si="8"/>
        <v>0</v>
      </c>
      <c r="BC19" s="285"/>
      <c r="BD19" s="285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>
        <f t="shared" si="30"/>
        <v>0</v>
      </c>
      <c r="BQ19" s="108"/>
      <c r="BR19" s="108"/>
      <c r="BS19" s="108"/>
      <c r="BT19" s="122"/>
      <c r="BU19" s="108">
        <v>14</v>
      </c>
      <c r="BV19" s="153"/>
      <c r="BW19" s="110"/>
      <c r="BX19" s="122">
        <f t="shared" si="20"/>
        <v>-14</v>
      </c>
      <c r="BY19" s="122"/>
      <c r="BZ19" s="122"/>
      <c r="CA19" s="122"/>
      <c r="CB19" s="122"/>
      <c r="CC19" s="122"/>
      <c r="CD19" s="122"/>
      <c r="CE19" s="122"/>
      <c r="CF19" s="122"/>
      <c r="CG19" s="283">
        <f t="shared" si="32"/>
        <v>14</v>
      </c>
      <c r="CH19" s="273">
        <f t="shared" si="33"/>
        <v>0</v>
      </c>
      <c r="CI19" s="290">
        <f t="shared" si="13"/>
        <v>0</v>
      </c>
      <c r="CJ19" s="285">
        <f>CH19-CG19</f>
        <v>-14</v>
      </c>
      <c r="CL19" s="142">
        <f t="shared" si="16"/>
        <v>0</v>
      </c>
      <c r="CM19" s="137">
        <f t="shared" si="17"/>
        <v>14</v>
      </c>
      <c r="CO19" s="146">
        <f t="shared" si="15"/>
        <v>0</v>
      </c>
    </row>
    <row r="20" spans="1:93" ht="13.5" hidden="1" customHeight="1">
      <c r="A20" s="122"/>
      <c r="B20" s="893" t="s">
        <v>270</v>
      </c>
      <c r="C20" s="894"/>
      <c r="D20" s="895"/>
      <c r="E20" s="108"/>
      <c r="F20" s="108"/>
      <c r="G20" s="108"/>
      <c r="H20" s="108"/>
      <c r="I20" s="108"/>
      <c r="J20" s="108"/>
      <c r="K20" s="108"/>
      <c r="L20" s="122"/>
      <c r="M20" s="108"/>
      <c r="N20" s="108"/>
      <c r="O20" s="108"/>
      <c r="P20" s="122"/>
      <c r="Q20" s="108"/>
      <c r="R20" s="108"/>
      <c r="S20" s="109"/>
      <c r="T20" s="109">
        <f t="shared" si="31"/>
        <v>0</v>
      </c>
      <c r="U20" s="108"/>
      <c r="V20" s="108"/>
      <c r="W20" s="108"/>
      <c r="X20" s="122"/>
      <c r="Y20" s="108"/>
      <c r="Z20" s="108"/>
      <c r="AA20" s="108"/>
      <c r="AB20" s="122"/>
      <c r="AC20" s="108"/>
      <c r="AD20" s="108"/>
      <c r="AE20" s="108"/>
      <c r="AF20" s="122"/>
      <c r="AG20" s="283">
        <f t="shared" si="3"/>
        <v>0</v>
      </c>
      <c r="AH20" s="285">
        <f t="shared" si="3"/>
        <v>0</v>
      </c>
      <c r="AI20" s="285" t="e">
        <f t="shared" si="29"/>
        <v>#DIV/0!</v>
      </c>
      <c r="AJ20" s="287">
        <f t="shared" si="25"/>
        <v>0</v>
      </c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283">
        <f t="shared" si="8"/>
        <v>0</v>
      </c>
      <c r="BB20" s="285">
        <f t="shared" si="8"/>
        <v>0</v>
      </c>
      <c r="BC20" s="285"/>
      <c r="BD20" s="285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>
        <f t="shared" si="30"/>
        <v>0</v>
      </c>
      <c r="BQ20" s="108"/>
      <c r="BR20" s="108"/>
      <c r="BS20" s="108"/>
      <c r="BT20" s="122"/>
      <c r="BU20" s="108"/>
      <c r="BV20" s="153"/>
      <c r="BW20" s="110" t="e">
        <f>BV20/BU20*100</f>
        <v>#DIV/0!</v>
      </c>
      <c r="BX20" s="122">
        <f t="shared" si="20"/>
        <v>0</v>
      </c>
      <c r="BY20" s="122"/>
      <c r="BZ20" s="122"/>
      <c r="CA20" s="122"/>
      <c r="CB20" s="122"/>
      <c r="CC20" s="122"/>
      <c r="CD20" s="122"/>
      <c r="CE20" s="122"/>
      <c r="CF20" s="122"/>
      <c r="CG20" s="283">
        <f t="shared" si="32"/>
        <v>0</v>
      </c>
      <c r="CH20" s="273">
        <f t="shared" si="33"/>
        <v>0</v>
      </c>
      <c r="CI20" s="290" t="e">
        <f t="shared" si="13"/>
        <v>#DIV/0!</v>
      </c>
      <c r="CJ20" s="285">
        <f>CH20-CG20</f>
        <v>0</v>
      </c>
      <c r="CL20" s="142">
        <f t="shared" si="16"/>
        <v>0</v>
      </c>
      <c r="CM20" s="137">
        <f t="shared" si="17"/>
        <v>0</v>
      </c>
      <c r="CO20" s="146">
        <f t="shared" si="15"/>
        <v>0</v>
      </c>
    </row>
    <row r="21" spans="1:93" ht="13.5" customHeight="1">
      <c r="A21" s="122"/>
      <c r="B21" s="893" t="s">
        <v>290</v>
      </c>
      <c r="C21" s="894"/>
      <c r="D21" s="895"/>
      <c r="E21" s="108"/>
      <c r="F21" s="108"/>
      <c r="G21" s="108"/>
      <c r="H21" s="108"/>
      <c r="I21" s="108"/>
      <c r="J21" s="108"/>
      <c r="K21" s="108"/>
      <c r="L21" s="122"/>
      <c r="M21" s="108"/>
      <c r="N21" s="108"/>
      <c r="O21" s="108"/>
      <c r="P21" s="122"/>
      <c r="Q21" s="108"/>
      <c r="R21" s="108"/>
      <c r="S21" s="109"/>
      <c r="T21" s="109"/>
      <c r="U21" s="108"/>
      <c r="V21" s="108"/>
      <c r="W21" s="108"/>
      <c r="X21" s="122"/>
      <c r="Y21" s="108"/>
      <c r="Z21" s="108"/>
      <c r="AA21" s="108"/>
      <c r="AB21" s="122"/>
      <c r="AC21" s="108"/>
      <c r="AD21" s="108"/>
      <c r="AE21" s="108"/>
      <c r="AF21" s="122"/>
      <c r="AG21" s="283">
        <f t="shared" si="3"/>
        <v>0</v>
      </c>
      <c r="AH21" s="285">
        <f t="shared" si="3"/>
        <v>0</v>
      </c>
      <c r="AI21" s="285" t="e">
        <f t="shared" si="29"/>
        <v>#DIV/0!</v>
      </c>
      <c r="AJ21" s="287">
        <f t="shared" si="25"/>
        <v>0</v>
      </c>
      <c r="AK21" s="108">
        <v>15</v>
      </c>
      <c r="AL21" s="108"/>
      <c r="AM21" s="108"/>
      <c r="AN21" s="108"/>
      <c r="AO21" s="108">
        <v>5</v>
      </c>
      <c r="AP21" s="108"/>
      <c r="AQ21" s="108"/>
      <c r="AR21" s="108"/>
      <c r="AS21" s="108">
        <v>15</v>
      </c>
      <c r="AT21" s="108"/>
      <c r="AU21" s="108"/>
      <c r="AV21" s="108"/>
      <c r="AW21" s="108">
        <v>15</v>
      </c>
      <c r="AX21" s="108"/>
      <c r="AY21" s="108"/>
      <c r="AZ21" s="108"/>
      <c r="BA21" s="283">
        <f t="shared" si="8"/>
        <v>50</v>
      </c>
      <c r="BB21" s="285">
        <f t="shared" si="8"/>
        <v>0</v>
      </c>
      <c r="BC21" s="285"/>
      <c r="BD21" s="285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 t="e">
        <f>BN21/BM21*100</f>
        <v>#DIV/0!</v>
      </c>
      <c r="BP21" s="108">
        <f t="shared" si="30"/>
        <v>0</v>
      </c>
      <c r="BQ21" s="153">
        <v>0.4</v>
      </c>
      <c r="BR21" s="153"/>
      <c r="BS21" s="108"/>
      <c r="BT21" s="122"/>
      <c r="BU21" s="108"/>
      <c r="BV21" s="153"/>
      <c r="BW21" s="110"/>
      <c r="BX21" s="122"/>
      <c r="BY21" s="122"/>
      <c r="BZ21" s="122"/>
      <c r="CA21" s="122"/>
      <c r="CB21" s="122"/>
      <c r="CC21" s="122"/>
      <c r="CD21" s="122"/>
      <c r="CE21" s="122"/>
      <c r="CF21" s="122"/>
      <c r="CG21" s="283">
        <f t="shared" si="32"/>
        <v>50.4</v>
      </c>
      <c r="CH21" s="273">
        <f t="shared" si="33"/>
        <v>0</v>
      </c>
      <c r="CI21" s="290">
        <f t="shared" si="13"/>
        <v>0</v>
      </c>
      <c r="CJ21" s="285">
        <f>CH21-CG21</f>
        <v>-50.4</v>
      </c>
      <c r="CL21" s="142">
        <f t="shared" si="16"/>
        <v>0</v>
      </c>
      <c r="CM21" s="137">
        <f t="shared" si="17"/>
        <v>50.4</v>
      </c>
      <c r="CO21" s="146">
        <f t="shared" si="15"/>
        <v>0</v>
      </c>
    </row>
    <row r="22" spans="1:93" ht="12.6" customHeight="1">
      <c r="A22" s="122"/>
      <c r="B22" s="893" t="s">
        <v>268</v>
      </c>
      <c r="C22" s="894"/>
      <c r="D22" s="895"/>
      <c r="E22" s="108"/>
      <c r="F22" s="108"/>
      <c r="G22" s="108" t="e">
        <f>F22/E22*100</f>
        <v>#DIV/0!</v>
      </c>
      <c r="H22" s="108"/>
      <c r="I22" s="108"/>
      <c r="J22" s="108"/>
      <c r="K22" s="108"/>
      <c r="L22" s="122">
        <f t="shared" ref="L22:L28" si="34">J22-I22</f>
        <v>0</v>
      </c>
      <c r="M22" s="108"/>
      <c r="N22" s="108"/>
      <c r="O22" s="108"/>
      <c r="P22" s="122">
        <f t="shared" si="22"/>
        <v>0</v>
      </c>
      <c r="Q22" s="108"/>
      <c r="R22" s="108"/>
      <c r="S22" s="108" t="e">
        <f>R22/Q22*100</f>
        <v>#DIV/0!</v>
      </c>
      <c r="T22" s="108">
        <f t="shared" si="31"/>
        <v>0</v>
      </c>
      <c r="U22" s="108"/>
      <c r="V22" s="108"/>
      <c r="W22" s="108"/>
      <c r="X22" s="122">
        <f>V22-U22</f>
        <v>0</v>
      </c>
      <c r="Y22" s="108"/>
      <c r="Z22" s="108"/>
      <c r="AA22" s="108"/>
      <c r="AB22" s="122">
        <f>Z22-Y22</f>
        <v>0</v>
      </c>
      <c r="AC22" s="108"/>
      <c r="AD22" s="108"/>
      <c r="AE22" s="108" t="e">
        <f>AD22/AC22*100</f>
        <v>#DIV/0!</v>
      </c>
      <c r="AF22" s="122"/>
      <c r="AG22" s="283">
        <f t="shared" si="3"/>
        <v>0</v>
      </c>
      <c r="AH22" s="285">
        <f t="shared" si="3"/>
        <v>0</v>
      </c>
      <c r="AI22" s="285" t="e">
        <f t="shared" si="29"/>
        <v>#DIV/0!</v>
      </c>
      <c r="AJ22" s="287">
        <f t="shared" si="25"/>
        <v>0</v>
      </c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283">
        <f t="shared" si="8"/>
        <v>0</v>
      </c>
      <c r="BB22" s="285">
        <f t="shared" si="8"/>
        <v>0</v>
      </c>
      <c r="BC22" s="285"/>
      <c r="BD22" s="285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>
        <f t="shared" si="30"/>
        <v>0</v>
      </c>
      <c r="BQ22" s="108"/>
      <c r="BR22" s="108"/>
      <c r="BS22" s="108"/>
      <c r="BT22" s="122">
        <f>BR22-BQ22</f>
        <v>0</v>
      </c>
      <c r="BU22" s="108">
        <v>40</v>
      </c>
      <c r="BV22" s="153"/>
      <c r="BW22" s="110">
        <f>BV22/BU22*100</f>
        <v>0</v>
      </c>
      <c r="BX22" s="122">
        <f t="shared" si="20"/>
        <v>-40</v>
      </c>
      <c r="BY22" s="156">
        <v>1.5</v>
      </c>
      <c r="BZ22" s="122"/>
      <c r="CA22" s="122"/>
      <c r="CB22" s="122"/>
      <c r="CC22" s="156"/>
      <c r="CD22" s="122"/>
      <c r="CE22" s="122"/>
      <c r="CF22" s="122"/>
      <c r="CG22" s="283">
        <f t="shared" si="32"/>
        <v>41.5</v>
      </c>
      <c r="CH22" s="273">
        <f t="shared" si="33"/>
        <v>0</v>
      </c>
      <c r="CI22" s="290">
        <f t="shared" si="13"/>
        <v>0</v>
      </c>
      <c r="CJ22" s="285">
        <f>CH22-CG22</f>
        <v>-41.5</v>
      </c>
      <c r="CL22" s="142">
        <f t="shared" si="16"/>
        <v>0</v>
      </c>
      <c r="CM22" s="137">
        <f t="shared" si="17"/>
        <v>41.5</v>
      </c>
      <c r="CO22" s="146">
        <f t="shared" si="15"/>
        <v>0</v>
      </c>
    </row>
    <row r="23" spans="1:93" ht="12.75" hidden="1" customHeight="1">
      <c r="A23" s="122"/>
      <c r="B23" s="893" t="s">
        <v>208</v>
      </c>
      <c r="C23" s="894"/>
      <c r="D23" s="895"/>
      <c r="E23" s="108"/>
      <c r="F23" s="108"/>
      <c r="G23" s="108" t="e">
        <f>F23/E23*100</f>
        <v>#DIV/0!</v>
      </c>
      <c r="H23" s="108">
        <f t="shared" si="0"/>
        <v>0</v>
      </c>
      <c r="I23" s="108"/>
      <c r="J23" s="108"/>
      <c r="K23" s="108"/>
      <c r="L23" s="122">
        <f t="shared" si="34"/>
        <v>0</v>
      </c>
      <c r="M23" s="108"/>
      <c r="N23" s="108"/>
      <c r="O23" s="108"/>
      <c r="P23" s="122">
        <f t="shared" si="22"/>
        <v>0</v>
      </c>
      <c r="Q23" s="108"/>
      <c r="R23" s="108"/>
      <c r="S23" s="108"/>
      <c r="T23" s="108">
        <f t="shared" si="31"/>
        <v>0</v>
      </c>
      <c r="U23" s="108"/>
      <c r="V23" s="108"/>
      <c r="W23" s="108" t="e">
        <f>V23/U23*100</f>
        <v>#DIV/0!</v>
      </c>
      <c r="X23" s="122"/>
      <c r="Y23" s="108"/>
      <c r="Z23" s="108"/>
      <c r="AA23" s="108"/>
      <c r="AB23" s="122">
        <f>Z23-Y23</f>
        <v>0</v>
      </c>
      <c r="AC23" s="108"/>
      <c r="AD23" s="108"/>
      <c r="AE23" s="108" t="e">
        <f>AD23/AC23*100</f>
        <v>#DIV/0!</v>
      </c>
      <c r="AF23" s="122">
        <f>AD23-AC23</f>
        <v>0</v>
      </c>
      <c r="AG23" s="283">
        <f t="shared" si="3"/>
        <v>0</v>
      </c>
      <c r="AH23" s="285">
        <f t="shared" si="3"/>
        <v>0</v>
      </c>
      <c r="AI23" s="285" t="e">
        <f t="shared" si="29"/>
        <v>#DIV/0!</v>
      </c>
      <c r="AJ23" s="287">
        <f t="shared" si="25"/>
        <v>0</v>
      </c>
      <c r="AK23" s="108"/>
      <c r="AL23" s="108"/>
      <c r="AM23" s="108"/>
      <c r="AN23" s="108">
        <f>AL23-AK23</f>
        <v>0</v>
      </c>
      <c r="AO23" s="108"/>
      <c r="AP23" s="108"/>
      <c r="AQ23" s="108"/>
      <c r="AR23" s="108">
        <f>AP23-AO23</f>
        <v>0</v>
      </c>
      <c r="AS23" s="108"/>
      <c r="AT23" s="108"/>
      <c r="AU23" s="108"/>
      <c r="AV23" s="108">
        <f>AT23-AS23</f>
        <v>0</v>
      </c>
      <c r="AW23" s="108"/>
      <c r="AX23" s="108"/>
      <c r="AY23" s="108"/>
      <c r="AZ23" s="108">
        <f>AX23-AW23</f>
        <v>0</v>
      </c>
      <c r="BA23" s="283">
        <f t="shared" si="8"/>
        <v>0</v>
      </c>
      <c r="BB23" s="285">
        <f t="shared" si="8"/>
        <v>0</v>
      </c>
      <c r="BC23" s="285"/>
      <c r="BD23" s="285">
        <f>BB23-BA23</f>
        <v>0</v>
      </c>
      <c r="BE23" s="108"/>
      <c r="BF23" s="108"/>
      <c r="BG23" s="108"/>
      <c r="BH23" s="108">
        <f>BF23-BE23</f>
        <v>0</v>
      </c>
      <c r="BI23" s="108"/>
      <c r="BJ23" s="108"/>
      <c r="BK23" s="108"/>
      <c r="BL23" s="108">
        <f>BJ23-BI23</f>
        <v>0</v>
      </c>
      <c r="BM23" s="108"/>
      <c r="BN23" s="108"/>
      <c r="BO23" s="108"/>
      <c r="BP23" s="108">
        <f t="shared" si="30"/>
        <v>0</v>
      </c>
      <c r="BQ23" s="108"/>
      <c r="BR23" s="108"/>
      <c r="BS23" s="108"/>
      <c r="BT23" s="122"/>
      <c r="BU23" s="108"/>
      <c r="BV23" s="153"/>
      <c r="BW23" s="110"/>
      <c r="BX23" s="122"/>
      <c r="BY23" s="122"/>
      <c r="BZ23" s="122"/>
      <c r="CA23" s="122"/>
      <c r="CB23" s="122"/>
      <c r="CC23" s="122"/>
      <c r="CD23" s="122"/>
      <c r="CE23" s="122"/>
      <c r="CF23" s="122"/>
      <c r="CG23" s="283">
        <f t="shared" si="32"/>
        <v>0</v>
      </c>
      <c r="CH23" s="273">
        <f t="shared" si="33"/>
        <v>0</v>
      </c>
      <c r="CI23" s="285" t="e">
        <f t="shared" si="13"/>
        <v>#DIV/0!</v>
      </c>
      <c r="CJ23" s="285">
        <f t="shared" si="14"/>
        <v>0</v>
      </c>
      <c r="CL23" s="142">
        <f t="shared" si="16"/>
        <v>0</v>
      </c>
      <c r="CM23" s="137">
        <f t="shared" si="17"/>
        <v>0</v>
      </c>
      <c r="CO23" s="146">
        <f t="shared" si="15"/>
        <v>0</v>
      </c>
    </row>
    <row r="24" spans="1:93" ht="12.75" customHeight="1">
      <c r="A24" s="122"/>
      <c r="B24" s="875" t="s">
        <v>246</v>
      </c>
      <c r="C24" s="876"/>
      <c r="D24" s="877"/>
      <c r="E24" s="108">
        <v>11</v>
      </c>
      <c r="F24" s="108"/>
      <c r="G24" s="108">
        <f>F24/E24*100</f>
        <v>0</v>
      </c>
      <c r="H24" s="108"/>
      <c r="I24" s="108">
        <v>11</v>
      </c>
      <c r="J24" s="108"/>
      <c r="K24" s="109">
        <f>J24/I24*100</f>
        <v>0</v>
      </c>
      <c r="L24" s="108">
        <f>J24-I24</f>
        <v>-11</v>
      </c>
      <c r="M24" s="108">
        <v>20</v>
      </c>
      <c r="N24" s="108"/>
      <c r="O24" s="108"/>
      <c r="P24" s="108"/>
      <c r="Q24" s="108">
        <v>20</v>
      </c>
      <c r="R24" s="108"/>
      <c r="S24" s="108"/>
      <c r="T24" s="122"/>
      <c r="U24" s="108">
        <v>11</v>
      </c>
      <c r="V24" s="108"/>
      <c r="W24" s="108"/>
      <c r="X24" s="122"/>
      <c r="Y24" s="108">
        <v>15</v>
      </c>
      <c r="Z24" s="108"/>
      <c r="AA24" s="108"/>
      <c r="AB24" s="122"/>
      <c r="AC24" s="108">
        <v>11</v>
      </c>
      <c r="AD24" s="108"/>
      <c r="AE24" s="108"/>
      <c r="AF24" s="122"/>
      <c r="AG24" s="283">
        <f>E24+I24+M24+Q24+U24+Y24+AC24</f>
        <v>99</v>
      </c>
      <c r="AH24" s="285">
        <f>F24+J24+N24+R24+V24+Z24+AD24</f>
        <v>0</v>
      </c>
      <c r="AI24" s="285">
        <f>AH24/AG24*100</f>
        <v>0</v>
      </c>
      <c r="AJ24" s="285">
        <f>AH24-AG24</f>
        <v>-99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283">
        <f>AK24+AO24+AS24+AW24</f>
        <v>0</v>
      </c>
      <c r="BB24" s="285">
        <f>AL24+AP24+AT24+AX24</f>
        <v>0</v>
      </c>
      <c r="BC24" s="285"/>
      <c r="BD24" s="285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22"/>
      <c r="BU24" s="108"/>
      <c r="BV24" s="153"/>
      <c r="BW24" s="110"/>
      <c r="BX24" s="122"/>
      <c r="BY24" s="122"/>
      <c r="BZ24" s="122"/>
      <c r="CA24" s="122"/>
      <c r="CB24" s="122"/>
      <c r="CC24" s="122"/>
      <c r="CD24" s="122"/>
      <c r="CE24" s="122"/>
      <c r="CF24" s="122"/>
      <c r="CG24" s="283">
        <f>AG24+BA24+BE24+BI24+BM24+BQ24+BU24+BY24</f>
        <v>99</v>
      </c>
      <c r="CH24" s="273">
        <f>R24+V24+Z24+AD24+BR24+BV24+F24+J24+N24+AL24+BZ24+AP24+AT24+AX24+BF24</f>
        <v>0</v>
      </c>
      <c r="CI24" s="285">
        <f>CH24/CG24*100</f>
        <v>0</v>
      </c>
      <c r="CJ24" s="285">
        <f>CH24-CG24</f>
        <v>-99</v>
      </c>
      <c r="CL24" s="142">
        <f>F24+J24+N24+R24+V24+Z24+AD24+AL24+AP24+AT24+AX24+BF24+BJ24+BN24+BR24+BV24+BZ24</f>
        <v>0</v>
      </c>
      <c r="CM24" s="137">
        <f>E24+I24+M24+Q24+U24+Y24+AC24+AG24+AK24+AO24+AS24+AW24+BE24+BI24+BM24+BQ24+BU24+BY24-AG24</f>
        <v>99</v>
      </c>
      <c r="CO24" s="146">
        <f t="shared" si="15"/>
        <v>0</v>
      </c>
    </row>
    <row r="25" spans="1:93" s="141" customFormat="1" ht="15" customHeight="1">
      <c r="A25" s="123">
        <v>226</v>
      </c>
      <c r="B25" s="887" t="s">
        <v>118</v>
      </c>
      <c r="C25" s="888"/>
      <c r="D25" s="889"/>
      <c r="E25" s="116">
        <f>SUM(E26:E44)</f>
        <v>93</v>
      </c>
      <c r="F25" s="116">
        <f>SUM(F26:F44)</f>
        <v>0</v>
      </c>
      <c r="G25" s="113">
        <f>F25/E25*100</f>
        <v>0</v>
      </c>
      <c r="H25" s="116">
        <f t="shared" si="0"/>
        <v>-93</v>
      </c>
      <c r="I25" s="116">
        <f>SUM(I26:I44)</f>
        <v>128</v>
      </c>
      <c r="J25" s="116">
        <f>SUM(J26:J44)</f>
        <v>0</v>
      </c>
      <c r="K25" s="116">
        <f>J25/I25*100</f>
        <v>0</v>
      </c>
      <c r="L25" s="123">
        <f t="shared" si="34"/>
        <v>-128</v>
      </c>
      <c r="M25" s="116">
        <f>SUM(M26:M44)</f>
        <v>193</v>
      </c>
      <c r="N25" s="116">
        <f>SUM(N26:N44)</f>
        <v>0</v>
      </c>
      <c r="O25" s="116">
        <f>N25/M25*100</f>
        <v>0</v>
      </c>
      <c r="P25" s="123">
        <f t="shared" si="22"/>
        <v>-193</v>
      </c>
      <c r="Q25" s="116">
        <f>SUM(Q26:Q44)</f>
        <v>193</v>
      </c>
      <c r="R25" s="116">
        <f>SUM(R26:R44)</f>
        <v>0</v>
      </c>
      <c r="S25" s="116">
        <f>R25/Q25*100</f>
        <v>0</v>
      </c>
      <c r="T25" s="116">
        <f t="shared" si="31"/>
        <v>-193</v>
      </c>
      <c r="U25" s="116">
        <f>SUM(U26:U44)</f>
        <v>146</v>
      </c>
      <c r="V25" s="116">
        <f>SUM(V26:V44)</f>
        <v>0</v>
      </c>
      <c r="W25" s="113">
        <f>V25/U25*100</f>
        <v>0</v>
      </c>
      <c r="X25" s="116">
        <f>V25-U25</f>
        <v>-146</v>
      </c>
      <c r="Y25" s="116">
        <f>SUM(Y26:Y44)</f>
        <v>140</v>
      </c>
      <c r="Z25" s="116">
        <f>SUM(Z26:Z44)</f>
        <v>0</v>
      </c>
      <c r="AA25" s="116">
        <f>Z25/Y25*100</f>
        <v>0</v>
      </c>
      <c r="AB25" s="123">
        <f>Z25-Y25</f>
        <v>-140</v>
      </c>
      <c r="AC25" s="116">
        <f>SUM(AC26:AC44)</f>
        <v>128</v>
      </c>
      <c r="AD25" s="116">
        <f>SUM(AD26:AD44)</f>
        <v>0</v>
      </c>
      <c r="AE25" s="113">
        <f>AD25/AC25*100</f>
        <v>0</v>
      </c>
      <c r="AF25" s="123">
        <f>AD25-AC25</f>
        <v>-128</v>
      </c>
      <c r="AG25" s="283">
        <f t="shared" si="3"/>
        <v>1021</v>
      </c>
      <c r="AH25" s="284">
        <f>SUM(AH26:AH44)</f>
        <v>0</v>
      </c>
      <c r="AI25" s="284">
        <f t="shared" si="29"/>
        <v>0</v>
      </c>
      <c r="AJ25" s="284">
        <f t="shared" si="25"/>
        <v>-1021</v>
      </c>
      <c r="AK25" s="116">
        <f>SUM(AK26:AK44)</f>
        <v>0</v>
      </c>
      <c r="AL25" s="116">
        <f>SUM(AL26:AL44)</f>
        <v>0</v>
      </c>
      <c r="AM25" s="113" t="e">
        <f>AL25/AK25*100</f>
        <v>#DIV/0!</v>
      </c>
      <c r="AN25" s="116">
        <f>AL25-AK25</f>
        <v>0</v>
      </c>
      <c r="AO25" s="116">
        <f>SUM(AO26:AO44)</f>
        <v>0</v>
      </c>
      <c r="AP25" s="116">
        <f>SUM(AP26:AP44)</f>
        <v>0</v>
      </c>
      <c r="AQ25" s="113" t="e">
        <f>AP25/AO25*100</f>
        <v>#DIV/0!</v>
      </c>
      <c r="AR25" s="116">
        <f>AP25-AO25</f>
        <v>0</v>
      </c>
      <c r="AS25" s="116">
        <f>SUM(AS26:AS44)</f>
        <v>0</v>
      </c>
      <c r="AT25" s="116">
        <f>SUM(AT26:AT44)</f>
        <v>0</v>
      </c>
      <c r="AU25" s="113" t="e">
        <f>AT25/AS25*100</f>
        <v>#DIV/0!</v>
      </c>
      <c r="AV25" s="116">
        <f>AT25-AS25</f>
        <v>0</v>
      </c>
      <c r="AW25" s="116">
        <f>SUM(AW26:AW44)</f>
        <v>0</v>
      </c>
      <c r="AX25" s="116">
        <f>SUM(AX26:AX44)</f>
        <v>0</v>
      </c>
      <c r="AY25" s="113" t="e">
        <f>AX25/AW25*100</f>
        <v>#DIV/0!</v>
      </c>
      <c r="AZ25" s="116">
        <f>AX25-AW25</f>
        <v>0</v>
      </c>
      <c r="BA25" s="283">
        <f t="shared" si="8"/>
        <v>0</v>
      </c>
      <c r="BB25" s="292">
        <f>SUM(BB26:BB44)</f>
        <v>0</v>
      </c>
      <c r="BC25" s="283" t="e">
        <f>BB25/BA25*100</f>
        <v>#DIV/0!</v>
      </c>
      <c r="BD25" s="284">
        <f>BB25-BA25</f>
        <v>0</v>
      </c>
      <c r="BE25" s="116">
        <f>SUM(BE26:BE44)</f>
        <v>0</v>
      </c>
      <c r="BF25" s="116">
        <f>SUM(BF26:BF44)</f>
        <v>0</v>
      </c>
      <c r="BG25" s="113" t="e">
        <f>BF25/BE25*100</f>
        <v>#DIV/0!</v>
      </c>
      <c r="BH25" s="116">
        <f>BF25-BE25</f>
        <v>0</v>
      </c>
      <c r="BI25" s="116">
        <f>SUM(BI26:BI44)</f>
        <v>0</v>
      </c>
      <c r="BJ25" s="116">
        <f>SUM(BJ26:BJ44)</f>
        <v>0</v>
      </c>
      <c r="BK25" s="113" t="e">
        <f>BJ25/BI25*100</f>
        <v>#DIV/0!</v>
      </c>
      <c r="BL25" s="116">
        <f>BJ25-BI25</f>
        <v>0</v>
      </c>
      <c r="BM25" s="116">
        <f>SUM(BM26:BM44)</f>
        <v>0</v>
      </c>
      <c r="BN25" s="116">
        <f>SUM(BN26:BN44)</f>
        <v>0</v>
      </c>
      <c r="BO25" s="113" t="e">
        <f>BN25/BM25*100</f>
        <v>#DIV/0!</v>
      </c>
      <c r="BP25" s="116">
        <f>BN25-BM25</f>
        <v>0</v>
      </c>
      <c r="BQ25" s="116">
        <f>SUM(BQ26:BQ44)</f>
        <v>10.6</v>
      </c>
      <c r="BR25" s="116">
        <f>SUM(BR26:BR44)</f>
        <v>0</v>
      </c>
      <c r="BS25" s="116">
        <f>BR25/BQ25*100</f>
        <v>0</v>
      </c>
      <c r="BT25" s="123">
        <f>BR25-BQ25</f>
        <v>-10.6</v>
      </c>
      <c r="BU25" s="116">
        <f>SUM(BU26:BU44)</f>
        <v>317</v>
      </c>
      <c r="BV25" s="154">
        <f>SUM(BV26:BV44)</f>
        <v>0</v>
      </c>
      <c r="BW25" s="117">
        <f>BV25/BU25*100</f>
        <v>0</v>
      </c>
      <c r="BX25" s="123">
        <f t="shared" si="20"/>
        <v>-317</v>
      </c>
      <c r="BY25" s="154">
        <f>SUM(BY26:BY44)</f>
        <v>9.5</v>
      </c>
      <c r="BZ25" s="116">
        <f>SUM(BZ26:BZ44)</f>
        <v>0</v>
      </c>
      <c r="CA25" s="117">
        <f>BZ25/BY25*100</f>
        <v>0</v>
      </c>
      <c r="CB25" s="123">
        <f>BZ25-BY25</f>
        <v>-9.5</v>
      </c>
      <c r="CC25" s="154">
        <f>SUM(CC26:CC44)</f>
        <v>53.244999999999997</v>
      </c>
      <c r="CD25" s="116">
        <f>SUM(CD26:CD44)</f>
        <v>0</v>
      </c>
      <c r="CE25" s="117">
        <f>CD25/CC25*100</f>
        <v>0</v>
      </c>
      <c r="CF25" s="123">
        <f>CD25-CC25</f>
        <v>-53.244999999999997</v>
      </c>
      <c r="CG25" s="283">
        <f t="shared" si="32"/>
        <v>1358.1</v>
      </c>
      <c r="CH25" s="292">
        <f>SUM(CH26:CH44)</f>
        <v>0</v>
      </c>
      <c r="CI25" s="284">
        <f t="shared" si="13"/>
        <v>0</v>
      </c>
      <c r="CJ25" s="284">
        <f t="shared" si="14"/>
        <v>-1358.1</v>
      </c>
      <c r="CK25" s="141">
        <v>9.6</v>
      </c>
      <c r="CL25" s="137">
        <f t="shared" si="16"/>
        <v>0</v>
      </c>
      <c r="CM25" s="137">
        <f t="shared" si="17"/>
        <v>1358.1</v>
      </c>
      <c r="CO25" s="146">
        <f t="shared" si="15"/>
        <v>0</v>
      </c>
    </row>
    <row r="26" spans="1:93" ht="22.5" hidden="1" customHeight="1">
      <c r="A26" s="122"/>
      <c r="B26" s="893" t="s">
        <v>209</v>
      </c>
      <c r="C26" s="894"/>
      <c r="D26" s="895"/>
      <c r="E26" s="108"/>
      <c r="F26" s="108"/>
      <c r="G26" s="108"/>
      <c r="H26" s="108"/>
      <c r="I26" s="108"/>
      <c r="J26" s="108"/>
      <c r="K26" s="109"/>
      <c r="L26" s="122">
        <f t="shared" si="34"/>
        <v>0</v>
      </c>
      <c r="M26" s="108"/>
      <c r="N26" s="108"/>
      <c r="O26" s="108"/>
      <c r="P26" s="122">
        <f t="shared" si="22"/>
        <v>0</v>
      </c>
      <c r="Q26" s="108"/>
      <c r="R26" s="108"/>
      <c r="S26" s="108"/>
      <c r="T26" s="122">
        <f t="shared" si="31"/>
        <v>0</v>
      </c>
      <c r="U26" s="108"/>
      <c r="V26" s="108"/>
      <c r="W26" s="108"/>
      <c r="X26" s="122">
        <f>V26-U26</f>
        <v>0</v>
      </c>
      <c r="Y26" s="108"/>
      <c r="Z26" s="108"/>
      <c r="AA26" s="108"/>
      <c r="AB26" s="122">
        <f>Z26-Y26</f>
        <v>0</v>
      </c>
      <c r="AC26" s="108"/>
      <c r="AD26" s="108"/>
      <c r="AE26" s="108"/>
      <c r="AF26" s="122"/>
      <c r="AG26" s="283">
        <f t="shared" si="3"/>
        <v>0</v>
      </c>
      <c r="AH26" s="285">
        <f t="shared" si="3"/>
        <v>0</v>
      </c>
      <c r="AI26" s="285" t="e">
        <f t="shared" si="29"/>
        <v>#DIV/0!</v>
      </c>
      <c r="AJ26" s="285">
        <f t="shared" si="25"/>
        <v>0</v>
      </c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283">
        <f t="shared" si="8"/>
        <v>0</v>
      </c>
      <c r="BB26" s="285">
        <f t="shared" si="8"/>
        <v>0</v>
      </c>
      <c r="BC26" s="285"/>
      <c r="BD26" s="285">
        <f>BB26-BA26</f>
        <v>0</v>
      </c>
      <c r="BE26" s="108"/>
      <c r="BF26" s="108"/>
      <c r="BG26" s="108"/>
      <c r="BH26" s="108"/>
      <c r="BI26" s="108"/>
      <c r="BJ26" s="108"/>
      <c r="BK26" s="113"/>
      <c r="BL26" s="108"/>
      <c r="BM26" s="108"/>
      <c r="BN26" s="108"/>
      <c r="BO26" s="108"/>
      <c r="BP26" s="108"/>
      <c r="BQ26" s="108"/>
      <c r="BR26" s="108"/>
      <c r="BS26" s="108"/>
      <c r="BT26" s="122">
        <f>BR26-BQ26</f>
        <v>0</v>
      </c>
      <c r="BU26" s="108"/>
      <c r="BV26" s="153"/>
      <c r="BW26" s="110"/>
      <c r="BX26" s="122"/>
      <c r="BY26" s="122"/>
      <c r="BZ26" s="122"/>
      <c r="CA26" s="122"/>
      <c r="CB26" s="122"/>
      <c r="CC26" s="122"/>
      <c r="CD26" s="122"/>
      <c r="CE26" s="122"/>
      <c r="CF26" s="122"/>
      <c r="CG26" s="283">
        <f t="shared" si="32"/>
        <v>0</v>
      </c>
      <c r="CH26" s="273">
        <f>R26+V26+Z26+AD26+BR26+BV26+F26+J26+N26+AL26+BZ26+AP26+AT26+AX26+BF26</f>
        <v>0</v>
      </c>
      <c r="CI26" s="285" t="e">
        <f t="shared" si="13"/>
        <v>#DIV/0!</v>
      </c>
      <c r="CJ26" s="285">
        <f>CH26-CG26</f>
        <v>0</v>
      </c>
      <c r="CL26" s="142">
        <f t="shared" si="16"/>
        <v>0</v>
      </c>
      <c r="CM26" s="137">
        <f t="shared" si="17"/>
        <v>0</v>
      </c>
      <c r="CO26" s="146">
        <f t="shared" si="15"/>
        <v>0</v>
      </c>
    </row>
    <row r="27" spans="1:93" ht="13.5" hidden="1" customHeight="1">
      <c r="A27" s="122"/>
      <c r="B27" s="893" t="s">
        <v>409</v>
      </c>
      <c r="C27" s="894"/>
      <c r="D27" s="895"/>
      <c r="E27" s="108"/>
      <c r="F27" s="108"/>
      <c r="G27" s="108"/>
      <c r="H27" s="108"/>
      <c r="I27" s="108"/>
      <c r="J27" s="108"/>
      <c r="K27" s="109"/>
      <c r="L27" s="122">
        <f t="shared" si="34"/>
        <v>0</v>
      </c>
      <c r="M27" s="108"/>
      <c r="N27" s="108"/>
      <c r="O27" s="108"/>
      <c r="P27" s="122">
        <f t="shared" si="22"/>
        <v>0</v>
      </c>
      <c r="Q27" s="108"/>
      <c r="R27" s="108"/>
      <c r="S27" s="108"/>
      <c r="T27" s="122"/>
      <c r="U27" s="108"/>
      <c r="V27" s="108"/>
      <c r="W27" s="108"/>
      <c r="X27" s="122"/>
      <c r="Y27" s="108"/>
      <c r="Z27" s="108"/>
      <c r="AA27" s="108"/>
      <c r="AB27" s="122"/>
      <c r="AC27" s="108"/>
      <c r="AD27" s="108"/>
      <c r="AE27" s="108"/>
      <c r="AF27" s="122"/>
      <c r="AG27" s="283">
        <f t="shared" si="3"/>
        <v>0</v>
      </c>
      <c r="AH27" s="285">
        <f>F27+J27+N27+R27+V27+Z27+AD27</f>
        <v>0</v>
      </c>
      <c r="AI27" s="285" t="e">
        <f>AH27/AG27*100</f>
        <v>#DIV/0!</v>
      </c>
      <c r="AJ27" s="285">
        <f>AH27-AG27</f>
        <v>0</v>
      </c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283">
        <f t="shared" si="8"/>
        <v>0</v>
      </c>
      <c r="BB27" s="273">
        <f>AL27+AP27+AT27+AX27</f>
        <v>0</v>
      </c>
      <c r="BC27" s="285" t="e">
        <f>BB27/BA27*100</f>
        <v>#DIV/0!</v>
      </c>
      <c r="BD27" s="285">
        <f>BB27-BA27</f>
        <v>0</v>
      </c>
      <c r="BE27" s="108"/>
      <c r="BF27" s="108"/>
      <c r="BG27" s="108"/>
      <c r="BH27" s="108"/>
      <c r="BI27" s="108"/>
      <c r="BJ27" s="108"/>
      <c r="BK27" s="113"/>
      <c r="BL27" s="108"/>
      <c r="BM27" s="108"/>
      <c r="BN27" s="108"/>
      <c r="BO27" s="108"/>
      <c r="BP27" s="108"/>
      <c r="BQ27" s="108"/>
      <c r="BR27" s="108"/>
      <c r="BS27" s="108"/>
      <c r="BT27" s="122"/>
      <c r="BU27" s="108"/>
      <c r="BV27" s="153"/>
      <c r="BW27" s="110"/>
      <c r="BX27" s="122"/>
      <c r="BY27" s="122"/>
      <c r="BZ27" s="122"/>
      <c r="CA27" s="122"/>
      <c r="CB27" s="122"/>
      <c r="CC27" s="122"/>
      <c r="CD27" s="122"/>
      <c r="CE27" s="122"/>
      <c r="CF27" s="122"/>
      <c r="CG27" s="283">
        <f t="shared" si="32"/>
        <v>0</v>
      </c>
      <c r="CH27" s="273">
        <f>R27+V27+Z27+AD27+BR27+BV27+F27+J27+N27+AL27+BZ27+AP27+AT27+AX27+BF27</f>
        <v>0</v>
      </c>
      <c r="CI27" s="285" t="e">
        <f>CH27/CG27*100</f>
        <v>#DIV/0!</v>
      </c>
      <c r="CJ27" s="285">
        <f>CH27-CG27</f>
        <v>0</v>
      </c>
      <c r="CL27" s="142">
        <f t="shared" si="16"/>
        <v>0</v>
      </c>
      <c r="CM27" s="137">
        <f t="shared" si="17"/>
        <v>0</v>
      </c>
      <c r="CO27" s="146">
        <f t="shared" si="15"/>
        <v>0</v>
      </c>
    </row>
    <row r="28" spans="1:93" ht="12.75" hidden="1" customHeight="1">
      <c r="A28" s="122"/>
      <c r="B28" s="875" t="s">
        <v>210</v>
      </c>
      <c r="C28" s="876"/>
      <c r="D28" s="877"/>
      <c r="E28" s="108"/>
      <c r="F28" s="108"/>
      <c r="G28" s="108"/>
      <c r="H28" s="108"/>
      <c r="I28" s="108"/>
      <c r="J28" s="108"/>
      <c r="K28" s="109"/>
      <c r="L28" s="122">
        <f t="shared" si="34"/>
        <v>0</v>
      </c>
      <c r="M28" s="108"/>
      <c r="N28" s="108"/>
      <c r="O28" s="108"/>
      <c r="P28" s="122">
        <f t="shared" si="22"/>
        <v>0</v>
      </c>
      <c r="Q28" s="108"/>
      <c r="R28" s="108"/>
      <c r="S28" s="108"/>
      <c r="T28" s="122">
        <f t="shared" si="31"/>
        <v>0</v>
      </c>
      <c r="U28" s="108"/>
      <c r="V28" s="108"/>
      <c r="W28" s="108"/>
      <c r="X28" s="122">
        <f>V28-U28</f>
        <v>0</v>
      </c>
      <c r="Y28" s="108"/>
      <c r="Z28" s="108"/>
      <c r="AA28" s="108"/>
      <c r="AB28" s="122">
        <f>Z28-Y28</f>
        <v>0</v>
      </c>
      <c r="AC28" s="108"/>
      <c r="AD28" s="108"/>
      <c r="AE28" s="108"/>
      <c r="AF28" s="122"/>
      <c r="AG28" s="283">
        <f t="shared" si="3"/>
        <v>0</v>
      </c>
      <c r="AH28" s="285">
        <f t="shared" si="3"/>
        <v>0</v>
      </c>
      <c r="AI28" s="285"/>
      <c r="AJ28" s="285">
        <f t="shared" si="25"/>
        <v>0</v>
      </c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283">
        <f t="shared" si="8"/>
        <v>0</v>
      </c>
      <c r="BB28" s="285">
        <f t="shared" si="8"/>
        <v>0</v>
      </c>
      <c r="BC28" s="285"/>
      <c r="BD28" s="285">
        <f>BB28-BA28</f>
        <v>0</v>
      </c>
      <c r="BE28" s="108"/>
      <c r="BF28" s="108"/>
      <c r="BG28" s="108"/>
      <c r="BH28" s="108"/>
      <c r="BI28" s="108"/>
      <c r="BJ28" s="108"/>
      <c r="BK28" s="113"/>
      <c r="BL28" s="108"/>
      <c r="BM28" s="108"/>
      <c r="BN28" s="108"/>
      <c r="BO28" s="108"/>
      <c r="BP28" s="108"/>
      <c r="BQ28" s="108"/>
      <c r="BR28" s="108"/>
      <c r="BS28" s="108"/>
      <c r="BT28" s="122">
        <f>BR28-BQ28</f>
        <v>0</v>
      </c>
      <c r="BU28" s="108"/>
      <c r="BV28" s="153"/>
      <c r="BW28" s="110"/>
      <c r="BX28" s="122">
        <f t="shared" si="20"/>
        <v>0</v>
      </c>
      <c r="BY28" s="122"/>
      <c r="BZ28" s="122"/>
      <c r="CA28" s="122"/>
      <c r="CB28" s="122"/>
      <c r="CC28" s="122"/>
      <c r="CD28" s="122"/>
      <c r="CE28" s="122"/>
      <c r="CF28" s="122"/>
      <c r="CG28" s="283">
        <f t="shared" si="32"/>
        <v>0</v>
      </c>
      <c r="CH28" s="273">
        <f>R28+V28+Z28+AD28+BR28+BV28+F28+J28+N28+AL28+BZ28+AP28+AT28+AX28+BF28+BN28</f>
        <v>0</v>
      </c>
      <c r="CI28" s="285"/>
      <c r="CJ28" s="285">
        <f t="shared" si="14"/>
        <v>0</v>
      </c>
      <c r="CL28" s="142">
        <f t="shared" si="16"/>
        <v>0</v>
      </c>
      <c r="CM28" s="137">
        <f t="shared" si="17"/>
        <v>0</v>
      </c>
      <c r="CO28" s="146">
        <f t="shared" si="15"/>
        <v>0</v>
      </c>
    </row>
    <row r="29" spans="1:93" ht="12.75" customHeight="1">
      <c r="A29" s="122"/>
      <c r="B29" s="875" t="s">
        <v>211</v>
      </c>
      <c r="C29" s="876"/>
      <c r="D29" s="877"/>
      <c r="E29" s="108">
        <v>5</v>
      </c>
      <c r="F29" s="108"/>
      <c r="G29" s="108"/>
      <c r="H29" s="108"/>
      <c r="I29" s="108">
        <v>10</v>
      </c>
      <c r="J29" s="108"/>
      <c r="K29" s="109"/>
      <c r="L29" s="122"/>
      <c r="M29" s="108">
        <v>15</v>
      </c>
      <c r="N29" s="108"/>
      <c r="O29" s="108"/>
      <c r="P29" s="122">
        <f t="shared" si="22"/>
        <v>-15</v>
      </c>
      <c r="Q29" s="108">
        <v>15</v>
      </c>
      <c r="R29" s="108"/>
      <c r="S29" s="108"/>
      <c r="T29" s="122"/>
      <c r="U29" s="108">
        <v>5</v>
      </c>
      <c r="V29" s="108"/>
      <c r="W29" s="108"/>
      <c r="X29" s="122"/>
      <c r="Y29" s="108">
        <v>15</v>
      </c>
      <c r="Z29" s="108"/>
      <c r="AA29" s="108"/>
      <c r="AB29" s="122"/>
      <c r="AC29" s="108">
        <v>10</v>
      </c>
      <c r="AD29" s="108"/>
      <c r="AE29" s="108"/>
      <c r="AF29" s="122"/>
      <c r="AG29" s="283">
        <f t="shared" si="3"/>
        <v>75</v>
      </c>
      <c r="AH29" s="285">
        <f t="shared" si="3"/>
        <v>0</v>
      </c>
      <c r="AI29" s="285">
        <f t="shared" si="29"/>
        <v>0</v>
      </c>
      <c r="AJ29" s="285">
        <f t="shared" si="25"/>
        <v>-75</v>
      </c>
      <c r="AK29" s="108"/>
      <c r="AL29" s="108"/>
      <c r="AM29" s="108" t="e">
        <f>AL29/AK29*100</f>
        <v>#DIV/0!</v>
      </c>
      <c r="AN29" s="108">
        <f t="shared" ref="AN29:AN43" si="35">AL29-AK29</f>
        <v>0</v>
      </c>
      <c r="AO29" s="108"/>
      <c r="AP29" s="108"/>
      <c r="AQ29" s="108" t="e">
        <f>AP29/AO29*100</f>
        <v>#DIV/0!</v>
      </c>
      <c r="AR29" s="108">
        <f t="shared" ref="AR29:AR43" si="36">AP29-AO29</f>
        <v>0</v>
      </c>
      <c r="AS29" s="108"/>
      <c r="AT29" s="108"/>
      <c r="AU29" s="108" t="e">
        <f>AT29/AS29*100</f>
        <v>#DIV/0!</v>
      </c>
      <c r="AV29" s="108">
        <f t="shared" ref="AV29:AV43" si="37">AT29-AS29</f>
        <v>0</v>
      </c>
      <c r="AW29" s="108"/>
      <c r="AX29" s="108"/>
      <c r="AY29" s="108" t="e">
        <f>AX29/AW29*100</f>
        <v>#DIV/0!</v>
      </c>
      <c r="AZ29" s="108">
        <f t="shared" ref="AZ29:AZ43" si="38">AX29-AW29</f>
        <v>0</v>
      </c>
      <c r="BA29" s="283">
        <f t="shared" si="8"/>
        <v>0</v>
      </c>
      <c r="BB29" s="285">
        <f t="shared" si="8"/>
        <v>0</v>
      </c>
      <c r="BC29" s="285" t="e">
        <f>BB29/BA29*100</f>
        <v>#DIV/0!</v>
      </c>
      <c r="BD29" s="285">
        <f t="shared" ref="BD29:BD43" si="39">BB29-BA29</f>
        <v>0</v>
      </c>
      <c r="BE29" s="108"/>
      <c r="BF29" s="108"/>
      <c r="BG29" s="108"/>
      <c r="BH29" s="108">
        <f t="shared" ref="BH29:BH43" si="40">BF29-BE29</f>
        <v>0</v>
      </c>
      <c r="BI29" s="108"/>
      <c r="BJ29" s="108"/>
      <c r="BK29" s="113"/>
      <c r="BL29" s="108">
        <f t="shared" ref="BL29:BL43" si="41">BJ29-BI29</f>
        <v>0</v>
      </c>
      <c r="BM29" s="108"/>
      <c r="BN29" s="108"/>
      <c r="BO29" s="108"/>
      <c r="BP29" s="108">
        <f t="shared" ref="BP29:BP43" si="42">BN29-BM29</f>
        <v>0</v>
      </c>
      <c r="BQ29" s="108"/>
      <c r="BR29" s="108"/>
      <c r="BS29" s="108"/>
      <c r="BT29" s="122">
        <f t="shared" ref="BT29:BT40" si="43">BR29-BQ29</f>
        <v>0</v>
      </c>
      <c r="BU29" s="108"/>
      <c r="BV29" s="153"/>
      <c r="BW29" s="110"/>
      <c r="BX29" s="122"/>
      <c r="BY29" s="122"/>
      <c r="BZ29" s="122"/>
      <c r="CA29" s="122"/>
      <c r="CB29" s="122"/>
      <c r="CC29" s="122"/>
      <c r="CD29" s="122"/>
      <c r="CE29" s="122"/>
      <c r="CF29" s="122"/>
      <c r="CG29" s="283">
        <f t="shared" si="32"/>
        <v>75</v>
      </c>
      <c r="CH29" s="273">
        <f>R29+V29+Z29+AD29+BR29+BV29+F29+J29+N29+AL29+BZ29+AP29+AT29+AX29+BF29</f>
        <v>0</v>
      </c>
      <c r="CI29" s="285">
        <f t="shared" si="13"/>
        <v>0</v>
      </c>
      <c r="CJ29" s="285">
        <f t="shared" si="14"/>
        <v>-75</v>
      </c>
      <c r="CL29" s="142">
        <f t="shared" si="16"/>
        <v>0</v>
      </c>
      <c r="CM29" s="137">
        <f t="shared" si="17"/>
        <v>75</v>
      </c>
      <c r="CO29" s="146">
        <f t="shared" si="15"/>
        <v>0</v>
      </c>
    </row>
    <row r="30" spans="1:93" ht="12.75" hidden="1" customHeight="1">
      <c r="A30" s="122"/>
      <c r="B30" s="875" t="s">
        <v>451</v>
      </c>
      <c r="C30" s="876"/>
      <c r="D30" s="877"/>
      <c r="E30" s="108"/>
      <c r="F30" s="108"/>
      <c r="G30" s="108"/>
      <c r="H30" s="108">
        <f t="shared" si="0"/>
        <v>0</v>
      </c>
      <c r="I30" s="108"/>
      <c r="J30" s="108"/>
      <c r="K30" s="109" t="e">
        <f>J30/I30*100</f>
        <v>#DIV/0!</v>
      </c>
      <c r="L30" s="108">
        <f>J30-I30</f>
        <v>0</v>
      </c>
      <c r="M30" s="108"/>
      <c r="N30" s="108"/>
      <c r="O30" s="108" t="e">
        <f>N30/M30*100</f>
        <v>#DIV/0!</v>
      </c>
      <c r="P30" s="122">
        <f t="shared" si="22"/>
        <v>0</v>
      </c>
      <c r="Q30" s="108"/>
      <c r="R30" s="108"/>
      <c r="S30" s="108" t="e">
        <f>R30/Q30*100</f>
        <v>#DIV/0!</v>
      </c>
      <c r="T30" s="122">
        <f t="shared" ref="T30:T44" si="44">R30-Q30</f>
        <v>0</v>
      </c>
      <c r="U30" s="108"/>
      <c r="V30" s="108"/>
      <c r="W30" s="108"/>
      <c r="X30" s="122">
        <f t="shared" ref="X30:X45" si="45">V30-U30</f>
        <v>0</v>
      </c>
      <c r="Y30" s="108"/>
      <c r="Z30" s="108"/>
      <c r="AA30" s="108" t="e">
        <f>Z30/Y30*100</f>
        <v>#DIV/0!</v>
      </c>
      <c r="AB30" s="122">
        <f>Z30-Y30</f>
        <v>0</v>
      </c>
      <c r="AC30" s="108"/>
      <c r="AD30" s="108"/>
      <c r="AE30" s="108"/>
      <c r="AF30" s="122">
        <f>AD30-AC30</f>
        <v>0</v>
      </c>
      <c r="AG30" s="283">
        <f t="shared" si="3"/>
        <v>0</v>
      </c>
      <c r="AH30" s="285">
        <f t="shared" si="3"/>
        <v>0</v>
      </c>
      <c r="AI30" s="285" t="e">
        <f t="shared" si="29"/>
        <v>#DIV/0!</v>
      </c>
      <c r="AJ30" s="285">
        <f t="shared" si="25"/>
        <v>0</v>
      </c>
      <c r="AK30" s="108"/>
      <c r="AL30" s="108"/>
      <c r="AM30" s="108"/>
      <c r="AN30" s="108">
        <f t="shared" si="35"/>
        <v>0</v>
      </c>
      <c r="AO30" s="108"/>
      <c r="AP30" s="108"/>
      <c r="AQ30" s="108"/>
      <c r="AR30" s="108">
        <f t="shared" si="36"/>
        <v>0</v>
      </c>
      <c r="AS30" s="108"/>
      <c r="AT30" s="108"/>
      <c r="AU30" s="108"/>
      <c r="AV30" s="108">
        <f t="shared" si="37"/>
        <v>0</v>
      </c>
      <c r="AW30" s="108"/>
      <c r="AX30" s="108"/>
      <c r="AY30" s="108"/>
      <c r="AZ30" s="108">
        <f t="shared" si="38"/>
        <v>0</v>
      </c>
      <c r="BA30" s="283">
        <f t="shared" si="8"/>
        <v>0</v>
      </c>
      <c r="BB30" s="285">
        <f t="shared" si="8"/>
        <v>0</v>
      </c>
      <c r="BC30" s="285"/>
      <c r="BD30" s="285">
        <f t="shared" si="39"/>
        <v>0</v>
      </c>
      <c r="BE30" s="108"/>
      <c r="BF30" s="108"/>
      <c r="BG30" s="108"/>
      <c r="BH30" s="108">
        <f t="shared" si="40"/>
        <v>0</v>
      </c>
      <c r="BI30" s="108"/>
      <c r="BJ30" s="108"/>
      <c r="BK30" s="113"/>
      <c r="BL30" s="108">
        <f t="shared" si="41"/>
        <v>0</v>
      </c>
      <c r="BM30" s="108"/>
      <c r="BN30" s="108"/>
      <c r="BO30" s="108"/>
      <c r="BP30" s="108">
        <f t="shared" si="42"/>
        <v>0</v>
      </c>
      <c r="BQ30" s="108"/>
      <c r="BR30" s="108"/>
      <c r="BS30" s="108"/>
      <c r="BT30" s="122">
        <f t="shared" si="43"/>
        <v>0</v>
      </c>
      <c r="BU30" s="108"/>
      <c r="BV30" s="153"/>
      <c r="BW30" s="110"/>
      <c r="BX30" s="122">
        <f t="shared" si="20"/>
        <v>0</v>
      </c>
      <c r="BY30" s="122"/>
      <c r="BZ30" s="122"/>
      <c r="CA30" s="122"/>
      <c r="CB30" s="122"/>
      <c r="CC30" s="122"/>
      <c r="CD30" s="122"/>
      <c r="CE30" s="122"/>
      <c r="CF30" s="122"/>
      <c r="CG30" s="283">
        <f t="shared" si="32"/>
        <v>0</v>
      </c>
      <c r="CH30" s="273">
        <f>R30+V30+Z30+AD30+BR30+BV30+F30+J30+N30+AL30+BZ30+AP30+AT30+AX30+BF30</f>
        <v>0</v>
      </c>
      <c r="CI30" s="285" t="e">
        <f t="shared" si="13"/>
        <v>#DIV/0!</v>
      </c>
      <c r="CJ30" s="285">
        <f t="shared" si="14"/>
        <v>0</v>
      </c>
      <c r="CL30" s="142">
        <f t="shared" si="16"/>
        <v>0</v>
      </c>
      <c r="CM30" s="137">
        <f t="shared" si="17"/>
        <v>0</v>
      </c>
      <c r="CO30" s="146">
        <f t="shared" si="15"/>
        <v>0</v>
      </c>
    </row>
    <row r="31" spans="1:93" ht="12.75" hidden="1" customHeight="1">
      <c r="A31" s="122"/>
      <c r="B31" s="896" t="s">
        <v>267</v>
      </c>
      <c r="C31" s="897"/>
      <c r="D31" s="898"/>
      <c r="E31" s="108"/>
      <c r="F31" s="108"/>
      <c r="G31" s="108"/>
      <c r="H31" s="108">
        <f t="shared" si="0"/>
        <v>0</v>
      </c>
      <c r="I31" s="108"/>
      <c r="J31" s="108"/>
      <c r="K31" s="109"/>
      <c r="L31" s="108">
        <f>J31-I31</f>
        <v>0</v>
      </c>
      <c r="M31" s="108"/>
      <c r="N31" s="108"/>
      <c r="O31" s="108"/>
      <c r="P31" s="122">
        <f t="shared" si="22"/>
        <v>0</v>
      </c>
      <c r="Q31" s="108"/>
      <c r="R31" s="108"/>
      <c r="S31" s="108"/>
      <c r="T31" s="122">
        <f t="shared" si="44"/>
        <v>0</v>
      </c>
      <c r="U31" s="108"/>
      <c r="V31" s="108"/>
      <c r="W31" s="108"/>
      <c r="X31" s="122">
        <f t="shared" si="45"/>
        <v>0</v>
      </c>
      <c r="Y31" s="108"/>
      <c r="Z31" s="108"/>
      <c r="AA31" s="108"/>
      <c r="AB31" s="122">
        <f>Z31-Y31</f>
        <v>0</v>
      </c>
      <c r="AC31" s="108"/>
      <c r="AD31" s="108"/>
      <c r="AE31" s="108"/>
      <c r="AF31" s="122"/>
      <c r="AG31" s="283">
        <f t="shared" si="3"/>
        <v>0</v>
      </c>
      <c r="AH31" s="285">
        <f t="shared" si="3"/>
        <v>0</v>
      </c>
      <c r="AI31" s="285" t="e">
        <f t="shared" si="29"/>
        <v>#DIV/0!</v>
      </c>
      <c r="AJ31" s="285">
        <f t="shared" si="25"/>
        <v>0</v>
      </c>
      <c r="AK31" s="108"/>
      <c r="AL31" s="108"/>
      <c r="AM31" s="108"/>
      <c r="AN31" s="108">
        <f t="shared" si="35"/>
        <v>0</v>
      </c>
      <c r="AO31" s="108"/>
      <c r="AP31" s="108"/>
      <c r="AQ31" s="108"/>
      <c r="AR31" s="108">
        <f t="shared" si="36"/>
        <v>0</v>
      </c>
      <c r="AS31" s="108"/>
      <c r="AT31" s="108"/>
      <c r="AU31" s="108"/>
      <c r="AV31" s="108">
        <f t="shared" si="37"/>
        <v>0</v>
      </c>
      <c r="AW31" s="108"/>
      <c r="AX31" s="108"/>
      <c r="AY31" s="108"/>
      <c r="AZ31" s="108">
        <f t="shared" si="38"/>
        <v>0</v>
      </c>
      <c r="BA31" s="283">
        <f t="shared" si="8"/>
        <v>0</v>
      </c>
      <c r="BB31" s="285">
        <f t="shared" si="8"/>
        <v>0</v>
      </c>
      <c r="BC31" s="285"/>
      <c r="BD31" s="285">
        <f t="shared" si="39"/>
        <v>0</v>
      </c>
      <c r="BE31" s="108"/>
      <c r="BF31" s="108"/>
      <c r="BG31" s="108"/>
      <c r="BH31" s="108">
        <f t="shared" si="40"/>
        <v>0</v>
      </c>
      <c r="BI31" s="108"/>
      <c r="BJ31" s="108"/>
      <c r="BK31" s="113"/>
      <c r="BL31" s="108">
        <f t="shared" si="41"/>
        <v>0</v>
      </c>
      <c r="BM31" s="108"/>
      <c r="BN31" s="108"/>
      <c r="BO31" s="108"/>
      <c r="BP31" s="108">
        <f t="shared" si="42"/>
        <v>0</v>
      </c>
      <c r="BQ31" s="108"/>
      <c r="BR31" s="108"/>
      <c r="BS31" s="108"/>
      <c r="BT31" s="122">
        <f t="shared" si="43"/>
        <v>0</v>
      </c>
      <c r="BU31" s="108"/>
      <c r="BV31" s="153"/>
      <c r="BW31" s="110"/>
      <c r="BX31" s="122">
        <f t="shared" si="20"/>
        <v>0</v>
      </c>
      <c r="BY31" s="122"/>
      <c r="BZ31" s="122"/>
      <c r="CA31" s="122"/>
      <c r="CB31" s="122"/>
      <c r="CC31" s="122"/>
      <c r="CD31" s="122"/>
      <c r="CE31" s="122"/>
      <c r="CF31" s="122"/>
      <c r="CG31" s="283">
        <f t="shared" si="32"/>
        <v>0</v>
      </c>
      <c r="CH31" s="273">
        <f>R31+V31+Z31+AD31+BR31+BV31+F31+J31+N31+AL31+BZ31+AP31+AT31+AX31+BF31</f>
        <v>0</v>
      </c>
      <c r="CI31" s="285" t="e">
        <f t="shared" si="13"/>
        <v>#DIV/0!</v>
      </c>
      <c r="CJ31" s="285">
        <f t="shared" si="14"/>
        <v>0</v>
      </c>
      <c r="CL31" s="142">
        <f t="shared" si="16"/>
        <v>0</v>
      </c>
      <c r="CM31" s="137">
        <f t="shared" si="17"/>
        <v>0</v>
      </c>
      <c r="CO31" s="146">
        <f t="shared" si="15"/>
        <v>0</v>
      </c>
    </row>
    <row r="32" spans="1:93" ht="12.75" hidden="1" customHeight="1">
      <c r="A32" s="122"/>
      <c r="B32" s="896" t="s">
        <v>419</v>
      </c>
      <c r="C32" s="897"/>
      <c r="D32" s="898"/>
      <c r="E32" s="108"/>
      <c r="F32" s="108"/>
      <c r="G32" s="108"/>
      <c r="H32" s="108">
        <f t="shared" si="0"/>
        <v>0</v>
      </c>
      <c r="I32" s="108"/>
      <c r="J32" s="108"/>
      <c r="K32" s="109"/>
      <c r="L32" s="108"/>
      <c r="M32" s="108"/>
      <c r="N32" s="108"/>
      <c r="O32" s="108"/>
      <c r="P32" s="122">
        <f t="shared" si="22"/>
        <v>0</v>
      </c>
      <c r="Q32" s="108"/>
      <c r="R32" s="108"/>
      <c r="S32" s="108"/>
      <c r="T32" s="122">
        <f t="shared" si="44"/>
        <v>0</v>
      </c>
      <c r="U32" s="108"/>
      <c r="V32" s="108"/>
      <c r="W32" s="108"/>
      <c r="X32" s="122">
        <f t="shared" si="45"/>
        <v>0</v>
      </c>
      <c r="Y32" s="108"/>
      <c r="Z32" s="108"/>
      <c r="AA32" s="108"/>
      <c r="AB32" s="122"/>
      <c r="AC32" s="108"/>
      <c r="AD32" s="108"/>
      <c r="AE32" s="108"/>
      <c r="AF32" s="122">
        <f>AD32-AC32</f>
        <v>0</v>
      </c>
      <c r="AG32" s="283">
        <f t="shared" si="3"/>
        <v>0</v>
      </c>
      <c r="AH32" s="285">
        <f t="shared" si="3"/>
        <v>0</v>
      </c>
      <c r="AI32" s="285"/>
      <c r="AJ32" s="285">
        <f t="shared" si="25"/>
        <v>0</v>
      </c>
      <c r="AK32" s="108"/>
      <c r="AL32" s="108"/>
      <c r="AM32" s="108"/>
      <c r="AN32" s="108">
        <f t="shared" si="35"/>
        <v>0</v>
      </c>
      <c r="AO32" s="108"/>
      <c r="AP32" s="108"/>
      <c r="AQ32" s="108"/>
      <c r="AR32" s="108">
        <f t="shared" si="36"/>
        <v>0</v>
      </c>
      <c r="AS32" s="108"/>
      <c r="AT32" s="108"/>
      <c r="AU32" s="108"/>
      <c r="AV32" s="108">
        <f t="shared" si="37"/>
        <v>0</v>
      </c>
      <c r="AW32" s="108"/>
      <c r="AX32" s="108"/>
      <c r="AY32" s="108"/>
      <c r="AZ32" s="108">
        <f t="shared" si="38"/>
        <v>0</v>
      </c>
      <c r="BA32" s="283">
        <f t="shared" si="8"/>
        <v>0</v>
      </c>
      <c r="BB32" s="285">
        <f t="shared" si="8"/>
        <v>0</v>
      </c>
      <c r="BC32" s="285"/>
      <c r="BD32" s="285">
        <f t="shared" si="39"/>
        <v>0</v>
      </c>
      <c r="BE32" s="108"/>
      <c r="BF32" s="108"/>
      <c r="BG32" s="108"/>
      <c r="BH32" s="108">
        <f t="shared" si="40"/>
        <v>0</v>
      </c>
      <c r="BI32" s="108"/>
      <c r="BJ32" s="108"/>
      <c r="BK32" s="113"/>
      <c r="BL32" s="108">
        <f t="shared" si="41"/>
        <v>0</v>
      </c>
      <c r="BM32" s="108"/>
      <c r="BN32" s="108"/>
      <c r="BO32" s="108"/>
      <c r="BP32" s="108">
        <f t="shared" si="42"/>
        <v>0</v>
      </c>
      <c r="BQ32" s="108"/>
      <c r="BR32" s="108"/>
      <c r="BS32" s="108"/>
      <c r="BT32" s="122">
        <f t="shared" si="43"/>
        <v>0</v>
      </c>
      <c r="BU32" s="153"/>
      <c r="BV32" s="153"/>
      <c r="BW32" s="110"/>
      <c r="BX32" s="122"/>
      <c r="BY32" s="122"/>
      <c r="BZ32" s="122"/>
      <c r="CA32" s="122"/>
      <c r="CB32" s="122"/>
      <c r="CC32" s="122"/>
      <c r="CD32" s="122"/>
      <c r="CE32" s="122"/>
      <c r="CF32" s="122"/>
      <c r="CG32" s="283">
        <f t="shared" si="32"/>
        <v>0</v>
      </c>
      <c r="CH32" s="273">
        <f>R32+V32+Z32+AD32+BR32+BV32+F32+J32+N32+AL32+BZ32+AP32+AT32+AX32+BF32+BJ32</f>
        <v>0</v>
      </c>
      <c r="CI32" s="285" t="e">
        <f t="shared" si="13"/>
        <v>#DIV/0!</v>
      </c>
      <c r="CJ32" s="285">
        <f t="shared" si="14"/>
        <v>0</v>
      </c>
      <c r="CL32" s="142">
        <f t="shared" si="16"/>
        <v>0</v>
      </c>
      <c r="CM32" s="137">
        <f t="shared" si="17"/>
        <v>0</v>
      </c>
      <c r="CO32" s="146">
        <f t="shared" si="15"/>
        <v>0</v>
      </c>
    </row>
    <row r="33" spans="1:93" hidden="1">
      <c r="A33" s="122"/>
      <c r="B33" s="896" t="s">
        <v>243</v>
      </c>
      <c r="C33" s="897"/>
      <c r="D33" s="898"/>
      <c r="E33" s="108"/>
      <c r="F33" s="108"/>
      <c r="G33" s="108"/>
      <c r="H33" s="108">
        <f t="shared" si="0"/>
        <v>0</v>
      </c>
      <c r="I33" s="108"/>
      <c r="J33" s="108"/>
      <c r="K33" s="109" t="e">
        <f>J33/I33*100</f>
        <v>#DIV/0!</v>
      </c>
      <c r="L33" s="108"/>
      <c r="M33" s="108"/>
      <c r="N33" s="108"/>
      <c r="O33" s="108"/>
      <c r="P33" s="122">
        <f>N33-M33</f>
        <v>0</v>
      </c>
      <c r="Q33" s="108"/>
      <c r="R33" s="108"/>
      <c r="S33" s="108" t="e">
        <f>R33/Q33*100</f>
        <v>#DIV/0!</v>
      </c>
      <c r="T33" s="122">
        <f t="shared" si="44"/>
        <v>0</v>
      </c>
      <c r="U33" s="108"/>
      <c r="V33" s="108"/>
      <c r="W33" s="108"/>
      <c r="X33" s="122">
        <f t="shared" si="45"/>
        <v>0</v>
      </c>
      <c r="Y33" s="108"/>
      <c r="Z33" s="108"/>
      <c r="AA33" s="108"/>
      <c r="AB33" s="122">
        <f t="shared" ref="AB33:AB46" si="46">Z33-Y33</f>
        <v>0</v>
      </c>
      <c r="AC33" s="108"/>
      <c r="AD33" s="108"/>
      <c r="AE33" s="108"/>
      <c r="AF33" s="122"/>
      <c r="AG33" s="283">
        <f t="shared" si="3"/>
        <v>0</v>
      </c>
      <c r="AH33" s="285">
        <f t="shared" si="3"/>
        <v>0</v>
      </c>
      <c r="AI33" s="285" t="e">
        <f t="shared" si="29"/>
        <v>#DIV/0!</v>
      </c>
      <c r="AJ33" s="285">
        <f t="shared" si="25"/>
        <v>0</v>
      </c>
      <c r="AK33" s="108"/>
      <c r="AL33" s="108"/>
      <c r="AM33" s="108"/>
      <c r="AN33" s="108">
        <f t="shared" si="35"/>
        <v>0</v>
      </c>
      <c r="AO33" s="108"/>
      <c r="AP33" s="108"/>
      <c r="AQ33" s="108"/>
      <c r="AR33" s="108">
        <f t="shared" si="36"/>
        <v>0</v>
      </c>
      <c r="AS33" s="108"/>
      <c r="AT33" s="108"/>
      <c r="AU33" s="108"/>
      <c r="AV33" s="108">
        <f t="shared" si="37"/>
        <v>0</v>
      </c>
      <c r="AW33" s="108"/>
      <c r="AX33" s="108"/>
      <c r="AY33" s="108"/>
      <c r="AZ33" s="108">
        <f t="shared" si="38"/>
        <v>0</v>
      </c>
      <c r="BA33" s="283">
        <f t="shared" si="8"/>
        <v>0</v>
      </c>
      <c r="BB33" s="285">
        <f t="shared" si="8"/>
        <v>0</v>
      </c>
      <c r="BC33" s="285"/>
      <c r="BD33" s="285">
        <f t="shared" si="39"/>
        <v>0</v>
      </c>
      <c r="BE33" s="108"/>
      <c r="BF33" s="108"/>
      <c r="BG33" s="108"/>
      <c r="BH33" s="108">
        <f t="shared" si="40"/>
        <v>0</v>
      </c>
      <c r="BI33" s="108"/>
      <c r="BJ33" s="108"/>
      <c r="BK33" s="113"/>
      <c r="BL33" s="108">
        <f t="shared" si="41"/>
        <v>0</v>
      </c>
      <c r="BM33" s="108"/>
      <c r="BN33" s="108"/>
      <c r="BO33" s="108"/>
      <c r="BP33" s="108">
        <f t="shared" si="42"/>
        <v>0</v>
      </c>
      <c r="BQ33" s="108"/>
      <c r="BR33" s="108"/>
      <c r="BS33" s="108"/>
      <c r="BT33" s="122">
        <f t="shared" si="43"/>
        <v>0</v>
      </c>
      <c r="BU33" s="108"/>
      <c r="BV33" s="153"/>
      <c r="BW33" s="110"/>
      <c r="BX33" s="122"/>
      <c r="BY33" s="122"/>
      <c r="BZ33" s="122"/>
      <c r="CA33" s="122"/>
      <c r="CB33" s="122"/>
      <c r="CC33" s="122"/>
      <c r="CD33" s="122"/>
      <c r="CE33" s="122"/>
      <c r="CF33" s="122"/>
      <c r="CG33" s="283">
        <f t="shared" si="32"/>
        <v>0</v>
      </c>
      <c r="CH33" s="273">
        <f>R33+V33+Z33+AD33+BR33+BV33+F33+J33+N33+AL33+BZ33+AP33+AT33+AX33+BF33</f>
        <v>0</v>
      </c>
      <c r="CI33" s="285" t="e">
        <f t="shared" si="13"/>
        <v>#DIV/0!</v>
      </c>
      <c r="CJ33" s="285">
        <f t="shared" si="14"/>
        <v>0</v>
      </c>
      <c r="CL33" s="142">
        <f t="shared" si="16"/>
        <v>0</v>
      </c>
      <c r="CM33" s="137">
        <f t="shared" si="17"/>
        <v>0</v>
      </c>
      <c r="CO33" s="146">
        <f t="shared" si="15"/>
        <v>0</v>
      </c>
    </row>
    <row r="34" spans="1:93">
      <c r="A34" s="122"/>
      <c r="B34" s="896" t="s">
        <v>452</v>
      </c>
      <c r="C34" s="897"/>
      <c r="D34" s="898"/>
      <c r="E34" s="108">
        <v>10</v>
      </c>
      <c r="F34" s="108"/>
      <c r="G34" s="108"/>
      <c r="H34" s="108">
        <f t="shared" si="0"/>
        <v>-10</v>
      </c>
      <c r="I34" s="108">
        <v>15</v>
      </c>
      <c r="J34" s="108"/>
      <c r="K34" s="109"/>
      <c r="L34" s="108">
        <f>J34-I34</f>
        <v>-15</v>
      </c>
      <c r="M34" s="108">
        <v>25</v>
      </c>
      <c r="N34" s="108"/>
      <c r="O34" s="108"/>
      <c r="P34" s="122">
        <f>N34-M34</f>
        <v>-25</v>
      </c>
      <c r="Q34" s="108">
        <v>25</v>
      </c>
      <c r="R34" s="108"/>
      <c r="S34" s="108"/>
      <c r="T34" s="122">
        <f t="shared" si="44"/>
        <v>-25</v>
      </c>
      <c r="U34" s="108">
        <v>10</v>
      </c>
      <c r="V34" s="108"/>
      <c r="W34" s="108"/>
      <c r="X34" s="122">
        <f t="shared" si="45"/>
        <v>-10</v>
      </c>
      <c r="Y34" s="108">
        <v>15</v>
      </c>
      <c r="Z34" s="108"/>
      <c r="AA34" s="108"/>
      <c r="AB34" s="122">
        <f t="shared" si="46"/>
        <v>-15</v>
      </c>
      <c r="AC34" s="108">
        <v>15</v>
      </c>
      <c r="AD34" s="108"/>
      <c r="AE34" s="108"/>
      <c r="AF34" s="122">
        <f>AD34-AC34</f>
        <v>-15</v>
      </c>
      <c r="AG34" s="283">
        <f t="shared" si="3"/>
        <v>115</v>
      </c>
      <c r="AH34" s="285">
        <f t="shared" si="3"/>
        <v>0</v>
      </c>
      <c r="AI34" s="285">
        <f t="shared" si="29"/>
        <v>0</v>
      </c>
      <c r="AJ34" s="285">
        <f t="shared" si="25"/>
        <v>-115</v>
      </c>
      <c r="AK34" s="108"/>
      <c r="AL34" s="108"/>
      <c r="AM34" s="108"/>
      <c r="AN34" s="108">
        <f t="shared" si="35"/>
        <v>0</v>
      </c>
      <c r="AO34" s="108"/>
      <c r="AP34" s="108"/>
      <c r="AQ34" s="108"/>
      <c r="AR34" s="108">
        <f t="shared" si="36"/>
        <v>0</v>
      </c>
      <c r="AS34" s="108"/>
      <c r="AT34" s="108"/>
      <c r="AU34" s="108"/>
      <c r="AV34" s="108">
        <f t="shared" si="37"/>
        <v>0</v>
      </c>
      <c r="AW34" s="108"/>
      <c r="AX34" s="108"/>
      <c r="AY34" s="108"/>
      <c r="AZ34" s="108">
        <f t="shared" si="38"/>
        <v>0</v>
      </c>
      <c r="BA34" s="283">
        <f t="shared" si="8"/>
        <v>0</v>
      </c>
      <c r="BB34" s="285">
        <f t="shared" si="8"/>
        <v>0</v>
      </c>
      <c r="BC34" s="285"/>
      <c r="BD34" s="285">
        <f t="shared" si="39"/>
        <v>0</v>
      </c>
      <c r="BE34" s="108"/>
      <c r="BF34" s="108"/>
      <c r="BG34" s="108"/>
      <c r="BH34" s="108">
        <f t="shared" si="40"/>
        <v>0</v>
      </c>
      <c r="BI34" s="108"/>
      <c r="BJ34" s="108"/>
      <c r="BK34" s="113"/>
      <c r="BL34" s="108">
        <f t="shared" si="41"/>
        <v>0</v>
      </c>
      <c r="BM34" s="108"/>
      <c r="BN34" s="108"/>
      <c r="BO34" s="108"/>
      <c r="BP34" s="108">
        <f t="shared" si="42"/>
        <v>0</v>
      </c>
      <c r="BQ34" s="108"/>
      <c r="BR34" s="108"/>
      <c r="BS34" s="108"/>
      <c r="BT34" s="122">
        <f t="shared" si="43"/>
        <v>0</v>
      </c>
      <c r="BU34" s="108"/>
      <c r="BV34" s="153"/>
      <c r="BW34" s="110"/>
      <c r="BX34" s="122">
        <f t="shared" si="20"/>
        <v>0</v>
      </c>
      <c r="BY34" s="122"/>
      <c r="BZ34" s="122"/>
      <c r="CA34" s="122"/>
      <c r="CB34" s="122"/>
      <c r="CC34" s="122"/>
      <c r="CD34" s="122"/>
      <c r="CE34" s="122"/>
      <c r="CF34" s="122"/>
      <c r="CG34" s="283">
        <f t="shared" si="32"/>
        <v>115</v>
      </c>
      <c r="CH34" s="273">
        <f>R34+V34+Z34+AD34+BR34+BV34+F34+J34+N34+AL34+BZ34+AP34+AT34+AX34+BF34</f>
        <v>0</v>
      </c>
      <c r="CI34" s="285">
        <f t="shared" si="13"/>
        <v>0</v>
      </c>
      <c r="CJ34" s="285">
        <f t="shared" si="14"/>
        <v>-115</v>
      </c>
      <c r="CL34" s="142">
        <f t="shared" si="16"/>
        <v>0</v>
      </c>
      <c r="CM34" s="137">
        <f t="shared" si="17"/>
        <v>115</v>
      </c>
      <c r="CO34" s="146">
        <f t="shared" si="15"/>
        <v>0</v>
      </c>
    </row>
    <row r="35" spans="1:93">
      <c r="A35" s="122"/>
      <c r="B35" s="896" t="s">
        <v>212</v>
      </c>
      <c r="C35" s="897"/>
      <c r="D35" s="898"/>
      <c r="E35" s="108"/>
      <c r="F35" s="108"/>
      <c r="G35" s="108" t="e">
        <f>F35/E35*100</f>
        <v>#DIV/0!</v>
      </c>
      <c r="H35" s="108">
        <f t="shared" si="0"/>
        <v>0</v>
      </c>
      <c r="I35" s="108"/>
      <c r="J35" s="108"/>
      <c r="K35" s="109" t="e">
        <f>J35/I35*100</f>
        <v>#DIV/0!</v>
      </c>
      <c r="L35" s="108">
        <f>J35-I35</f>
        <v>0</v>
      </c>
      <c r="M35" s="108"/>
      <c r="N35" s="108"/>
      <c r="O35" s="108"/>
      <c r="P35" s="122">
        <f t="shared" si="22"/>
        <v>0</v>
      </c>
      <c r="Q35" s="108"/>
      <c r="R35" s="108"/>
      <c r="S35" s="108" t="e">
        <f>R35/Q35*100</f>
        <v>#DIV/0!</v>
      </c>
      <c r="T35" s="122">
        <f t="shared" si="44"/>
        <v>0</v>
      </c>
      <c r="U35" s="108"/>
      <c r="V35" s="108"/>
      <c r="W35" s="108"/>
      <c r="X35" s="122">
        <f t="shared" si="45"/>
        <v>0</v>
      </c>
      <c r="Y35" s="108"/>
      <c r="Z35" s="108"/>
      <c r="AA35" s="108"/>
      <c r="AB35" s="122">
        <f t="shared" si="46"/>
        <v>0</v>
      </c>
      <c r="AC35" s="108"/>
      <c r="AD35" s="108"/>
      <c r="AE35" s="108" t="e">
        <f>AD35/AC35*100</f>
        <v>#DIV/0!</v>
      </c>
      <c r="AF35" s="122">
        <f>AD35-AC35</f>
        <v>0</v>
      </c>
      <c r="AG35" s="283">
        <f t="shared" si="3"/>
        <v>0</v>
      </c>
      <c r="AH35" s="285">
        <f t="shared" si="3"/>
        <v>0</v>
      </c>
      <c r="AI35" s="285" t="e">
        <f>AH35/AG35*100</f>
        <v>#DIV/0!</v>
      </c>
      <c r="AJ35" s="285">
        <f t="shared" si="25"/>
        <v>0</v>
      </c>
      <c r="AK35" s="108"/>
      <c r="AL35" s="108"/>
      <c r="AM35" s="108"/>
      <c r="AN35" s="108">
        <f t="shared" si="35"/>
        <v>0</v>
      </c>
      <c r="AO35" s="108"/>
      <c r="AP35" s="108"/>
      <c r="AQ35" s="108"/>
      <c r="AR35" s="108">
        <f t="shared" si="36"/>
        <v>0</v>
      </c>
      <c r="AS35" s="108"/>
      <c r="AT35" s="108"/>
      <c r="AU35" s="108"/>
      <c r="AV35" s="108">
        <f t="shared" si="37"/>
        <v>0</v>
      </c>
      <c r="AW35" s="108"/>
      <c r="AX35" s="108"/>
      <c r="AY35" s="108"/>
      <c r="AZ35" s="108">
        <f t="shared" si="38"/>
        <v>0</v>
      </c>
      <c r="BA35" s="283">
        <f t="shared" si="8"/>
        <v>0</v>
      </c>
      <c r="BB35" s="273">
        <f t="shared" si="8"/>
        <v>0</v>
      </c>
      <c r="BC35" s="285"/>
      <c r="BD35" s="285">
        <f t="shared" si="39"/>
        <v>0</v>
      </c>
      <c r="BE35" s="108"/>
      <c r="BF35" s="108"/>
      <c r="BG35" s="108"/>
      <c r="BH35" s="108">
        <f t="shared" si="40"/>
        <v>0</v>
      </c>
      <c r="BI35" s="108"/>
      <c r="BJ35" s="108"/>
      <c r="BK35" s="113" t="e">
        <f>BJ35/BI35*100</f>
        <v>#DIV/0!</v>
      </c>
      <c r="BL35" s="108">
        <f t="shared" si="41"/>
        <v>0</v>
      </c>
      <c r="BM35" s="108"/>
      <c r="BN35" s="108"/>
      <c r="BO35" s="108"/>
      <c r="BP35" s="108">
        <f t="shared" si="42"/>
        <v>0</v>
      </c>
      <c r="BQ35" s="108">
        <v>10.6</v>
      </c>
      <c r="BR35" s="108"/>
      <c r="BS35" s="109"/>
      <c r="BT35" s="122">
        <f t="shared" si="43"/>
        <v>-10.6</v>
      </c>
      <c r="BU35" s="153">
        <v>38</v>
      </c>
      <c r="BV35" s="153"/>
      <c r="BW35" s="108">
        <f>BV35/BU35*100</f>
        <v>0</v>
      </c>
      <c r="BX35" s="122">
        <f t="shared" si="20"/>
        <v>-38</v>
      </c>
      <c r="BY35" s="156">
        <v>9.5</v>
      </c>
      <c r="BZ35" s="122"/>
      <c r="CA35" s="122"/>
      <c r="CB35" s="122"/>
      <c r="CC35" s="156">
        <v>18</v>
      </c>
      <c r="CD35" s="122"/>
      <c r="CE35" s="122"/>
      <c r="CF35" s="122"/>
      <c r="CG35" s="283">
        <f t="shared" si="32"/>
        <v>58.1</v>
      </c>
      <c r="CH35" s="273">
        <f>R35+V35+Z35+AD35+BR35+BV35+F35+J35+N35+AL35+BZ35+AP35+AT35+AX35+BF35+BN35+BJ35</f>
        <v>0</v>
      </c>
      <c r="CI35" s="285">
        <f t="shared" si="13"/>
        <v>0</v>
      </c>
      <c r="CJ35" s="285">
        <f t="shared" si="14"/>
        <v>-58.1</v>
      </c>
      <c r="CL35" s="142">
        <f t="shared" si="16"/>
        <v>0</v>
      </c>
      <c r="CM35" s="137">
        <f t="shared" si="17"/>
        <v>58.1</v>
      </c>
      <c r="CO35" s="146">
        <f t="shared" si="15"/>
        <v>0</v>
      </c>
    </row>
    <row r="36" spans="1:93" hidden="1">
      <c r="A36" s="122"/>
      <c r="B36" s="896" t="s">
        <v>271</v>
      </c>
      <c r="C36" s="897"/>
      <c r="D36" s="898"/>
      <c r="E36" s="108"/>
      <c r="F36" s="108"/>
      <c r="G36" s="108" t="e">
        <f t="shared" ref="G36:G46" si="47">F36/E36*100</f>
        <v>#DIV/0!</v>
      </c>
      <c r="H36" s="108">
        <f t="shared" si="0"/>
        <v>0</v>
      </c>
      <c r="I36" s="108"/>
      <c r="J36" s="108"/>
      <c r="K36" s="109"/>
      <c r="L36" s="108"/>
      <c r="M36" s="108"/>
      <c r="N36" s="108"/>
      <c r="O36" s="108"/>
      <c r="P36" s="122"/>
      <c r="Q36" s="108"/>
      <c r="R36" s="108"/>
      <c r="S36" s="108"/>
      <c r="T36" s="122"/>
      <c r="U36" s="108"/>
      <c r="V36" s="108"/>
      <c r="W36" s="108"/>
      <c r="X36" s="122">
        <f t="shared" si="45"/>
        <v>0</v>
      </c>
      <c r="Y36" s="108"/>
      <c r="Z36" s="108"/>
      <c r="AA36" s="108"/>
      <c r="AB36" s="122">
        <f t="shared" si="46"/>
        <v>0</v>
      </c>
      <c r="AC36" s="108"/>
      <c r="AD36" s="108"/>
      <c r="AE36" s="108"/>
      <c r="AF36" s="122"/>
      <c r="AG36" s="283">
        <f t="shared" si="3"/>
        <v>0</v>
      </c>
      <c r="AH36" s="285">
        <f t="shared" si="3"/>
        <v>0</v>
      </c>
      <c r="AI36" s="285" t="e">
        <f>AH36/AG36*100</f>
        <v>#DIV/0!</v>
      </c>
      <c r="AJ36" s="285">
        <f t="shared" si="25"/>
        <v>0</v>
      </c>
      <c r="AK36" s="108"/>
      <c r="AL36" s="108"/>
      <c r="AM36" s="108"/>
      <c r="AN36" s="108">
        <f t="shared" si="35"/>
        <v>0</v>
      </c>
      <c r="AO36" s="108"/>
      <c r="AP36" s="108"/>
      <c r="AQ36" s="108"/>
      <c r="AR36" s="108">
        <f t="shared" si="36"/>
        <v>0</v>
      </c>
      <c r="AS36" s="108"/>
      <c r="AT36" s="108"/>
      <c r="AU36" s="108"/>
      <c r="AV36" s="108">
        <f t="shared" si="37"/>
        <v>0</v>
      </c>
      <c r="AW36" s="108"/>
      <c r="AX36" s="108"/>
      <c r="AY36" s="108"/>
      <c r="AZ36" s="108">
        <f t="shared" si="38"/>
        <v>0</v>
      </c>
      <c r="BA36" s="283">
        <f t="shared" si="8"/>
        <v>0</v>
      </c>
      <c r="BB36" s="285">
        <f t="shared" si="8"/>
        <v>0</v>
      </c>
      <c r="BC36" s="285"/>
      <c r="BD36" s="285">
        <f t="shared" si="39"/>
        <v>0</v>
      </c>
      <c r="BE36" s="108"/>
      <c r="BF36" s="108"/>
      <c r="BG36" s="108"/>
      <c r="BH36" s="108">
        <f t="shared" si="40"/>
        <v>0</v>
      </c>
      <c r="BI36" s="108"/>
      <c r="BJ36" s="108"/>
      <c r="BK36" s="113" t="e">
        <f>BJ36/BI36*100</f>
        <v>#DIV/0!</v>
      </c>
      <c r="BL36" s="108">
        <f t="shared" si="41"/>
        <v>0</v>
      </c>
      <c r="BM36" s="108"/>
      <c r="BN36" s="108"/>
      <c r="BO36" s="108"/>
      <c r="BP36" s="108">
        <f t="shared" si="42"/>
        <v>0</v>
      </c>
      <c r="BQ36" s="108"/>
      <c r="BR36" s="108"/>
      <c r="BS36" s="108"/>
      <c r="BT36" s="122">
        <f t="shared" si="43"/>
        <v>0</v>
      </c>
      <c r="BU36" s="108"/>
      <c r="BV36" s="153"/>
      <c r="BW36" s="108"/>
      <c r="BX36" s="122"/>
      <c r="BY36" s="122"/>
      <c r="BZ36" s="122"/>
      <c r="CA36" s="122"/>
      <c r="CB36" s="122"/>
      <c r="CC36" s="122"/>
      <c r="CD36" s="122"/>
      <c r="CE36" s="122"/>
      <c r="CF36" s="122"/>
      <c r="CG36" s="283">
        <f t="shared" si="32"/>
        <v>0</v>
      </c>
      <c r="CH36" s="273">
        <f>R36+V36+Z36+AD36+BR36+BV36+F36+J36+N36+AL36+BZ36+AP36+AT36+AX36+BF36</f>
        <v>0</v>
      </c>
      <c r="CI36" s="285" t="e">
        <f t="shared" si="13"/>
        <v>#DIV/0!</v>
      </c>
      <c r="CJ36" s="285">
        <f t="shared" si="14"/>
        <v>0</v>
      </c>
      <c r="CL36" s="142">
        <f t="shared" si="16"/>
        <v>0</v>
      </c>
      <c r="CM36" s="137">
        <f t="shared" si="17"/>
        <v>0</v>
      </c>
      <c r="CO36" s="146">
        <f t="shared" si="15"/>
        <v>0</v>
      </c>
    </row>
    <row r="37" spans="1:93" hidden="1">
      <c r="A37" s="122"/>
      <c r="B37" s="896" t="s">
        <v>213</v>
      </c>
      <c r="C37" s="897"/>
      <c r="D37" s="898"/>
      <c r="E37" s="108"/>
      <c r="F37" s="108"/>
      <c r="G37" s="108"/>
      <c r="H37" s="108">
        <f t="shared" si="0"/>
        <v>0</v>
      </c>
      <c r="I37" s="108"/>
      <c r="J37" s="108"/>
      <c r="K37" s="109"/>
      <c r="L37" s="108">
        <f>J37-I37</f>
        <v>0</v>
      </c>
      <c r="M37" s="108"/>
      <c r="N37" s="108"/>
      <c r="O37" s="108"/>
      <c r="P37" s="122">
        <f t="shared" si="22"/>
        <v>0</v>
      </c>
      <c r="Q37" s="108"/>
      <c r="R37" s="108"/>
      <c r="S37" s="108"/>
      <c r="T37" s="122">
        <f t="shared" si="44"/>
        <v>0</v>
      </c>
      <c r="U37" s="108"/>
      <c r="V37" s="108"/>
      <c r="W37" s="108"/>
      <c r="X37" s="122">
        <f t="shared" si="45"/>
        <v>0</v>
      </c>
      <c r="Y37" s="108"/>
      <c r="Z37" s="108"/>
      <c r="AA37" s="108"/>
      <c r="AB37" s="122">
        <f t="shared" si="46"/>
        <v>0</v>
      </c>
      <c r="AC37" s="108"/>
      <c r="AD37" s="108"/>
      <c r="AE37" s="108"/>
      <c r="AF37" s="122"/>
      <c r="AG37" s="283">
        <f t="shared" si="3"/>
        <v>0</v>
      </c>
      <c r="AH37" s="285">
        <f t="shared" si="3"/>
        <v>0</v>
      </c>
      <c r="AI37" s="285"/>
      <c r="AJ37" s="285">
        <f t="shared" si="25"/>
        <v>0</v>
      </c>
      <c r="AK37" s="108"/>
      <c r="AL37" s="108"/>
      <c r="AM37" s="108"/>
      <c r="AN37" s="108">
        <f t="shared" si="35"/>
        <v>0</v>
      </c>
      <c r="AO37" s="108"/>
      <c r="AP37" s="108"/>
      <c r="AQ37" s="108"/>
      <c r="AR37" s="108">
        <f t="shared" si="36"/>
        <v>0</v>
      </c>
      <c r="AS37" s="108"/>
      <c r="AT37" s="108"/>
      <c r="AU37" s="108"/>
      <c r="AV37" s="108">
        <f t="shared" si="37"/>
        <v>0</v>
      </c>
      <c r="AW37" s="108"/>
      <c r="AX37" s="108"/>
      <c r="AY37" s="108"/>
      <c r="AZ37" s="108">
        <f t="shared" si="38"/>
        <v>0</v>
      </c>
      <c r="BA37" s="283">
        <f t="shared" si="8"/>
        <v>0</v>
      </c>
      <c r="BB37" s="285">
        <f t="shared" si="8"/>
        <v>0</v>
      </c>
      <c r="BC37" s="285"/>
      <c r="BD37" s="285">
        <f t="shared" si="39"/>
        <v>0</v>
      </c>
      <c r="BE37" s="108"/>
      <c r="BF37" s="108"/>
      <c r="BG37" s="108"/>
      <c r="BH37" s="108">
        <f t="shared" si="40"/>
        <v>0</v>
      </c>
      <c r="BI37" s="108"/>
      <c r="BJ37" s="108"/>
      <c r="BK37" s="113"/>
      <c r="BL37" s="108">
        <f t="shared" si="41"/>
        <v>0</v>
      </c>
      <c r="BM37" s="108"/>
      <c r="BN37" s="108"/>
      <c r="BO37" s="108"/>
      <c r="BP37" s="108">
        <f t="shared" si="42"/>
        <v>0</v>
      </c>
      <c r="BQ37" s="108"/>
      <c r="BR37" s="108"/>
      <c r="BS37" s="108"/>
      <c r="BT37" s="122">
        <f t="shared" si="43"/>
        <v>0</v>
      </c>
      <c r="BU37" s="108"/>
      <c r="BV37" s="153"/>
      <c r="BW37" s="108" t="e">
        <f>BV37/BU37*100</f>
        <v>#DIV/0!</v>
      </c>
      <c r="BX37" s="122">
        <f t="shared" si="20"/>
        <v>0</v>
      </c>
      <c r="BY37" s="122"/>
      <c r="BZ37" s="122"/>
      <c r="CA37" s="122"/>
      <c r="CB37" s="122"/>
      <c r="CC37" s="122"/>
      <c r="CD37" s="122"/>
      <c r="CE37" s="122"/>
      <c r="CF37" s="122"/>
      <c r="CG37" s="283">
        <f t="shared" si="32"/>
        <v>0</v>
      </c>
      <c r="CH37" s="273">
        <f>R37+V37+Z37+AD37+BR37+BV37+F37+J37+N37+AL37+BZ37+AP37+AT37+AX37+BF37</f>
        <v>0</v>
      </c>
      <c r="CI37" s="285" t="e">
        <f t="shared" si="13"/>
        <v>#DIV/0!</v>
      </c>
      <c r="CJ37" s="285">
        <f t="shared" si="14"/>
        <v>0</v>
      </c>
      <c r="CL37" s="142">
        <f t="shared" si="16"/>
        <v>0</v>
      </c>
      <c r="CM37" s="137">
        <f t="shared" si="17"/>
        <v>0</v>
      </c>
      <c r="CO37" s="146">
        <f t="shared" si="15"/>
        <v>0</v>
      </c>
    </row>
    <row r="38" spans="1:93" ht="12.75" hidden="1" customHeight="1">
      <c r="A38" s="122"/>
      <c r="B38" s="875" t="s">
        <v>408</v>
      </c>
      <c r="C38" s="876"/>
      <c r="D38" s="877"/>
      <c r="E38" s="108"/>
      <c r="F38" s="108"/>
      <c r="G38" s="108"/>
      <c r="H38" s="108">
        <f t="shared" si="0"/>
        <v>0</v>
      </c>
      <c r="I38" s="108"/>
      <c r="J38" s="108"/>
      <c r="K38" s="109"/>
      <c r="L38" s="108">
        <f>J38-I38</f>
        <v>0</v>
      </c>
      <c r="M38" s="108"/>
      <c r="N38" s="108"/>
      <c r="O38" s="108"/>
      <c r="P38" s="122">
        <f t="shared" si="22"/>
        <v>0</v>
      </c>
      <c r="Q38" s="108"/>
      <c r="R38" s="108"/>
      <c r="S38" s="108"/>
      <c r="T38" s="122">
        <f t="shared" si="44"/>
        <v>0</v>
      </c>
      <c r="U38" s="108"/>
      <c r="V38" s="108"/>
      <c r="W38" s="108"/>
      <c r="X38" s="122">
        <f t="shared" si="45"/>
        <v>0</v>
      </c>
      <c r="Y38" s="108"/>
      <c r="Z38" s="108"/>
      <c r="AA38" s="108"/>
      <c r="AB38" s="122">
        <f t="shared" si="46"/>
        <v>0</v>
      </c>
      <c r="AC38" s="108"/>
      <c r="AD38" s="108"/>
      <c r="AE38" s="108"/>
      <c r="AF38" s="122"/>
      <c r="AG38" s="283">
        <f t="shared" si="3"/>
        <v>0</v>
      </c>
      <c r="AH38" s="285">
        <f t="shared" si="3"/>
        <v>0</v>
      </c>
      <c r="AI38" s="285"/>
      <c r="AJ38" s="285">
        <f t="shared" si="25"/>
        <v>0</v>
      </c>
      <c r="AK38" s="108"/>
      <c r="AL38" s="108"/>
      <c r="AM38" s="108"/>
      <c r="AN38" s="108">
        <f t="shared" si="35"/>
        <v>0</v>
      </c>
      <c r="AO38" s="108"/>
      <c r="AP38" s="108"/>
      <c r="AQ38" s="108"/>
      <c r="AR38" s="108">
        <f t="shared" si="36"/>
        <v>0</v>
      </c>
      <c r="AS38" s="108"/>
      <c r="AT38" s="108"/>
      <c r="AU38" s="108"/>
      <c r="AV38" s="108">
        <f t="shared" si="37"/>
        <v>0</v>
      </c>
      <c r="AW38" s="108"/>
      <c r="AX38" s="108"/>
      <c r="AY38" s="108"/>
      <c r="AZ38" s="108">
        <f t="shared" si="38"/>
        <v>0</v>
      </c>
      <c r="BA38" s="283">
        <f t="shared" si="8"/>
        <v>0</v>
      </c>
      <c r="BB38" s="285">
        <f t="shared" si="8"/>
        <v>0</v>
      </c>
      <c r="BC38" s="285"/>
      <c r="BD38" s="285">
        <f t="shared" si="39"/>
        <v>0</v>
      </c>
      <c r="BE38" s="108"/>
      <c r="BF38" s="108"/>
      <c r="BG38" s="108"/>
      <c r="BH38" s="108">
        <f t="shared" si="40"/>
        <v>0</v>
      </c>
      <c r="BI38" s="108"/>
      <c r="BJ38" s="108"/>
      <c r="BK38" s="113"/>
      <c r="BL38" s="108">
        <f t="shared" si="41"/>
        <v>0</v>
      </c>
      <c r="BM38" s="108"/>
      <c r="BN38" s="108"/>
      <c r="BO38" s="108"/>
      <c r="BP38" s="108">
        <f t="shared" si="42"/>
        <v>0</v>
      </c>
      <c r="BQ38" s="108"/>
      <c r="BR38" s="108"/>
      <c r="BS38" s="108"/>
      <c r="BT38" s="122">
        <f t="shared" si="43"/>
        <v>0</v>
      </c>
      <c r="BU38" s="108"/>
      <c r="BV38" s="153"/>
      <c r="BW38" s="108"/>
      <c r="BX38" s="122">
        <f t="shared" si="20"/>
        <v>0</v>
      </c>
      <c r="BY38" s="122"/>
      <c r="BZ38" s="122"/>
      <c r="CA38" s="122"/>
      <c r="CB38" s="122"/>
      <c r="CC38" s="122"/>
      <c r="CD38" s="122"/>
      <c r="CE38" s="122"/>
      <c r="CF38" s="122"/>
      <c r="CG38" s="283">
        <f t="shared" si="32"/>
        <v>0</v>
      </c>
      <c r="CH38" s="273">
        <f>R38+V38+Z38+AD38+BR38+BV38+F38+J38+N38+AL38+BZ38+AP38+AT38+AX38+BF38+BN38</f>
        <v>0</v>
      </c>
      <c r="CI38" s="285"/>
      <c r="CJ38" s="285">
        <f t="shared" si="14"/>
        <v>0</v>
      </c>
      <c r="CL38" s="142">
        <f t="shared" si="16"/>
        <v>0</v>
      </c>
      <c r="CM38" s="137">
        <f t="shared" si="17"/>
        <v>0</v>
      </c>
      <c r="CO38" s="146">
        <f t="shared" si="15"/>
        <v>0</v>
      </c>
    </row>
    <row r="39" spans="1:93" ht="12.75" customHeight="1">
      <c r="A39" s="122"/>
      <c r="B39" s="875" t="s">
        <v>272</v>
      </c>
      <c r="C39" s="876"/>
      <c r="D39" s="877"/>
      <c r="E39" s="108">
        <v>53</v>
      </c>
      <c r="F39" s="108"/>
      <c r="G39" s="108">
        <f t="shared" si="47"/>
        <v>0</v>
      </c>
      <c r="H39" s="108">
        <f t="shared" si="0"/>
        <v>-53</v>
      </c>
      <c r="I39" s="108">
        <v>53</v>
      </c>
      <c r="J39" s="108"/>
      <c r="K39" s="109"/>
      <c r="L39" s="108"/>
      <c r="M39" s="108">
        <v>53</v>
      </c>
      <c r="N39" s="108"/>
      <c r="O39" s="108"/>
      <c r="P39" s="122"/>
      <c r="Q39" s="108">
        <v>53</v>
      </c>
      <c r="R39" s="108"/>
      <c r="S39" s="108"/>
      <c r="T39" s="122">
        <f t="shared" si="44"/>
        <v>-53</v>
      </c>
      <c r="U39" s="108">
        <v>106</v>
      </c>
      <c r="V39" s="108"/>
      <c r="W39" s="108"/>
      <c r="X39" s="122">
        <f t="shared" si="45"/>
        <v>-106</v>
      </c>
      <c r="Y39" s="108">
        <v>53</v>
      </c>
      <c r="Z39" s="108"/>
      <c r="AA39" s="108"/>
      <c r="AB39" s="122">
        <f t="shared" si="46"/>
        <v>-53</v>
      </c>
      <c r="AC39" s="108">
        <v>53</v>
      </c>
      <c r="AD39" s="108"/>
      <c r="AE39" s="108"/>
      <c r="AF39" s="122"/>
      <c r="AG39" s="283">
        <f t="shared" si="3"/>
        <v>424</v>
      </c>
      <c r="AH39" s="285">
        <f t="shared" si="3"/>
        <v>0</v>
      </c>
      <c r="AI39" s="285"/>
      <c r="AJ39" s="285">
        <f t="shared" si="25"/>
        <v>-424</v>
      </c>
      <c r="AK39" s="108"/>
      <c r="AL39" s="108"/>
      <c r="AM39" s="108"/>
      <c r="AN39" s="108">
        <f t="shared" si="35"/>
        <v>0</v>
      </c>
      <c r="AO39" s="108"/>
      <c r="AP39" s="108"/>
      <c r="AQ39" s="108"/>
      <c r="AR39" s="108">
        <f t="shared" si="36"/>
        <v>0</v>
      </c>
      <c r="AS39" s="108"/>
      <c r="AT39" s="108"/>
      <c r="AU39" s="108"/>
      <c r="AV39" s="108">
        <f t="shared" si="37"/>
        <v>0</v>
      </c>
      <c r="AW39" s="108"/>
      <c r="AX39" s="108"/>
      <c r="AY39" s="108"/>
      <c r="AZ39" s="108">
        <f t="shared" si="38"/>
        <v>0</v>
      </c>
      <c r="BA39" s="283">
        <f t="shared" si="8"/>
        <v>0</v>
      </c>
      <c r="BB39" s="285">
        <f t="shared" si="8"/>
        <v>0</v>
      </c>
      <c r="BC39" s="285"/>
      <c r="BD39" s="285">
        <f t="shared" si="39"/>
        <v>0</v>
      </c>
      <c r="BE39" s="108"/>
      <c r="BF39" s="108"/>
      <c r="BG39" s="108"/>
      <c r="BH39" s="108">
        <f t="shared" si="40"/>
        <v>0</v>
      </c>
      <c r="BI39" s="108"/>
      <c r="BJ39" s="108"/>
      <c r="BK39" s="113"/>
      <c r="BL39" s="108">
        <f t="shared" si="41"/>
        <v>0</v>
      </c>
      <c r="BM39" s="108"/>
      <c r="BN39" s="108"/>
      <c r="BO39" s="108"/>
      <c r="BP39" s="108">
        <f t="shared" si="42"/>
        <v>0</v>
      </c>
      <c r="BQ39" s="108"/>
      <c r="BR39" s="108"/>
      <c r="BS39" s="108"/>
      <c r="BT39" s="122">
        <f t="shared" si="43"/>
        <v>0</v>
      </c>
      <c r="BU39" s="108">
        <v>32</v>
      </c>
      <c r="BV39" s="153"/>
      <c r="BW39" s="108"/>
      <c r="BX39" s="122">
        <f t="shared" si="20"/>
        <v>-32</v>
      </c>
      <c r="BY39" s="122"/>
      <c r="BZ39" s="122"/>
      <c r="CA39" s="122"/>
      <c r="CB39" s="122"/>
      <c r="CC39" s="122"/>
      <c r="CD39" s="122"/>
      <c r="CE39" s="122"/>
      <c r="CF39" s="122"/>
      <c r="CG39" s="283">
        <f t="shared" si="32"/>
        <v>456</v>
      </c>
      <c r="CH39" s="273">
        <f t="shared" ref="CH39:CH44" si="48">R39+V39+Z39+AD39+BR39+BV39+F39+J39+N39+AL39+BZ39+AP39+AT39+AX39+BF39</f>
        <v>0</v>
      </c>
      <c r="CI39" s="285">
        <f t="shared" si="13"/>
        <v>0</v>
      </c>
      <c r="CJ39" s="285">
        <f t="shared" si="14"/>
        <v>-456</v>
      </c>
      <c r="CL39" s="142">
        <f t="shared" si="16"/>
        <v>0</v>
      </c>
      <c r="CM39" s="137">
        <f t="shared" si="17"/>
        <v>456</v>
      </c>
      <c r="CO39" s="146">
        <f t="shared" si="15"/>
        <v>0</v>
      </c>
    </row>
    <row r="40" spans="1:93" ht="12.75" customHeight="1">
      <c r="A40" s="122"/>
      <c r="B40" s="875" t="s">
        <v>214</v>
      </c>
      <c r="C40" s="876"/>
      <c r="D40" s="877"/>
      <c r="E40" s="108">
        <v>25</v>
      </c>
      <c r="F40" s="108"/>
      <c r="G40" s="108">
        <f t="shared" si="47"/>
        <v>0</v>
      </c>
      <c r="H40" s="108">
        <f t="shared" si="0"/>
        <v>-25</v>
      </c>
      <c r="I40" s="108">
        <v>50</v>
      </c>
      <c r="J40" s="108"/>
      <c r="K40" s="109">
        <f>J40/I40*100</f>
        <v>0</v>
      </c>
      <c r="L40" s="108">
        <f t="shared" ref="L40:L46" si="49">J40-I40</f>
        <v>-50</v>
      </c>
      <c r="M40" s="108">
        <v>100</v>
      </c>
      <c r="N40" s="108"/>
      <c r="O40" s="108"/>
      <c r="P40" s="122"/>
      <c r="Q40" s="108">
        <v>100</v>
      </c>
      <c r="R40" s="108"/>
      <c r="S40" s="108">
        <f>R40/Q40*100</f>
        <v>0</v>
      </c>
      <c r="T40" s="122">
        <f t="shared" si="44"/>
        <v>-100</v>
      </c>
      <c r="U40" s="108">
        <v>25</v>
      </c>
      <c r="V40" s="108"/>
      <c r="W40" s="108"/>
      <c r="X40" s="122">
        <f t="shared" si="45"/>
        <v>-25</v>
      </c>
      <c r="Y40" s="108">
        <v>57</v>
      </c>
      <c r="Z40" s="108"/>
      <c r="AA40" s="108">
        <f>Z40/Y40*100</f>
        <v>0</v>
      </c>
      <c r="AB40" s="122">
        <f t="shared" si="46"/>
        <v>-57</v>
      </c>
      <c r="AC40" s="108">
        <v>50</v>
      </c>
      <c r="AD40" s="108"/>
      <c r="AE40" s="108">
        <f>AD40/AC40*100</f>
        <v>0</v>
      </c>
      <c r="AF40" s="122">
        <f>AD40-AC40</f>
        <v>-50</v>
      </c>
      <c r="AG40" s="283">
        <f t="shared" si="3"/>
        <v>407</v>
      </c>
      <c r="AH40" s="285">
        <f t="shared" si="3"/>
        <v>0</v>
      </c>
      <c r="AI40" s="285">
        <f>AH40/AG40*100</f>
        <v>0</v>
      </c>
      <c r="AJ40" s="285">
        <f t="shared" si="25"/>
        <v>-407</v>
      </c>
      <c r="AK40" s="108"/>
      <c r="AL40" s="108"/>
      <c r="AM40" s="108"/>
      <c r="AN40" s="108">
        <f t="shared" si="35"/>
        <v>0</v>
      </c>
      <c r="AO40" s="108"/>
      <c r="AP40" s="108"/>
      <c r="AQ40" s="108"/>
      <c r="AR40" s="108">
        <f t="shared" si="36"/>
        <v>0</v>
      </c>
      <c r="AS40" s="108"/>
      <c r="AT40" s="108"/>
      <c r="AU40" s="108"/>
      <c r="AV40" s="108">
        <f t="shared" si="37"/>
        <v>0</v>
      </c>
      <c r="AW40" s="108"/>
      <c r="AX40" s="108"/>
      <c r="AY40" s="108"/>
      <c r="AZ40" s="108">
        <f t="shared" si="38"/>
        <v>0</v>
      </c>
      <c r="BA40" s="283">
        <f t="shared" si="8"/>
        <v>0</v>
      </c>
      <c r="BB40" s="285">
        <f t="shared" si="8"/>
        <v>0</v>
      </c>
      <c r="BC40" s="285"/>
      <c r="BD40" s="285">
        <f t="shared" si="39"/>
        <v>0</v>
      </c>
      <c r="BE40" s="108"/>
      <c r="BF40" s="108"/>
      <c r="BG40" s="108"/>
      <c r="BH40" s="108">
        <f t="shared" si="40"/>
        <v>0</v>
      </c>
      <c r="BI40" s="108"/>
      <c r="BJ40" s="108"/>
      <c r="BK40" s="113"/>
      <c r="BL40" s="108">
        <f t="shared" si="41"/>
        <v>0</v>
      </c>
      <c r="BM40" s="108"/>
      <c r="BN40" s="108"/>
      <c r="BO40" s="108"/>
      <c r="BP40" s="108">
        <f t="shared" si="42"/>
        <v>0</v>
      </c>
      <c r="BQ40" s="108"/>
      <c r="BR40" s="108"/>
      <c r="BS40" s="108"/>
      <c r="BT40" s="122">
        <f t="shared" si="43"/>
        <v>0</v>
      </c>
      <c r="BU40" s="108"/>
      <c r="BV40" s="153"/>
      <c r="BW40" s="108"/>
      <c r="BX40" s="122">
        <f t="shared" si="20"/>
        <v>0</v>
      </c>
      <c r="BY40" s="122"/>
      <c r="BZ40" s="122"/>
      <c r="CA40" s="122"/>
      <c r="CB40" s="122"/>
      <c r="CC40" s="122"/>
      <c r="CD40" s="122"/>
      <c r="CE40" s="122"/>
      <c r="CF40" s="122"/>
      <c r="CG40" s="283">
        <f t="shared" si="32"/>
        <v>407</v>
      </c>
      <c r="CH40" s="273">
        <f t="shared" si="48"/>
        <v>0</v>
      </c>
      <c r="CI40" s="285">
        <f t="shared" si="13"/>
        <v>0</v>
      </c>
      <c r="CJ40" s="285">
        <f t="shared" si="14"/>
        <v>-407</v>
      </c>
      <c r="CL40" s="142">
        <f t="shared" si="16"/>
        <v>0</v>
      </c>
      <c r="CM40" s="137">
        <f t="shared" si="17"/>
        <v>407</v>
      </c>
      <c r="CO40" s="146">
        <f t="shared" si="15"/>
        <v>0</v>
      </c>
    </row>
    <row r="41" spans="1:93" hidden="1">
      <c r="A41" s="122"/>
      <c r="B41" s="875" t="s">
        <v>498</v>
      </c>
      <c r="C41" s="876"/>
      <c r="D41" s="877"/>
      <c r="E41" s="108"/>
      <c r="F41" s="108"/>
      <c r="G41" s="108" t="e">
        <f t="shared" si="47"/>
        <v>#DIV/0!</v>
      </c>
      <c r="H41" s="108">
        <f>F41-E41</f>
        <v>0</v>
      </c>
      <c r="I41" s="108"/>
      <c r="J41" s="108"/>
      <c r="K41" s="109"/>
      <c r="L41" s="108">
        <f t="shared" si="49"/>
        <v>0</v>
      </c>
      <c r="M41" s="108"/>
      <c r="N41" s="108"/>
      <c r="O41" s="108"/>
      <c r="P41" s="122">
        <f t="shared" ref="P41:P46" si="50">N41-M41</f>
        <v>0</v>
      </c>
      <c r="Q41" s="108"/>
      <c r="R41" s="108"/>
      <c r="S41" s="108"/>
      <c r="T41" s="122">
        <f>R41-Q41</f>
        <v>0</v>
      </c>
      <c r="U41" s="108"/>
      <c r="V41" s="108"/>
      <c r="W41" s="108"/>
      <c r="X41" s="122">
        <f>V41-U41</f>
        <v>0</v>
      </c>
      <c r="Y41" s="108"/>
      <c r="Z41" s="108"/>
      <c r="AA41" s="108"/>
      <c r="AB41" s="122">
        <f t="shared" si="46"/>
        <v>0</v>
      </c>
      <c r="AC41" s="108"/>
      <c r="AD41" s="108"/>
      <c r="AE41" s="108"/>
      <c r="AF41" s="122">
        <f>AD41-AC41</f>
        <v>0</v>
      </c>
      <c r="AG41" s="283">
        <f>E41+I41+M41+Q41+U41+Y41+AC41</f>
        <v>0</v>
      </c>
      <c r="AH41" s="285">
        <f>F41+J41+N41+R41+V41+Z41+AD41</f>
        <v>0</v>
      </c>
      <c r="AI41" s="285"/>
      <c r="AJ41" s="285">
        <f t="shared" si="25"/>
        <v>0</v>
      </c>
      <c r="AK41" s="108"/>
      <c r="AL41" s="108"/>
      <c r="AM41" s="108"/>
      <c r="AN41" s="108">
        <f>AL41-AK41</f>
        <v>0</v>
      </c>
      <c r="AO41" s="108"/>
      <c r="AP41" s="108"/>
      <c r="AQ41" s="108"/>
      <c r="AR41" s="108">
        <f>AP41-AO41</f>
        <v>0</v>
      </c>
      <c r="AS41" s="108"/>
      <c r="AT41" s="108"/>
      <c r="AU41" s="108"/>
      <c r="AV41" s="108">
        <f>AT41-AS41</f>
        <v>0</v>
      </c>
      <c r="AW41" s="108"/>
      <c r="AX41" s="108"/>
      <c r="AY41" s="108"/>
      <c r="AZ41" s="108">
        <f>AX41-AW41</f>
        <v>0</v>
      </c>
      <c r="BA41" s="283">
        <f>AK41+AO41+AS41+AW41</f>
        <v>0</v>
      </c>
      <c r="BB41" s="285">
        <f>AL41+AP41+AT41+AX41</f>
        <v>0</v>
      </c>
      <c r="BC41" s="285"/>
      <c r="BD41" s="285">
        <f>BB41-BA41</f>
        <v>0</v>
      </c>
      <c r="BE41" s="108"/>
      <c r="BF41" s="108"/>
      <c r="BG41" s="108"/>
      <c r="BH41" s="108">
        <f>BF41-BE41</f>
        <v>0</v>
      </c>
      <c r="BI41" s="108"/>
      <c r="BJ41" s="108"/>
      <c r="BK41" s="113"/>
      <c r="BL41" s="108">
        <f>BJ41-BI41</f>
        <v>0</v>
      </c>
      <c r="BM41" s="108"/>
      <c r="BN41" s="108"/>
      <c r="BO41" s="108"/>
      <c r="BP41" s="108">
        <f>BN41-BM41</f>
        <v>0</v>
      </c>
      <c r="BQ41" s="108"/>
      <c r="BR41" s="108"/>
      <c r="BS41" s="108"/>
      <c r="BT41" s="122">
        <f>BR41-BQ41</f>
        <v>0</v>
      </c>
      <c r="BU41" s="108"/>
      <c r="BV41" s="153"/>
      <c r="BW41" s="110"/>
      <c r="BX41" s="122">
        <f t="shared" si="20"/>
        <v>0</v>
      </c>
      <c r="BY41" s="122"/>
      <c r="BZ41" s="122"/>
      <c r="CA41" s="122"/>
      <c r="CB41" s="122"/>
      <c r="CC41" s="122"/>
      <c r="CD41" s="122"/>
      <c r="CE41" s="122"/>
      <c r="CF41" s="122"/>
      <c r="CG41" s="283">
        <f>AG41+BA41+BE41+BI41+BM41+BQ41+BU41+BY41</f>
        <v>0</v>
      </c>
      <c r="CH41" s="273">
        <f t="shared" si="48"/>
        <v>0</v>
      </c>
      <c r="CI41" s="285"/>
      <c r="CJ41" s="285">
        <f>CH41-CG41</f>
        <v>0</v>
      </c>
      <c r="CL41" s="142">
        <f>F41+J41+N41+R41+V41+Z41+AD41+AL41+AP41+AT41+AX41+BF41+BJ41+BN41+BR41+BV41+BZ41</f>
        <v>0</v>
      </c>
      <c r="CM41" s="137">
        <f>E41+I41+M41+Q41+U41+Y41+AC41+AG41+AK41+AO41+AS41+AW41+BE41+BI41+BM41+BQ41+BU41+BY41-AG41</f>
        <v>0</v>
      </c>
      <c r="CO41" s="146">
        <f t="shared" si="15"/>
        <v>0</v>
      </c>
    </row>
    <row r="42" spans="1:93">
      <c r="A42" s="122"/>
      <c r="B42" s="875" t="s">
        <v>623</v>
      </c>
      <c r="C42" s="876"/>
      <c r="D42" s="877"/>
      <c r="E42" s="108"/>
      <c r="F42" s="108"/>
      <c r="G42" s="108" t="e">
        <f t="shared" si="47"/>
        <v>#DIV/0!</v>
      </c>
      <c r="H42" s="108">
        <f>F42-E42</f>
        <v>0</v>
      </c>
      <c r="I42" s="108"/>
      <c r="J42" s="108"/>
      <c r="K42" s="109"/>
      <c r="L42" s="108">
        <f t="shared" si="49"/>
        <v>0</v>
      </c>
      <c r="M42" s="108"/>
      <c r="N42" s="108"/>
      <c r="O42" s="108"/>
      <c r="P42" s="122">
        <f t="shared" si="50"/>
        <v>0</v>
      </c>
      <c r="Q42" s="108"/>
      <c r="R42" s="108"/>
      <c r="S42" s="108"/>
      <c r="T42" s="122">
        <f>R42-Q42</f>
        <v>0</v>
      </c>
      <c r="U42" s="108"/>
      <c r="V42" s="108"/>
      <c r="W42" s="108"/>
      <c r="X42" s="122">
        <f>V42-U42</f>
        <v>0</v>
      </c>
      <c r="Y42" s="108"/>
      <c r="Z42" s="108"/>
      <c r="AA42" s="108"/>
      <c r="AB42" s="122">
        <f t="shared" si="46"/>
        <v>0</v>
      </c>
      <c r="AC42" s="108"/>
      <c r="AD42" s="108"/>
      <c r="AE42" s="108"/>
      <c r="AF42" s="122">
        <f>AD42-AC42</f>
        <v>0</v>
      </c>
      <c r="AG42" s="283">
        <f>E42+I42+M42+Q42+U42+Y42+AC42</f>
        <v>0</v>
      </c>
      <c r="AH42" s="285">
        <f>F42+J42+N42+R42+V42+Z42+AD42</f>
        <v>0</v>
      </c>
      <c r="AI42" s="285"/>
      <c r="AJ42" s="285">
        <f t="shared" si="25"/>
        <v>0</v>
      </c>
      <c r="AK42" s="108"/>
      <c r="AL42" s="108"/>
      <c r="AM42" s="108"/>
      <c r="AN42" s="108">
        <f>AL42-AK42</f>
        <v>0</v>
      </c>
      <c r="AO42" s="108"/>
      <c r="AP42" s="108"/>
      <c r="AQ42" s="108"/>
      <c r="AR42" s="108">
        <f>AP42-AO42</f>
        <v>0</v>
      </c>
      <c r="AS42" s="108"/>
      <c r="AT42" s="108"/>
      <c r="AU42" s="108"/>
      <c r="AV42" s="108">
        <f>AT42-AS42</f>
        <v>0</v>
      </c>
      <c r="AW42" s="108"/>
      <c r="AX42" s="108"/>
      <c r="AY42" s="108"/>
      <c r="AZ42" s="108">
        <f>AX42-AW42</f>
        <v>0</v>
      </c>
      <c r="BA42" s="283">
        <f>AK42+AO42+AS42+AW42</f>
        <v>0</v>
      </c>
      <c r="BB42" s="285">
        <f>AL42+AP42+AT42+AX42</f>
        <v>0</v>
      </c>
      <c r="BC42" s="285"/>
      <c r="BD42" s="285">
        <f>BB42-BA42</f>
        <v>0</v>
      </c>
      <c r="BE42" s="108"/>
      <c r="BF42" s="108"/>
      <c r="BG42" s="108"/>
      <c r="BH42" s="108">
        <f>BF42-BE42</f>
        <v>0</v>
      </c>
      <c r="BI42" s="108"/>
      <c r="BJ42" s="108"/>
      <c r="BK42" s="113"/>
      <c r="BL42" s="108">
        <f>BJ42-BI42</f>
        <v>0</v>
      </c>
      <c r="BM42" s="108"/>
      <c r="BN42" s="108"/>
      <c r="BO42" s="108"/>
      <c r="BP42" s="108">
        <f>BN42-BM42</f>
        <v>0</v>
      </c>
      <c r="BQ42" s="108"/>
      <c r="BR42" s="108"/>
      <c r="BS42" s="108"/>
      <c r="BT42" s="122">
        <f>BR42-BQ42</f>
        <v>0</v>
      </c>
      <c r="BU42" s="108">
        <v>247</v>
      </c>
      <c r="BV42" s="153"/>
      <c r="BW42" s="110"/>
      <c r="BX42" s="122">
        <f t="shared" si="20"/>
        <v>-247</v>
      </c>
      <c r="BY42" s="122"/>
      <c r="BZ42" s="122"/>
      <c r="CA42" s="122"/>
      <c r="CB42" s="122"/>
      <c r="CC42" s="122"/>
      <c r="CD42" s="122"/>
      <c r="CE42" s="122"/>
      <c r="CF42" s="122"/>
      <c r="CG42" s="283">
        <f>AG42+BA42+BE42+BI42+BM42+BQ42+BU42+BY42</f>
        <v>247</v>
      </c>
      <c r="CH42" s="273">
        <f t="shared" si="48"/>
        <v>0</v>
      </c>
      <c r="CI42" s="285"/>
      <c r="CJ42" s="285">
        <f>CH42-CG42</f>
        <v>-247</v>
      </c>
      <c r="CL42" s="142">
        <f>F42+J42+N42+R42+V42+Z42+AD42+AL42+AP42+AT42+AX42+BF42+BJ42+BN42+BR42+BV42+BZ42</f>
        <v>0</v>
      </c>
      <c r="CM42" s="137">
        <f>E42+I42+M42+Q42+U42+Y42+AC42+AG42+AK42+AO42+AS42+AW42+BE42+BI42+BM42+BQ42+BU42+BY42-AG42</f>
        <v>247</v>
      </c>
      <c r="CO42" s="146">
        <f t="shared" si="15"/>
        <v>0</v>
      </c>
    </row>
    <row r="43" spans="1:93" ht="12.75" customHeight="1">
      <c r="A43" s="122"/>
      <c r="B43" s="875" t="s">
        <v>577</v>
      </c>
      <c r="C43" s="876"/>
      <c r="D43" s="877"/>
      <c r="E43" s="108"/>
      <c r="F43" s="108"/>
      <c r="G43" s="108"/>
      <c r="H43" s="108">
        <f t="shared" si="0"/>
        <v>0</v>
      </c>
      <c r="I43" s="108"/>
      <c r="J43" s="108"/>
      <c r="K43" s="109"/>
      <c r="L43" s="108">
        <f t="shared" si="49"/>
        <v>0</v>
      </c>
      <c r="M43" s="108"/>
      <c r="N43" s="108"/>
      <c r="O43" s="108"/>
      <c r="P43" s="108">
        <f t="shared" si="50"/>
        <v>0</v>
      </c>
      <c r="Q43" s="108"/>
      <c r="R43" s="108"/>
      <c r="S43" s="108" t="e">
        <f>R43/Q43*100</f>
        <v>#DIV/0!</v>
      </c>
      <c r="T43" s="122">
        <f t="shared" si="44"/>
        <v>0</v>
      </c>
      <c r="U43" s="108"/>
      <c r="V43" s="108"/>
      <c r="W43" s="108"/>
      <c r="X43" s="122">
        <f t="shared" si="45"/>
        <v>0</v>
      </c>
      <c r="Y43" s="108"/>
      <c r="Z43" s="108"/>
      <c r="AA43" s="108"/>
      <c r="AB43" s="122">
        <f t="shared" si="46"/>
        <v>0</v>
      </c>
      <c r="AC43" s="108"/>
      <c r="AD43" s="108"/>
      <c r="AE43" s="108"/>
      <c r="AF43" s="122"/>
      <c r="AG43" s="283">
        <f t="shared" si="3"/>
        <v>0</v>
      </c>
      <c r="AH43" s="285">
        <f t="shared" si="3"/>
        <v>0</v>
      </c>
      <c r="AI43" s="285" t="e">
        <f>AH43/AG43*100</f>
        <v>#DIV/0!</v>
      </c>
      <c r="AJ43" s="285">
        <f t="shared" si="25"/>
        <v>0</v>
      </c>
      <c r="AK43" s="108"/>
      <c r="AL43" s="108"/>
      <c r="AM43" s="108"/>
      <c r="AN43" s="108">
        <f t="shared" si="35"/>
        <v>0</v>
      </c>
      <c r="AO43" s="108"/>
      <c r="AP43" s="108"/>
      <c r="AQ43" s="108"/>
      <c r="AR43" s="108">
        <f t="shared" si="36"/>
        <v>0</v>
      </c>
      <c r="AS43" s="108"/>
      <c r="AT43" s="108"/>
      <c r="AU43" s="108"/>
      <c r="AV43" s="108">
        <f t="shared" si="37"/>
        <v>0</v>
      </c>
      <c r="AW43" s="108"/>
      <c r="AX43" s="108"/>
      <c r="AY43" s="108"/>
      <c r="AZ43" s="108">
        <f t="shared" si="38"/>
        <v>0</v>
      </c>
      <c r="BA43" s="283">
        <f t="shared" si="8"/>
        <v>0</v>
      </c>
      <c r="BB43" s="285">
        <f t="shared" si="8"/>
        <v>0</v>
      </c>
      <c r="BC43" s="285"/>
      <c r="BD43" s="285">
        <f t="shared" si="39"/>
        <v>0</v>
      </c>
      <c r="BE43" s="108"/>
      <c r="BF43" s="108"/>
      <c r="BG43" s="108"/>
      <c r="BH43" s="108">
        <f t="shared" si="40"/>
        <v>0</v>
      </c>
      <c r="BI43" s="108"/>
      <c r="BJ43" s="108"/>
      <c r="BK43" s="108"/>
      <c r="BL43" s="108">
        <f t="shared" si="41"/>
        <v>0</v>
      </c>
      <c r="BM43" s="108"/>
      <c r="BN43" s="108"/>
      <c r="BO43" s="108"/>
      <c r="BP43" s="108">
        <f t="shared" si="42"/>
        <v>0</v>
      </c>
      <c r="BQ43" s="108"/>
      <c r="BR43" s="108"/>
      <c r="BS43" s="108"/>
      <c r="BT43" s="122"/>
      <c r="BU43" s="108"/>
      <c r="BV43" s="153"/>
      <c r="BW43" s="108"/>
      <c r="BX43" s="122">
        <f t="shared" si="20"/>
        <v>0</v>
      </c>
      <c r="BY43" s="122"/>
      <c r="BZ43" s="122"/>
      <c r="CA43" s="122"/>
      <c r="CB43" s="122"/>
      <c r="CC43" s="122">
        <v>35.244999999999997</v>
      </c>
      <c r="CD43" s="122"/>
      <c r="CE43" s="122"/>
      <c r="CF43" s="122"/>
      <c r="CG43" s="283">
        <f t="shared" si="32"/>
        <v>0</v>
      </c>
      <c r="CH43" s="273">
        <f t="shared" si="48"/>
        <v>0</v>
      </c>
      <c r="CI43" s="285" t="e">
        <f t="shared" si="13"/>
        <v>#DIV/0!</v>
      </c>
      <c r="CJ43" s="285">
        <f t="shared" si="14"/>
        <v>0</v>
      </c>
      <c r="CL43" s="142">
        <f t="shared" si="16"/>
        <v>0</v>
      </c>
      <c r="CM43" s="137">
        <f t="shared" si="17"/>
        <v>0</v>
      </c>
      <c r="CO43" s="146">
        <f t="shared" si="15"/>
        <v>0</v>
      </c>
    </row>
    <row r="44" spans="1:93" hidden="1">
      <c r="A44" s="122"/>
      <c r="B44" s="875" t="s">
        <v>269</v>
      </c>
      <c r="C44" s="876"/>
      <c r="D44" s="877"/>
      <c r="E44" s="108"/>
      <c r="F44" s="108"/>
      <c r="G44" s="108" t="e">
        <f t="shared" si="47"/>
        <v>#DIV/0!</v>
      </c>
      <c r="H44" s="108">
        <f t="shared" si="0"/>
        <v>0</v>
      </c>
      <c r="I44" s="108"/>
      <c r="J44" s="108"/>
      <c r="K44" s="109"/>
      <c r="L44" s="108">
        <f t="shared" si="49"/>
        <v>0</v>
      </c>
      <c r="M44" s="108"/>
      <c r="N44" s="108"/>
      <c r="O44" s="108"/>
      <c r="P44" s="122">
        <f t="shared" si="50"/>
        <v>0</v>
      </c>
      <c r="Q44" s="108"/>
      <c r="R44" s="108"/>
      <c r="S44" s="108"/>
      <c r="T44" s="122">
        <f t="shared" si="44"/>
        <v>0</v>
      </c>
      <c r="U44" s="108"/>
      <c r="V44" s="108"/>
      <c r="W44" s="108"/>
      <c r="X44" s="122">
        <f t="shared" si="45"/>
        <v>0</v>
      </c>
      <c r="Y44" s="108"/>
      <c r="Z44" s="108"/>
      <c r="AA44" s="108"/>
      <c r="AB44" s="122">
        <f t="shared" si="46"/>
        <v>0</v>
      </c>
      <c r="AC44" s="108"/>
      <c r="AD44" s="108"/>
      <c r="AE44" s="108"/>
      <c r="AF44" s="122">
        <f>AD44-AC44</f>
        <v>0</v>
      </c>
      <c r="AG44" s="283">
        <f t="shared" si="3"/>
        <v>0</v>
      </c>
      <c r="AH44" s="285">
        <f t="shared" si="3"/>
        <v>0</v>
      </c>
      <c r="AI44" s="285"/>
      <c r="AJ44" s="285">
        <f t="shared" si="25"/>
        <v>0</v>
      </c>
      <c r="AK44" s="108"/>
      <c r="AL44" s="108"/>
      <c r="AM44" s="108"/>
      <c r="AN44" s="108">
        <f>AL44-AK44</f>
        <v>0</v>
      </c>
      <c r="AO44" s="108"/>
      <c r="AP44" s="108"/>
      <c r="AQ44" s="108"/>
      <c r="AR44" s="108">
        <f>AP44-AO44</f>
        <v>0</v>
      </c>
      <c r="AS44" s="108"/>
      <c r="AT44" s="108"/>
      <c r="AU44" s="108"/>
      <c r="AV44" s="108">
        <f>AT44-AS44</f>
        <v>0</v>
      </c>
      <c r="AW44" s="108"/>
      <c r="AX44" s="108"/>
      <c r="AY44" s="108"/>
      <c r="AZ44" s="108">
        <f>AX44-AW44</f>
        <v>0</v>
      </c>
      <c r="BA44" s="283">
        <f t="shared" si="8"/>
        <v>0</v>
      </c>
      <c r="BB44" s="285">
        <f t="shared" si="8"/>
        <v>0</v>
      </c>
      <c r="BC44" s="285"/>
      <c r="BD44" s="285">
        <f>BB44-BA44</f>
        <v>0</v>
      </c>
      <c r="BE44" s="108"/>
      <c r="BF44" s="108"/>
      <c r="BG44" s="108"/>
      <c r="BH44" s="108">
        <f>BF44-BE44</f>
        <v>0</v>
      </c>
      <c r="BI44" s="108"/>
      <c r="BJ44" s="108"/>
      <c r="BK44" s="108"/>
      <c r="BL44" s="108">
        <f>BJ44-BI44</f>
        <v>0</v>
      </c>
      <c r="BM44" s="108"/>
      <c r="BN44" s="108"/>
      <c r="BO44" s="108"/>
      <c r="BP44" s="108">
        <f>BN44-BM44</f>
        <v>0</v>
      </c>
      <c r="BQ44" s="108"/>
      <c r="BR44" s="108"/>
      <c r="BS44" s="108"/>
      <c r="BT44" s="122">
        <f>BR44-BQ44</f>
        <v>0</v>
      </c>
      <c r="BU44" s="108"/>
      <c r="BV44" s="153"/>
      <c r="BW44" s="110"/>
      <c r="BX44" s="122">
        <f t="shared" si="20"/>
        <v>0</v>
      </c>
      <c r="BY44" s="122"/>
      <c r="BZ44" s="122"/>
      <c r="CA44" s="122"/>
      <c r="CB44" s="122"/>
      <c r="CC44" s="122"/>
      <c r="CD44" s="122"/>
      <c r="CE44" s="122"/>
      <c r="CF44" s="122"/>
      <c r="CG44" s="283">
        <f t="shared" si="32"/>
        <v>0</v>
      </c>
      <c r="CH44" s="273">
        <f t="shared" si="48"/>
        <v>0</v>
      </c>
      <c r="CI44" s="285"/>
      <c r="CJ44" s="285">
        <f t="shared" si="14"/>
        <v>0</v>
      </c>
      <c r="CL44" s="142">
        <f t="shared" si="16"/>
        <v>0</v>
      </c>
      <c r="CM44" s="137">
        <f t="shared" si="17"/>
        <v>0</v>
      </c>
      <c r="CO44" s="146">
        <f t="shared" si="15"/>
        <v>0</v>
      </c>
    </row>
    <row r="45" spans="1:93" s="141" customFormat="1" ht="13.5">
      <c r="A45" s="123">
        <v>290</v>
      </c>
      <c r="B45" s="887" t="s">
        <v>67</v>
      </c>
      <c r="C45" s="888"/>
      <c r="D45" s="889"/>
      <c r="E45" s="116">
        <f>E46+E50+E47</f>
        <v>0</v>
      </c>
      <c r="F45" s="116">
        <f>F46+F50</f>
        <v>0</v>
      </c>
      <c r="G45" s="108" t="e">
        <f t="shared" si="47"/>
        <v>#DIV/0!</v>
      </c>
      <c r="H45" s="116">
        <f t="shared" si="0"/>
        <v>0</v>
      </c>
      <c r="I45" s="116">
        <f>I46+I50</f>
        <v>0</v>
      </c>
      <c r="J45" s="116">
        <f>J46+J50</f>
        <v>0</v>
      </c>
      <c r="K45" s="116"/>
      <c r="L45" s="116">
        <f t="shared" si="49"/>
        <v>0</v>
      </c>
      <c r="M45" s="116">
        <f>M46+M50</f>
        <v>0</v>
      </c>
      <c r="N45" s="116">
        <f>N46+N50</f>
        <v>0</v>
      </c>
      <c r="O45" s="116"/>
      <c r="P45" s="123">
        <f t="shared" si="50"/>
        <v>0</v>
      </c>
      <c r="Q45" s="116">
        <f>Q46+Q50+Q47</f>
        <v>0</v>
      </c>
      <c r="R45" s="116">
        <f>R46+R50</f>
        <v>0</v>
      </c>
      <c r="S45" s="116"/>
      <c r="T45" s="116">
        <f>R45-Q45</f>
        <v>0</v>
      </c>
      <c r="U45" s="116">
        <f>U46+U50+U47</f>
        <v>0</v>
      </c>
      <c r="V45" s="116">
        <f>V46+V50</f>
        <v>0</v>
      </c>
      <c r="W45" s="123"/>
      <c r="X45" s="114">
        <f t="shared" si="45"/>
        <v>0</v>
      </c>
      <c r="Y45" s="116">
        <f>Y46+Y50+Y47</f>
        <v>0</v>
      </c>
      <c r="Z45" s="116">
        <f>Z46+Z50</f>
        <v>0</v>
      </c>
      <c r="AA45" s="116"/>
      <c r="AB45" s="123">
        <f t="shared" si="46"/>
        <v>0</v>
      </c>
      <c r="AC45" s="116">
        <f>AC46+AC50+AC47</f>
        <v>0</v>
      </c>
      <c r="AD45" s="116">
        <f>AD46+AD50</f>
        <v>0</v>
      </c>
      <c r="AE45" s="116"/>
      <c r="AF45" s="116">
        <f>AF46+AF47+AF48+AF50</f>
        <v>0</v>
      </c>
      <c r="AG45" s="283">
        <f t="shared" si="3"/>
        <v>0</v>
      </c>
      <c r="AH45" s="284">
        <f>AH46+AH47+AH48+AH50+AH49</f>
        <v>0</v>
      </c>
      <c r="AI45" s="284" t="e">
        <f>AH45/AG45*100</f>
        <v>#DIV/0!</v>
      </c>
      <c r="AJ45" s="284">
        <f t="shared" si="25"/>
        <v>0</v>
      </c>
      <c r="AK45" s="116">
        <f>AK46+AK50+AK47</f>
        <v>0</v>
      </c>
      <c r="AL45" s="116">
        <f>AL46+AL50</f>
        <v>0</v>
      </c>
      <c r="AM45" s="113"/>
      <c r="AN45" s="116">
        <f>AL45-AK45</f>
        <v>0</v>
      </c>
      <c r="AO45" s="116">
        <f>AO46+AO50</f>
        <v>0</v>
      </c>
      <c r="AP45" s="116">
        <f>AP46+AP50</f>
        <v>0</v>
      </c>
      <c r="AQ45" s="113"/>
      <c r="AR45" s="116">
        <f>AP45-AO45</f>
        <v>0</v>
      </c>
      <c r="AS45" s="116">
        <f>AS46+AS50+AS47</f>
        <v>0</v>
      </c>
      <c r="AT45" s="116">
        <f t="shared" ref="AT45:CB45" si="51">AT46+AT50+AT47</f>
        <v>0</v>
      </c>
      <c r="AU45" s="116">
        <f t="shared" si="51"/>
        <v>0</v>
      </c>
      <c r="AV45" s="116">
        <f t="shared" si="51"/>
        <v>0</v>
      </c>
      <c r="AW45" s="116">
        <f t="shared" si="51"/>
        <v>0</v>
      </c>
      <c r="AX45" s="116">
        <f t="shared" si="51"/>
        <v>0</v>
      </c>
      <c r="AY45" s="116">
        <f t="shared" si="51"/>
        <v>0</v>
      </c>
      <c r="AZ45" s="116">
        <f t="shared" si="51"/>
        <v>0</v>
      </c>
      <c r="BA45" s="283">
        <f t="shared" si="8"/>
        <v>0</v>
      </c>
      <c r="BB45" s="284">
        <f t="shared" si="51"/>
        <v>0</v>
      </c>
      <c r="BC45" s="284">
        <f t="shared" si="51"/>
        <v>0</v>
      </c>
      <c r="BD45" s="284">
        <f t="shared" si="51"/>
        <v>0</v>
      </c>
      <c r="BE45" s="116">
        <f t="shared" si="51"/>
        <v>0</v>
      </c>
      <c r="BF45" s="116">
        <f t="shared" si="51"/>
        <v>3.6999999999999998E-2</v>
      </c>
      <c r="BG45" s="116">
        <f t="shared" si="51"/>
        <v>0</v>
      </c>
      <c r="BH45" s="116">
        <f t="shared" si="51"/>
        <v>3.6999999999999998E-2</v>
      </c>
      <c r="BI45" s="116">
        <f t="shared" si="51"/>
        <v>0</v>
      </c>
      <c r="BJ45" s="116">
        <f t="shared" si="51"/>
        <v>0</v>
      </c>
      <c r="BK45" s="116">
        <f t="shared" si="51"/>
        <v>0</v>
      </c>
      <c r="BL45" s="116">
        <f t="shared" si="51"/>
        <v>0</v>
      </c>
      <c r="BM45" s="116">
        <f t="shared" si="51"/>
        <v>0</v>
      </c>
      <c r="BN45" s="116">
        <f t="shared" si="51"/>
        <v>0</v>
      </c>
      <c r="BO45" s="116">
        <f t="shared" si="51"/>
        <v>0</v>
      </c>
      <c r="BP45" s="116">
        <f t="shared" si="51"/>
        <v>0</v>
      </c>
      <c r="BQ45" s="116">
        <f t="shared" si="51"/>
        <v>8</v>
      </c>
      <c r="BR45" s="116">
        <f t="shared" si="51"/>
        <v>0</v>
      </c>
      <c r="BS45" s="116">
        <f t="shared" si="51"/>
        <v>0</v>
      </c>
      <c r="BT45" s="116">
        <f t="shared" si="51"/>
        <v>-8</v>
      </c>
      <c r="BU45" s="116">
        <f t="shared" si="51"/>
        <v>321</v>
      </c>
      <c r="BV45" s="154">
        <f>BV46+BV50+BV47+BV48</f>
        <v>0</v>
      </c>
      <c r="BW45" s="116">
        <f t="shared" si="51"/>
        <v>0</v>
      </c>
      <c r="BX45" s="116">
        <f t="shared" si="51"/>
        <v>-321</v>
      </c>
      <c r="BY45" s="116">
        <f t="shared" si="51"/>
        <v>0</v>
      </c>
      <c r="BZ45" s="154">
        <f t="shared" si="51"/>
        <v>0</v>
      </c>
      <c r="CA45" s="116">
        <f t="shared" si="51"/>
        <v>0</v>
      </c>
      <c r="CB45" s="116">
        <f t="shared" si="51"/>
        <v>0</v>
      </c>
      <c r="CC45" s="116">
        <f>CC46+CC50+CC47</f>
        <v>0</v>
      </c>
      <c r="CD45" s="154">
        <f>CD46+CD50+CD47</f>
        <v>0</v>
      </c>
      <c r="CE45" s="116">
        <f>CE46+CE50+CE47</f>
        <v>0</v>
      </c>
      <c r="CF45" s="116">
        <f>CF46+CF50+CF47</f>
        <v>0</v>
      </c>
      <c r="CG45" s="283">
        <f t="shared" si="32"/>
        <v>329</v>
      </c>
      <c r="CH45" s="292">
        <f>CH46+CH50+CH47</f>
        <v>3.6999999999999998E-2</v>
      </c>
      <c r="CI45" s="284" t="e">
        <f>CI46+CI50+CI47</f>
        <v>#DIV/0!</v>
      </c>
      <c r="CJ45" s="284">
        <f>CJ46+CJ50+CJ47</f>
        <v>-328.96300000000002</v>
      </c>
      <c r="CK45" s="116">
        <f>CK46+CK50+CK47</f>
        <v>0</v>
      </c>
      <c r="CL45" s="137">
        <f t="shared" si="16"/>
        <v>3.6999999999999998E-2</v>
      </c>
      <c r="CM45" s="137">
        <f t="shared" si="17"/>
        <v>329</v>
      </c>
      <c r="CO45" s="146">
        <f t="shared" si="15"/>
        <v>3.6999999999999998E-2</v>
      </c>
    </row>
    <row r="46" spans="1:93" hidden="1">
      <c r="A46" s="122"/>
      <c r="B46" s="890" t="s">
        <v>245</v>
      </c>
      <c r="C46" s="891"/>
      <c r="D46" s="892"/>
      <c r="E46" s="108"/>
      <c r="F46" s="108"/>
      <c r="G46" s="108" t="e">
        <f t="shared" si="47"/>
        <v>#DIV/0!</v>
      </c>
      <c r="H46" s="108">
        <f t="shared" si="0"/>
        <v>0</v>
      </c>
      <c r="I46" s="108"/>
      <c r="J46" s="108"/>
      <c r="K46" s="108"/>
      <c r="L46" s="108">
        <f t="shared" si="49"/>
        <v>0</v>
      </c>
      <c r="M46" s="108"/>
      <c r="N46" s="108"/>
      <c r="O46" s="108"/>
      <c r="P46" s="122">
        <f t="shared" si="50"/>
        <v>0</v>
      </c>
      <c r="Q46" s="108"/>
      <c r="R46" s="108"/>
      <c r="S46" s="108"/>
      <c r="T46" s="108">
        <f>R46-Q46</f>
        <v>0</v>
      </c>
      <c r="U46" s="108"/>
      <c r="V46" s="108"/>
      <c r="W46" s="122"/>
      <c r="X46" s="122"/>
      <c r="Y46" s="108"/>
      <c r="Z46" s="108"/>
      <c r="AA46" s="108"/>
      <c r="AB46" s="122">
        <f t="shared" si="46"/>
        <v>0</v>
      </c>
      <c r="AC46" s="108"/>
      <c r="AD46" s="108"/>
      <c r="AE46" s="108"/>
      <c r="AF46" s="122"/>
      <c r="AG46" s="283">
        <f t="shared" si="3"/>
        <v>0</v>
      </c>
      <c r="AH46" s="285">
        <f>F46+J46+N46+R46+V46+Z46+AD46</f>
        <v>0</v>
      </c>
      <c r="AI46" s="285"/>
      <c r="AJ46" s="285">
        <f t="shared" si="25"/>
        <v>0</v>
      </c>
      <c r="AK46" s="108"/>
      <c r="AL46" s="108"/>
      <c r="AM46" s="108"/>
      <c r="AN46" s="108">
        <f>AL46-AK46</f>
        <v>0</v>
      </c>
      <c r="AO46" s="108"/>
      <c r="AP46" s="108"/>
      <c r="AQ46" s="108"/>
      <c r="AR46" s="108">
        <f>AP46-AO46</f>
        <v>0</v>
      </c>
      <c r="AS46" s="108"/>
      <c r="AT46" s="108"/>
      <c r="AU46" s="108"/>
      <c r="AV46" s="108">
        <f>AT46-AS46</f>
        <v>0</v>
      </c>
      <c r="AW46" s="108"/>
      <c r="AX46" s="108"/>
      <c r="AY46" s="108"/>
      <c r="AZ46" s="108">
        <f>AX46-AW46</f>
        <v>0</v>
      </c>
      <c r="BA46" s="283">
        <f t="shared" si="8"/>
        <v>0</v>
      </c>
      <c r="BB46" s="285">
        <f>AL46+AP46+AT46+AX46</f>
        <v>0</v>
      </c>
      <c r="BC46" s="285"/>
      <c r="BD46" s="285">
        <f>BB46-BA46</f>
        <v>0</v>
      </c>
      <c r="BE46" s="108"/>
      <c r="BF46" s="108">
        <v>3.6999999999999998E-2</v>
      </c>
      <c r="BG46" s="108"/>
      <c r="BH46" s="108">
        <f>BF46-BE46</f>
        <v>3.6999999999999998E-2</v>
      </c>
      <c r="BI46" s="108"/>
      <c r="BJ46" s="108"/>
      <c r="BK46" s="108"/>
      <c r="BL46" s="108">
        <f>BJ46-BI46</f>
        <v>0</v>
      </c>
      <c r="BM46" s="108"/>
      <c r="BN46" s="153"/>
      <c r="BO46" s="108"/>
      <c r="BP46" s="108">
        <f>BN46-BM46</f>
        <v>0</v>
      </c>
      <c r="BQ46" s="108"/>
      <c r="BR46" s="108"/>
      <c r="BS46" s="108"/>
      <c r="BT46" s="122"/>
      <c r="BU46" s="108"/>
      <c r="BV46" s="153"/>
      <c r="BW46" s="110"/>
      <c r="BX46" s="122">
        <f t="shared" si="20"/>
        <v>0</v>
      </c>
      <c r="BY46" s="122"/>
      <c r="BZ46" s="192"/>
      <c r="CA46" s="122"/>
      <c r="CB46" s="122"/>
      <c r="CC46" s="122"/>
      <c r="CD46" s="192"/>
      <c r="CE46" s="122"/>
      <c r="CF46" s="122"/>
      <c r="CG46" s="283">
        <f t="shared" si="32"/>
        <v>0</v>
      </c>
      <c r="CH46" s="273">
        <f>R46+V46+Z46+AD46+BR46+BV46+F46+J46+N46+AL46+BZ46+AP46+AT46+AX46+BF46</f>
        <v>3.6999999999999998E-2</v>
      </c>
      <c r="CI46" s="285" t="e">
        <f t="shared" si="13"/>
        <v>#DIV/0!</v>
      </c>
      <c r="CJ46" s="285">
        <f t="shared" si="14"/>
        <v>3.6999999999999998E-2</v>
      </c>
      <c r="CL46" s="142">
        <f t="shared" si="16"/>
        <v>3.6999999999999998E-2</v>
      </c>
      <c r="CM46" s="137">
        <f t="shared" si="17"/>
        <v>0</v>
      </c>
      <c r="CO46" s="146">
        <f t="shared" si="15"/>
        <v>3.6999999999999998E-2</v>
      </c>
    </row>
    <row r="47" spans="1:93">
      <c r="A47" s="122"/>
      <c r="B47" s="875" t="s">
        <v>215</v>
      </c>
      <c r="C47" s="876"/>
      <c r="D47" s="877"/>
      <c r="E47" s="108"/>
      <c r="F47" s="108"/>
      <c r="G47" s="108"/>
      <c r="H47" s="108"/>
      <c r="I47" s="108"/>
      <c r="J47" s="108"/>
      <c r="K47" s="122"/>
      <c r="L47" s="122"/>
      <c r="M47" s="108"/>
      <c r="N47" s="108"/>
      <c r="O47" s="108"/>
      <c r="P47" s="122"/>
      <c r="Q47" s="108"/>
      <c r="R47" s="108"/>
      <c r="S47" s="108"/>
      <c r="T47" s="108">
        <f>R47-Q47</f>
        <v>0</v>
      </c>
      <c r="U47" s="108"/>
      <c r="V47" s="108"/>
      <c r="W47" s="122"/>
      <c r="X47" s="122"/>
      <c r="Y47" s="108"/>
      <c r="Z47" s="108"/>
      <c r="AA47" s="108"/>
      <c r="AB47" s="122"/>
      <c r="AC47" s="108"/>
      <c r="AD47" s="108"/>
      <c r="AE47" s="108"/>
      <c r="AF47" s="122"/>
      <c r="AG47" s="283">
        <f t="shared" si="3"/>
        <v>0</v>
      </c>
      <c r="AH47" s="285">
        <f>F47+J47+N47+R47+V47+Z47+AD47</f>
        <v>0</v>
      </c>
      <c r="AI47" s="285" t="e">
        <f>AH47/AG47*100</f>
        <v>#DIV/0!</v>
      </c>
      <c r="AJ47" s="285">
        <f t="shared" si="25"/>
        <v>0</v>
      </c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283">
        <f t="shared" si="8"/>
        <v>0</v>
      </c>
      <c r="BB47" s="285">
        <f>AL47+AP47+AT47+AX47</f>
        <v>0</v>
      </c>
      <c r="BC47" s="285"/>
      <c r="BD47" s="285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22"/>
      <c r="BU47" s="108">
        <v>21</v>
      </c>
      <c r="BV47" s="153"/>
      <c r="BW47" s="110"/>
      <c r="BX47" s="122">
        <f t="shared" si="20"/>
        <v>-21</v>
      </c>
      <c r="BY47" s="122"/>
      <c r="BZ47" s="122"/>
      <c r="CA47" s="122"/>
      <c r="CB47" s="122"/>
      <c r="CC47" s="122"/>
      <c r="CD47" s="122"/>
      <c r="CE47" s="122"/>
      <c r="CF47" s="122"/>
      <c r="CG47" s="283">
        <f t="shared" si="32"/>
        <v>21</v>
      </c>
      <c r="CH47" s="273">
        <f>R47+V47+Z47+AD47+BR47+BV47+F47+J47+N47+AL47+BZ47+AP47+AT47+AX47+BF47</f>
        <v>0</v>
      </c>
      <c r="CI47" s="285">
        <f t="shared" si="13"/>
        <v>0</v>
      </c>
      <c r="CJ47" s="285">
        <f t="shared" si="14"/>
        <v>-21</v>
      </c>
      <c r="CL47" s="142">
        <f t="shared" si="16"/>
        <v>0</v>
      </c>
      <c r="CM47" s="137">
        <f t="shared" si="17"/>
        <v>21</v>
      </c>
      <c r="CO47" s="146">
        <f t="shared" si="15"/>
        <v>0</v>
      </c>
    </row>
    <row r="48" spans="1:93" hidden="1">
      <c r="A48" s="122"/>
      <c r="B48" s="875" t="s">
        <v>216</v>
      </c>
      <c r="C48" s="876"/>
      <c r="D48" s="877"/>
      <c r="E48" s="108"/>
      <c r="F48" s="108"/>
      <c r="G48" s="108"/>
      <c r="H48" s="108"/>
      <c r="I48" s="108"/>
      <c r="J48" s="108"/>
      <c r="K48" s="122"/>
      <c r="L48" s="122"/>
      <c r="M48" s="108"/>
      <c r="N48" s="108"/>
      <c r="O48" s="108"/>
      <c r="P48" s="122"/>
      <c r="Q48" s="108"/>
      <c r="R48" s="108"/>
      <c r="S48" s="108"/>
      <c r="T48" s="122"/>
      <c r="U48" s="108"/>
      <c r="V48" s="108"/>
      <c r="W48" s="122"/>
      <c r="X48" s="122"/>
      <c r="Y48" s="108"/>
      <c r="Z48" s="108"/>
      <c r="AA48" s="108"/>
      <c r="AB48" s="122"/>
      <c r="AC48" s="108"/>
      <c r="AD48" s="108"/>
      <c r="AE48" s="108"/>
      <c r="AF48" s="122"/>
      <c r="AG48" s="283">
        <f t="shared" si="3"/>
        <v>0</v>
      </c>
      <c r="AH48" s="285">
        <f>F48+J48+N48+R48+V48+Z48+AD48</f>
        <v>0</v>
      </c>
      <c r="AI48" s="285" t="e">
        <f>AH48/AG48*100</f>
        <v>#DIV/0!</v>
      </c>
      <c r="AJ48" s="285">
        <f t="shared" si="25"/>
        <v>0</v>
      </c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283">
        <f t="shared" si="8"/>
        <v>0</v>
      </c>
      <c r="BB48" s="285">
        <f>AL48+AP48+AT48+AX48</f>
        <v>0</v>
      </c>
      <c r="BC48" s="285"/>
      <c r="BD48" s="285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22"/>
      <c r="BU48" s="108"/>
      <c r="BV48" s="153"/>
      <c r="BW48" s="110"/>
      <c r="BX48" s="122">
        <f t="shared" si="20"/>
        <v>0</v>
      </c>
      <c r="BY48" s="122"/>
      <c r="BZ48" s="122"/>
      <c r="CA48" s="122"/>
      <c r="CB48" s="122"/>
      <c r="CC48" s="122"/>
      <c r="CD48" s="122"/>
      <c r="CE48" s="122"/>
      <c r="CF48" s="122"/>
      <c r="CG48" s="283">
        <f t="shared" si="32"/>
        <v>0</v>
      </c>
      <c r="CH48" s="273">
        <f>R48+V48+Z48+AD48+BR48+BV48+F48+J48+N48+AL48+BZ48+AP48+AT48+AX48+BF48</f>
        <v>0</v>
      </c>
      <c r="CI48" s="285" t="e">
        <f t="shared" si="13"/>
        <v>#DIV/0!</v>
      </c>
      <c r="CJ48" s="285">
        <f t="shared" si="14"/>
        <v>0</v>
      </c>
      <c r="CL48" s="142">
        <f t="shared" si="16"/>
        <v>0</v>
      </c>
      <c r="CM48" s="137">
        <f t="shared" si="17"/>
        <v>0</v>
      </c>
      <c r="CO48" s="146">
        <f t="shared" si="15"/>
        <v>0</v>
      </c>
    </row>
    <row r="49" spans="1:93" hidden="1">
      <c r="A49" s="122"/>
      <c r="B49" s="875" t="s">
        <v>241</v>
      </c>
      <c r="C49" s="876"/>
      <c r="D49" s="877"/>
      <c r="E49" s="108"/>
      <c r="F49" s="108"/>
      <c r="G49" s="108"/>
      <c r="H49" s="108"/>
      <c r="I49" s="108"/>
      <c r="J49" s="108"/>
      <c r="K49" s="122"/>
      <c r="L49" s="122"/>
      <c r="M49" s="108"/>
      <c r="N49" s="108"/>
      <c r="O49" s="108"/>
      <c r="P49" s="122"/>
      <c r="Q49" s="108"/>
      <c r="R49" s="108"/>
      <c r="S49" s="108"/>
      <c r="T49" s="122"/>
      <c r="U49" s="108"/>
      <c r="V49" s="108"/>
      <c r="W49" s="122"/>
      <c r="X49" s="122"/>
      <c r="Y49" s="108"/>
      <c r="Z49" s="108"/>
      <c r="AA49" s="108"/>
      <c r="AB49" s="122"/>
      <c r="AC49" s="108"/>
      <c r="AD49" s="108"/>
      <c r="AE49" s="108"/>
      <c r="AF49" s="122"/>
      <c r="AG49" s="283">
        <f t="shared" si="3"/>
        <v>0</v>
      </c>
      <c r="AH49" s="285">
        <f>F49+J49+N49+R49+V49+Z49+AD49</f>
        <v>0</v>
      </c>
      <c r="AI49" s="285" t="e">
        <f>AH49/AG49*100</f>
        <v>#DIV/0!</v>
      </c>
      <c r="AJ49" s="285">
        <f t="shared" si="25"/>
        <v>0</v>
      </c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283">
        <f t="shared" si="8"/>
        <v>0</v>
      </c>
      <c r="BB49" s="285">
        <f>AL49+AP49+AT49+AX49</f>
        <v>0</v>
      </c>
      <c r="BC49" s="285"/>
      <c r="BD49" s="285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22"/>
      <c r="BU49" s="108"/>
      <c r="BV49" s="153"/>
      <c r="BW49" s="110"/>
      <c r="BX49" s="122"/>
      <c r="BY49" s="122"/>
      <c r="BZ49" s="122"/>
      <c r="CA49" s="122"/>
      <c r="CB49" s="122"/>
      <c r="CC49" s="122"/>
      <c r="CD49" s="122"/>
      <c r="CE49" s="122"/>
      <c r="CF49" s="122"/>
      <c r="CG49" s="283">
        <f t="shared" si="32"/>
        <v>0</v>
      </c>
      <c r="CH49" s="273">
        <f>R49+V49+Z49+AD49+BR49+BV49+F49+J49+N49+AL49+BZ49+AP49+AT49+AX49+BF49</f>
        <v>0</v>
      </c>
      <c r="CI49" s="285"/>
      <c r="CJ49" s="285">
        <f>CH49-CG49</f>
        <v>0</v>
      </c>
      <c r="CL49" s="142">
        <f t="shared" si="16"/>
        <v>0</v>
      </c>
      <c r="CM49" s="137">
        <f t="shared" si="17"/>
        <v>0</v>
      </c>
      <c r="CO49" s="146">
        <f t="shared" si="15"/>
        <v>0</v>
      </c>
    </row>
    <row r="50" spans="1:93" ht="16.5" customHeight="1">
      <c r="A50" s="122"/>
      <c r="B50" s="893" t="s">
        <v>210</v>
      </c>
      <c r="C50" s="894"/>
      <c r="D50" s="895"/>
      <c r="E50" s="108"/>
      <c r="F50" s="108"/>
      <c r="G50" s="108"/>
      <c r="H50" s="108"/>
      <c r="I50" s="108"/>
      <c r="J50" s="108"/>
      <c r="K50" s="122"/>
      <c r="L50" s="122"/>
      <c r="M50" s="108"/>
      <c r="N50" s="108"/>
      <c r="O50" s="108"/>
      <c r="P50" s="122">
        <f t="shared" si="22"/>
        <v>0</v>
      </c>
      <c r="Q50" s="108"/>
      <c r="R50" s="108"/>
      <c r="S50" s="108"/>
      <c r="T50" s="108">
        <f>R50-Q50</f>
        <v>0</v>
      </c>
      <c r="U50" s="108"/>
      <c r="V50" s="108"/>
      <c r="W50" s="122"/>
      <c r="X50" s="122">
        <f>V50-U50</f>
        <v>0</v>
      </c>
      <c r="Y50" s="108"/>
      <c r="Z50" s="108"/>
      <c r="AA50" s="108"/>
      <c r="AB50" s="122">
        <f t="shared" ref="AB50:AB65" si="52">Z50-Y50</f>
        <v>0</v>
      </c>
      <c r="AC50" s="108"/>
      <c r="AD50" s="108"/>
      <c r="AE50" s="108"/>
      <c r="AF50" s="122">
        <f>AD50-AC50</f>
        <v>0</v>
      </c>
      <c r="AG50" s="283">
        <f t="shared" si="3"/>
        <v>0</v>
      </c>
      <c r="AH50" s="285">
        <f>F50+J50+N50+R50+V50+Z50+AD50</f>
        <v>0</v>
      </c>
      <c r="AI50" s="285"/>
      <c r="AJ50" s="285">
        <f t="shared" si="25"/>
        <v>0</v>
      </c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283">
        <f t="shared" si="8"/>
        <v>0</v>
      </c>
      <c r="BB50" s="285">
        <f>AL50+AP50+AT50+AX50</f>
        <v>0</v>
      </c>
      <c r="BC50" s="285"/>
      <c r="BD50" s="285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>
        <v>8</v>
      </c>
      <c r="BR50" s="108"/>
      <c r="BS50" s="108"/>
      <c r="BT50" s="122">
        <f t="shared" ref="BT50:BT57" si="53">BR50-BQ50</f>
        <v>-8</v>
      </c>
      <c r="BU50" s="108">
        <v>300</v>
      </c>
      <c r="BV50" s="153"/>
      <c r="BW50" s="108"/>
      <c r="BX50" s="122">
        <f t="shared" si="20"/>
        <v>-300</v>
      </c>
      <c r="BY50" s="122"/>
      <c r="BZ50" s="122"/>
      <c r="CA50" s="122"/>
      <c r="CB50" s="122"/>
      <c r="CC50" s="122"/>
      <c r="CD50" s="122"/>
      <c r="CE50" s="122"/>
      <c r="CF50" s="122"/>
      <c r="CG50" s="283">
        <f t="shared" si="32"/>
        <v>308</v>
      </c>
      <c r="CH50" s="273">
        <f>R50+V50+Z50+AD50+BR50+BV50+F50+J50+N50+AL50+BZ50+AP50+AT50+AX50+BF50</f>
        <v>0</v>
      </c>
      <c r="CI50" s="285">
        <f t="shared" si="13"/>
        <v>0</v>
      </c>
      <c r="CJ50" s="285">
        <f t="shared" si="14"/>
        <v>-308</v>
      </c>
      <c r="CL50" s="142">
        <f t="shared" si="16"/>
        <v>0</v>
      </c>
      <c r="CM50" s="137">
        <f t="shared" si="17"/>
        <v>308</v>
      </c>
      <c r="CO50" s="146">
        <f t="shared" si="15"/>
        <v>0</v>
      </c>
    </row>
    <row r="51" spans="1:93" s="133" customFormat="1" ht="19.5" customHeight="1">
      <c r="A51" s="126">
        <v>300</v>
      </c>
      <c r="B51" s="884" t="s">
        <v>217</v>
      </c>
      <c r="C51" s="885"/>
      <c r="D51" s="886"/>
      <c r="E51" s="113">
        <f>E52+E55</f>
        <v>1525</v>
      </c>
      <c r="F51" s="113">
        <f>F52+F55</f>
        <v>0</v>
      </c>
      <c r="G51" s="113">
        <f>F51/E51*100</f>
        <v>0</v>
      </c>
      <c r="H51" s="279">
        <f>F51-E51</f>
        <v>-1525</v>
      </c>
      <c r="I51" s="113">
        <f>I52+I55</f>
        <v>3460</v>
      </c>
      <c r="J51" s="113">
        <f>J52+J55</f>
        <v>0</v>
      </c>
      <c r="K51" s="113">
        <f>J51/I51*100</f>
        <v>0</v>
      </c>
      <c r="L51" s="134">
        <f t="shared" ref="L51:L65" si="54">J51-I51</f>
        <v>-3460</v>
      </c>
      <c r="M51" s="113">
        <f>M52+M55</f>
        <v>6915</v>
      </c>
      <c r="N51" s="113">
        <f>N52+N55</f>
        <v>0</v>
      </c>
      <c r="O51" s="113">
        <f t="shared" ref="O51:O60" si="55">N51/M51*100</f>
        <v>0</v>
      </c>
      <c r="P51" s="134">
        <f t="shared" si="22"/>
        <v>-6915</v>
      </c>
      <c r="Q51" s="113">
        <f>Q52+Q55</f>
        <v>5500</v>
      </c>
      <c r="R51" s="113">
        <f>R52+R55</f>
        <v>0</v>
      </c>
      <c r="S51" s="113">
        <f t="shared" ref="S51:S57" si="56">R51/Q51*100</f>
        <v>0</v>
      </c>
      <c r="T51" s="113">
        <f>R51-Q51</f>
        <v>-5500</v>
      </c>
      <c r="U51" s="113">
        <f>U52+U55</f>
        <v>1355</v>
      </c>
      <c r="V51" s="113">
        <f>V52+V55</f>
        <v>0</v>
      </c>
      <c r="W51" s="113">
        <f>V51/U51*100</f>
        <v>0</v>
      </c>
      <c r="X51" s="134">
        <f>V51-U51</f>
        <v>-1355</v>
      </c>
      <c r="Y51" s="113">
        <f>Y52+Y55</f>
        <v>4555</v>
      </c>
      <c r="Z51" s="113">
        <f>Z52+Z55</f>
        <v>0</v>
      </c>
      <c r="AA51" s="113">
        <f t="shared" ref="AA51:AA60" si="57">Z51/Y51*100</f>
        <v>0</v>
      </c>
      <c r="AB51" s="134">
        <f t="shared" si="52"/>
        <v>-4555</v>
      </c>
      <c r="AC51" s="113">
        <f>AC52+AC55</f>
        <v>3460</v>
      </c>
      <c r="AD51" s="113">
        <f>AD52+AD55</f>
        <v>0</v>
      </c>
      <c r="AE51" s="113">
        <f t="shared" ref="AE51:AE58" si="58">AD51/AC51*100</f>
        <v>0</v>
      </c>
      <c r="AF51" s="134">
        <f>AD51-AC51</f>
        <v>-3460</v>
      </c>
      <c r="AG51" s="289">
        <f t="shared" si="3"/>
        <v>26770</v>
      </c>
      <c r="AH51" s="289">
        <f>AH52+AH55</f>
        <v>0</v>
      </c>
      <c r="AI51" s="283">
        <f t="shared" ref="AI51:AI66" si="59">AH51/AG51*100</f>
        <v>0</v>
      </c>
      <c r="AJ51" s="287">
        <f t="shared" si="25"/>
        <v>-26770</v>
      </c>
      <c r="AK51" s="113">
        <f>AK52+AK55</f>
        <v>490</v>
      </c>
      <c r="AL51" s="113">
        <f>AL52+AL55</f>
        <v>0</v>
      </c>
      <c r="AM51" s="113">
        <f>AL51/AK51*100</f>
        <v>0</v>
      </c>
      <c r="AN51" s="279">
        <f>AL51-AK51</f>
        <v>-490</v>
      </c>
      <c r="AO51" s="113">
        <f>AO52+AO55</f>
        <v>130</v>
      </c>
      <c r="AP51" s="113">
        <f>AP52+AP55</f>
        <v>0</v>
      </c>
      <c r="AQ51" s="113">
        <f>AP51/AO51*100</f>
        <v>0</v>
      </c>
      <c r="AR51" s="279">
        <f>AP51-AO51</f>
        <v>-130</v>
      </c>
      <c r="AS51" s="113">
        <f>AS52+AS55</f>
        <v>425</v>
      </c>
      <c r="AT51" s="113">
        <f>AT52+AT55</f>
        <v>0</v>
      </c>
      <c r="AU51" s="113">
        <f t="shared" ref="AU51:AU57" si="60">AT51/AS51*100</f>
        <v>0</v>
      </c>
      <c r="AV51" s="279">
        <f t="shared" ref="AV51:AV65" si="61">AT51-AS51</f>
        <v>-425</v>
      </c>
      <c r="AW51" s="113">
        <f>AW52+AW55</f>
        <v>425</v>
      </c>
      <c r="AX51" s="113">
        <f>AX52+AX55</f>
        <v>0</v>
      </c>
      <c r="AY51" s="113">
        <f>AX51/AW51*100</f>
        <v>0</v>
      </c>
      <c r="AZ51" s="279">
        <f>AX51-AW51</f>
        <v>-425</v>
      </c>
      <c r="BA51" s="283">
        <f t="shared" si="8"/>
        <v>1470</v>
      </c>
      <c r="BB51" s="283">
        <f>BB52+BB55</f>
        <v>0</v>
      </c>
      <c r="BC51" s="283">
        <f>BB51/BA51*100</f>
        <v>0</v>
      </c>
      <c r="BD51" s="285">
        <f>BB51-BA51</f>
        <v>-1470</v>
      </c>
      <c r="BE51" s="113">
        <f>BE52+BE55</f>
        <v>40</v>
      </c>
      <c r="BF51" s="113">
        <f>BF52+BF55</f>
        <v>0</v>
      </c>
      <c r="BG51" s="113">
        <f>BF51/BE51*100</f>
        <v>0</v>
      </c>
      <c r="BH51" s="279">
        <f>BF51-BE51</f>
        <v>-40</v>
      </c>
      <c r="BI51" s="113">
        <f>BI52+BI55</f>
        <v>40</v>
      </c>
      <c r="BJ51" s="113">
        <f>BJ52+BJ55</f>
        <v>0</v>
      </c>
      <c r="BK51" s="113">
        <f>BJ51/BI51*100</f>
        <v>0</v>
      </c>
      <c r="BL51" s="279">
        <f>BJ51-BI51</f>
        <v>-40</v>
      </c>
      <c r="BM51" s="113">
        <f>BM52+BM55</f>
        <v>40</v>
      </c>
      <c r="BN51" s="113">
        <f>BN52+BN55</f>
        <v>0</v>
      </c>
      <c r="BO51" s="113">
        <f>BN51/BM51*100</f>
        <v>0</v>
      </c>
      <c r="BP51" s="279">
        <f t="shared" ref="BP51:BP65" si="62">BN51-BM51</f>
        <v>-40</v>
      </c>
      <c r="BQ51" s="113">
        <f>BQ52+BQ55</f>
        <v>33.799999999999997</v>
      </c>
      <c r="BR51" s="113">
        <f>BR52+BR55</f>
        <v>0</v>
      </c>
      <c r="BS51" s="113">
        <f t="shared" ref="BS51:BS57" si="63">BR51/BQ51*100</f>
        <v>0</v>
      </c>
      <c r="BT51" s="134">
        <f t="shared" si="53"/>
        <v>-33.799999999999997</v>
      </c>
      <c r="BU51" s="113">
        <f>BU52+BU55</f>
        <v>600</v>
      </c>
      <c r="BV51" s="78">
        <f>BV52+BV55</f>
        <v>0</v>
      </c>
      <c r="BW51" s="115">
        <f>BV51/BU51*100</f>
        <v>0</v>
      </c>
      <c r="BX51" s="114">
        <f t="shared" si="20"/>
        <v>-600</v>
      </c>
      <c r="BY51" s="113">
        <f>BY52+BY55</f>
        <v>14.5</v>
      </c>
      <c r="BZ51" s="113">
        <f>BZ52+BZ55</f>
        <v>0</v>
      </c>
      <c r="CA51" s="115">
        <f>BZ51/BY51*100</f>
        <v>0</v>
      </c>
      <c r="CB51" s="114">
        <f>BZ51-BY51</f>
        <v>-14.5</v>
      </c>
      <c r="CC51" s="113">
        <f>CC52+CC55</f>
        <v>736.24199999999996</v>
      </c>
      <c r="CD51" s="113">
        <f>CD52+CD55</f>
        <v>0</v>
      </c>
      <c r="CE51" s="115">
        <f>CD51/CC51*100</f>
        <v>0</v>
      </c>
      <c r="CF51" s="114">
        <f>CD51-CC51</f>
        <v>-736.24199999999996</v>
      </c>
      <c r="CG51" s="283">
        <f t="shared" si="32"/>
        <v>29008.3</v>
      </c>
      <c r="CH51" s="289">
        <f>CH52+CH55</f>
        <v>0</v>
      </c>
      <c r="CI51" s="283">
        <f t="shared" si="13"/>
        <v>0</v>
      </c>
      <c r="CJ51" s="283">
        <f t="shared" si="14"/>
        <v>-29008.3</v>
      </c>
      <c r="CL51" s="137">
        <f t="shared" si="16"/>
        <v>0</v>
      </c>
      <c r="CM51" s="137">
        <f t="shared" si="17"/>
        <v>29008.300000000003</v>
      </c>
      <c r="CO51" s="146">
        <f t="shared" si="15"/>
        <v>0</v>
      </c>
    </row>
    <row r="52" spans="1:93" s="145" customFormat="1">
      <c r="A52" s="127">
        <v>310</v>
      </c>
      <c r="B52" s="872" t="s">
        <v>218</v>
      </c>
      <c r="C52" s="873"/>
      <c r="D52" s="874"/>
      <c r="E52" s="118">
        <f>E53+E54</f>
        <v>150</v>
      </c>
      <c r="F52" s="118">
        <f>F53+F54</f>
        <v>0</v>
      </c>
      <c r="G52" s="118">
        <f>F52/E52*100</f>
        <v>0</v>
      </c>
      <c r="H52" s="118">
        <f>F52-E52</f>
        <v>-150</v>
      </c>
      <c r="I52" s="118">
        <f>I53+I54</f>
        <v>200</v>
      </c>
      <c r="J52" s="118">
        <f>J53+J54</f>
        <v>0</v>
      </c>
      <c r="K52" s="118"/>
      <c r="L52" s="134">
        <f t="shared" si="54"/>
        <v>-200</v>
      </c>
      <c r="M52" s="118">
        <f>M53+M54</f>
        <v>300</v>
      </c>
      <c r="N52" s="118">
        <f>N53+N54</f>
        <v>0</v>
      </c>
      <c r="O52" s="118">
        <f t="shared" si="55"/>
        <v>0</v>
      </c>
      <c r="P52" s="118">
        <f t="shared" si="22"/>
        <v>-300</v>
      </c>
      <c r="Q52" s="118">
        <f>Q53+Q54</f>
        <v>200</v>
      </c>
      <c r="R52" s="118">
        <f>R53+R54</f>
        <v>0</v>
      </c>
      <c r="S52" s="118">
        <f t="shared" si="56"/>
        <v>0</v>
      </c>
      <c r="T52" s="118">
        <f>R52-Q52</f>
        <v>-200</v>
      </c>
      <c r="U52" s="118">
        <f>U53+U54</f>
        <v>150</v>
      </c>
      <c r="V52" s="118">
        <f>V53+V54</f>
        <v>0</v>
      </c>
      <c r="W52" s="118"/>
      <c r="X52" s="118">
        <f>V52-U52</f>
        <v>-150</v>
      </c>
      <c r="Y52" s="118">
        <f>Y53+Y54</f>
        <v>200</v>
      </c>
      <c r="Z52" s="118">
        <f>Z53+Z54</f>
        <v>0</v>
      </c>
      <c r="AA52" s="279">
        <f t="shared" si="57"/>
        <v>0</v>
      </c>
      <c r="AB52" s="134">
        <f t="shared" si="52"/>
        <v>-200</v>
      </c>
      <c r="AC52" s="118">
        <f>AC53+AC54</f>
        <v>100</v>
      </c>
      <c r="AD52" s="118">
        <f>AD53+AD54</f>
        <v>0</v>
      </c>
      <c r="AE52" s="118"/>
      <c r="AF52" s="118">
        <f>AD52-AC52</f>
        <v>-100</v>
      </c>
      <c r="AG52" s="283">
        <f t="shared" si="3"/>
        <v>1300</v>
      </c>
      <c r="AH52" s="290">
        <f>AH53+AH54</f>
        <v>0</v>
      </c>
      <c r="AI52" s="290">
        <f t="shared" si="59"/>
        <v>0</v>
      </c>
      <c r="AJ52" s="291">
        <f t="shared" si="25"/>
        <v>-1300</v>
      </c>
      <c r="AK52" s="118">
        <f>AK53+AK54</f>
        <v>20</v>
      </c>
      <c r="AL52" s="118">
        <f>AL53+AL54</f>
        <v>0</v>
      </c>
      <c r="AM52" s="118">
        <f>AL52/AK52*100</f>
        <v>0</v>
      </c>
      <c r="AN52" s="118">
        <f>AL52-AK52</f>
        <v>-20</v>
      </c>
      <c r="AO52" s="118">
        <f>AO53+AO54</f>
        <v>0</v>
      </c>
      <c r="AP52" s="118">
        <f>AP53+AP54</f>
        <v>0</v>
      </c>
      <c r="AQ52" s="118"/>
      <c r="AR52" s="118">
        <f>AP52-AO52</f>
        <v>0</v>
      </c>
      <c r="AS52" s="118">
        <f>AS53+AS54</f>
        <v>0</v>
      </c>
      <c r="AT52" s="118">
        <f>AT53+AT54</f>
        <v>0</v>
      </c>
      <c r="AU52" s="118" t="e">
        <f t="shared" si="60"/>
        <v>#DIV/0!</v>
      </c>
      <c r="AV52" s="118">
        <f t="shared" si="61"/>
        <v>0</v>
      </c>
      <c r="AW52" s="118">
        <f>AW53+AW54</f>
        <v>0</v>
      </c>
      <c r="AX52" s="118">
        <f>AX53+AX54</f>
        <v>0</v>
      </c>
      <c r="AY52" s="118" t="e">
        <f>AX52/AW52*100</f>
        <v>#DIV/0!</v>
      </c>
      <c r="AZ52" s="118">
        <f>AX52-AW52</f>
        <v>0</v>
      </c>
      <c r="BA52" s="283">
        <f t="shared" si="8"/>
        <v>20</v>
      </c>
      <c r="BB52" s="290">
        <f>BB53+BB54</f>
        <v>0</v>
      </c>
      <c r="BC52" s="290">
        <f>BB52/BA52*100</f>
        <v>0</v>
      </c>
      <c r="BD52" s="290">
        <f>BB52-BA52</f>
        <v>-20</v>
      </c>
      <c r="BE52" s="118">
        <f>BE53+BE54</f>
        <v>0</v>
      </c>
      <c r="BF52" s="118">
        <f>BF53+BF54</f>
        <v>0</v>
      </c>
      <c r="BG52" s="118"/>
      <c r="BH52" s="118">
        <f>BF52-BE52</f>
        <v>0</v>
      </c>
      <c r="BI52" s="118">
        <f>BI53+BI54</f>
        <v>0</v>
      </c>
      <c r="BJ52" s="118">
        <f>BJ53+BJ54</f>
        <v>0</v>
      </c>
      <c r="BK52" s="118" t="e">
        <f>BJ52/BI52*100</f>
        <v>#DIV/0!</v>
      </c>
      <c r="BL52" s="118">
        <f>BJ52-BI52</f>
        <v>0</v>
      </c>
      <c r="BM52" s="118">
        <f>BM53+BM54</f>
        <v>0</v>
      </c>
      <c r="BN52" s="118">
        <f>BN53+BN54</f>
        <v>0</v>
      </c>
      <c r="BO52" s="118" t="e">
        <f>BN52/BM52*100</f>
        <v>#DIV/0!</v>
      </c>
      <c r="BP52" s="118">
        <f t="shared" si="62"/>
        <v>0</v>
      </c>
      <c r="BQ52" s="118">
        <f>BQ53+BQ54</f>
        <v>16</v>
      </c>
      <c r="BR52" s="118">
        <f>BR53+BR54</f>
        <v>0</v>
      </c>
      <c r="BS52" s="118"/>
      <c r="BT52" s="127">
        <f t="shared" si="53"/>
        <v>-16</v>
      </c>
      <c r="BU52" s="118">
        <f>BU53+BU54</f>
        <v>160</v>
      </c>
      <c r="BV52" s="194">
        <f>BV53+BV54</f>
        <v>0</v>
      </c>
      <c r="BW52" s="120">
        <f>BV52/BU52*100</f>
        <v>0</v>
      </c>
      <c r="BX52" s="127">
        <f t="shared" si="20"/>
        <v>-160</v>
      </c>
      <c r="BY52" s="118">
        <f>BY53+BY54</f>
        <v>8</v>
      </c>
      <c r="BZ52" s="118">
        <f>BZ53+BZ54</f>
        <v>0</v>
      </c>
      <c r="CA52" s="120">
        <f>BZ52/BY52*100</f>
        <v>0</v>
      </c>
      <c r="CB52" s="127">
        <f>BZ52-BY52</f>
        <v>-8</v>
      </c>
      <c r="CC52" s="118">
        <f>CC53+CC54</f>
        <v>123.48699999999999</v>
      </c>
      <c r="CD52" s="118">
        <f>CD53+CD54</f>
        <v>0</v>
      </c>
      <c r="CE52" s="120">
        <f>CD52/CC52*100</f>
        <v>0</v>
      </c>
      <c r="CF52" s="127">
        <f>CD52-CC52</f>
        <v>-123.48699999999999</v>
      </c>
      <c r="CG52" s="283">
        <f t="shared" si="32"/>
        <v>1504</v>
      </c>
      <c r="CH52" s="294">
        <f>CH53+CH54</f>
        <v>0</v>
      </c>
      <c r="CI52" s="290">
        <f t="shared" si="13"/>
        <v>0</v>
      </c>
      <c r="CJ52" s="290">
        <f t="shared" si="14"/>
        <v>-1504</v>
      </c>
      <c r="CL52" s="137">
        <f t="shared" si="16"/>
        <v>0</v>
      </c>
      <c r="CM52" s="137">
        <f t="shared" si="17"/>
        <v>1504</v>
      </c>
      <c r="CO52" s="146">
        <f t="shared" si="15"/>
        <v>0</v>
      </c>
    </row>
    <row r="53" spans="1:93">
      <c r="A53" s="122"/>
      <c r="B53" s="878" t="s">
        <v>219</v>
      </c>
      <c r="C53" s="879"/>
      <c r="D53" s="880"/>
      <c r="E53" s="108">
        <v>150</v>
      </c>
      <c r="F53" s="108"/>
      <c r="G53" s="118">
        <f>F53/E53*100</f>
        <v>0</v>
      </c>
      <c r="H53" s="108">
        <f>F53-E53</f>
        <v>-150</v>
      </c>
      <c r="I53" s="108">
        <v>200</v>
      </c>
      <c r="J53" s="108"/>
      <c r="K53" s="108"/>
      <c r="L53" s="122">
        <f t="shared" si="54"/>
        <v>-200</v>
      </c>
      <c r="M53" s="108">
        <v>300</v>
      </c>
      <c r="N53" s="108"/>
      <c r="O53" s="109">
        <f t="shared" si="55"/>
        <v>0</v>
      </c>
      <c r="P53" s="109">
        <f t="shared" si="22"/>
        <v>-300</v>
      </c>
      <c r="Q53" s="108">
        <v>200</v>
      </c>
      <c r="R53" s="108"/>
      <c r="S53" s="108">
        <f t="shared" si="56"/>
        <v>0</v>
      </c>
      <c r="T53" s="109">
        <f>R53-Q53</f>
        <v>-200</v>
      </c>
      <c r="U53" s="108">
        <v>150</v>
      </c>
      <c r="V53" s="108"/>
      <c r="W53" s="108"/>
      <c r="X53" s="122">
        <f>V53-U53</f>
        <v>-150</v>
      </c>
      <c r="Y53" s="108">
        <v>200</v>
      </c>
      <c r="Z53" s="108"/>
      <c r="AA53" s="108">
        <f t="shared" si="57"/>
        <v>0</v>
      </c>
      <c r="AB53" s="122">
        <f t="shared" si="52"/>
        <v>-200</v>
      </c>
      <c r="AC53" s="108">
        <v>100</v>
      </c>
      <c r="AD53" s="108"/>
      <c r="AE53" s="108"/>
      <c r="AF53" s="122">
        <f>AD53-AC53</f>
        <v>-100</v>
      </c>
      <c r="AG53" s="283">
        <f t="shared" si="3"/>
        <v>1300</v>
      </c>
      <c r="AH53" s="285">
        <f>F53+J53+N53+R53+V53+Z53+AD53</f>
        <v>0</v>
      </c>
      <c r="AI53" s="290">
        <f t="shared" si="59"/>
        <v>0</v>
      </c>
      <c r="AJ53" s="287">
        <f t="shared" si="25"/>
        <v>-1300</v>
      </c>
      <c r="AK53" s="108"/>
      <c r="AL53" s="108"/>
      <c r="AM53" s="108" t="e">
        <f>AL53/AK53*100</f>
        <v>#DIV/0!</v>
      </c>
      <c r="AN53" s="108">
        <f>AL53-AK53</f>
        <v>0</v>
      </c>
      <c r="AO53" s="108"/>
      <c r="AP53" s="108"/>
      <c r="AQ53" s="108"/>
      <c r="AR53" s="108">
        <f>AP53-AO53</f>
        <v>0</v>
      </c>
      <c r="AS53" s="108"/>
      <c r="AT53" s="108"/>
      <c r="AU53" s="108" t="e">
        <f t="shared" si="60"/>
        <v>#DIV/0!</v>
      </c>
      <c r="AV53" s="108">
        <f t="shared" si="61"/>
        <v>0</v>
      </c>
      <c r="AW53" s="108"/>
      <c r="AX53" s="108"/>
      <c r="AY53" s="108" t="e">
        <f>AX53/AW53*100</f>
        <v>#DIV/0!</v>
      </c>
      <c r="AZ53" s="108">
        <f>AX53-AW53</f>
        <v>0</v>
      </c>
      <c r="BA53" s="283">
        <f t="shared" si="8"/>
        <v>0</v>
      </c>
      <c r="BB53" s="285">
        <f>AL53+AP53+AT53+AX53</f>
        <v>0</v>
      </c>
      <c r="BC53" s="285" t="e">
        <f>BB53/BA53*100</f>
        <v>#DIV/0!</v>
      </c>
      <c r="BD53" s="285">
        <f>BB53-BA53</f>
        <v>0</v>
      </c>
      <c r="BE53" s="108"/>
      <c r="BF53" s="108"/>
      <c r="BG53" s="108"/>
      <c r="BH53" s="108">
        <f>BF53-BE53</f>
        <v>0</v>
      </c>
      <c r="BI53" s="108"/>
      <c r="BJ53" s="108"/>
      <c r="BK53" s="108"/>
      <c r="BL53" s="108">
        <f>BJ53-BI53</f>
        <v>0</v>
      </c>
      <c r="BM53" s="108"/>
      <c r="BN53" s="108"/>
      <c r="BO53" s="118" t="e">
        <f>BN53/BM53*100</f>
        <v>#DIV/0!</v>
      </c>
      <c r="BP53" s="108">
        <f t="shared" si="62"/>
        <v>0</v>
      </c>
      <c r="BQ53" s="108">
        <v>16</v>
      </c>
      <c r="BR53" s="108"/>
      <c r="BS53" s="108"/>
      <c r="BT53" s="122">
        <f t="shared" si="53"/>
        <v>-16</v>
      </c>
      <c r="BU53" s="108">
        <v>100</v>
      </c>
      <c r="BV53" s="153"/>
      <c r="BW53" s="110">
        <f>BV53/BU53*100</f>
        <v>0</v>
      </c>
      <c r="BX53" s="122">
        <f t="shared" si="20"/>
        <v>-100</v>
      </c>
      <c r="BY53" s="122">
        <v>8</v>
      </c>
      <c r="BZ53" s="122"/>
      <c r="CA53" s="122"/>
      <c r="CB53" s="122"/>
      <c r="CC53" s="122">
        <v>12.487</v>
      </c>
      <c r="CD53" s="122"/>
      <c r="CE53" s="122"/>
      <c r="CF53" s="122"/>
      <c r="CG53" s="283">
        <f t="shared" si="32"/>
        <v>1424</v>
      </c>
      <c r="CH53" s="273">
        <f>R53+V53+Z53+AD53+BR53+BV53+F53+J53+N53+AL53+BZ53+AP53+AT53+AX53+BF53</f>
        <v>0</v>
      </c>
      <c r="CI53" s="285">
        <f t="shared" si="13"/>
        <v>0</v>
      </c>
      <c r="CJ53" s="285">
        <f t="shared" si="14"/>
        <v>-1424</v>
      </c>
      <c r="CK53" s="112">
        <v>60</v>
      </c>
      <c r="CL53" s="142">
        <f t="shared" si="16"/>
        <v>0</v>
      </c>
      <c r="CM53" s="137">
        <f t="shared" si="17"/>
        <v>1424</v>
      </c>
      <c r="CO53" s="146">
        <f t="shared" si="15"/>
        <v>0</v>
      </c>
    </row>
    <row r="54" spans="1:93">
      <c r="A54" s="122"/>
      <c r="B54" s="878" t="s">
        <v>220</v>
      </c>
      <c r="C54" s="879"/>
      <c r="D54" s="880"/>
      <c r="E54" s="108"/>
      <c r="F54" s="108"/>
      <c r="G54" s="108"/>
      <c r="H54" s="108"/>
      <c r="I54" s="108"/>
      <c r="J54" s="108"/>
      <c r="K54" s="108"/>
      <c r="L54" s="122">
        <f t="shared" si="54"/>
        <v>0</v>
      </c>
      <c r="M54" s="108"/>
      <c r="N54" s="108"/>
      <c r="O54" s="109" t="e">
        <f t="shared" si="55"/>
        <v>#DIV/0!</v>
      </c>
      <c r="P54" s="109">
        <f t="shared" si="22"/>
        <v>0</v>
      </c>
      <c r="Q54" s="108"/>
      <c r="R54" s="108"/>
      <c r="S54" s="108"/>
      <c r="T54" s="108"/>
      <c r="U54" s="108"/>
      <c r="V54" s="108"/>
      <c r="W54" s="108"/>
      <c r="X54" s="122"/>
      <c r="Y54" s="108"/>
      <c r="Z54" s="108"/>
      <c r="AA54" s="108"/>
      <c r="AB54" s="122">
        <f t="shared" si="52"/>
        <v>0</v>
      </c>
      <c r="AC54" s="108"/>
      <c r="AD54" s="108"/>
      <c r="AE54" s="108"/>
      <c r="AF54" s="122"/>
      <c r="AG54" s="283">
        <f t="shared" si="3"/>
        <v>0</v>
      </c>
      <c r="AH54" s="285">
        <f>F54+J54+N54+R54+V54+Z54+AD54</f>
        <v>0</v>
      </c>
      <c r="AI54" s="290" t="e">
        <f t="shared" si="59"/>
        <v>#DIV/0!</v>
      </c>
      <c r="AJ54" s="287">
        <f t="shared" si="25"/>
        <v>0</v>
      </c>
      <c r="AK54" s="108">
        <v>20</v>
      </c>
      <c r="AL54" s="108"/>
      <c r="AM54" s="108"/>
      <c r="AN54" s="108"/>
      <c r="AO54" s="108"/>
      <c r="AP54" s="108"/>
      <c r="AQ54" s="108"/>
      <c r="AR54" s="108"/>
      <c r="AS54" s="108"/>
      <c r="AT54" s="108"/>
      <c r="AU54" s="108" t="e">
        <f t="shared" si="60"/>
        <v>#DIV/0!</v>
      </c>
      <c r="AV54" s="108">
        <f t="shared" si="61"/>
        <v>0</v>
      </c>
      <c r="AW54" s="108"/>
      <c r="AX54" s="108"/>
      <c r="AY54" s="108"/>
      <c r="AZ54" s="108"/>
      <c r="BA54" s="283">
        <f t="shared" si="8"/>
        <v>20</v>
      </c>
      <c r="BB54" s="285">
        <f>AL54+AP54+AT54+AX54</f>
        <v>0</v>
      </c>
      <c r="BC54" s="285"/>
      <c r="BD54" s="285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18" t="e">
        <f>BN54/BM54*100</f>
        <v>#DIV/0!</v>
      </c>
      <c r="BP54" s="108">
        <f t="shared" si="62"/>
        <v>0</v>
      </c>
      <c r="BQ54" s="108"/>
      <c r="BR54" s="108"/>
      <c r="BS54" s="106"/>
      <c r="BT54" s="122">
        <f t="shared" si="53"/>
        <v>0</v>
      </c>
      <c r="BU54" s="108">
        <v>60</v>
      </c>
      <c r="BV54" s="153"/>
      <c r="BW54" s="110"/>
      <c r="BX54" s="122"/>
      <c r="BY54" s="122"/>
      <c r="BZ54" s="122"/>
      <c r="CA54" s="122"/>
      <c r="CB54" s="122"/>
      <c r="CC54" s="122">
        <v>111</v>
      </c>
      <c r="CD54" s="122"/>
      <c r="CE54" s="122"/>
      <c r="CF54" s="122"/>
      <c r="CG54" s="283">
        <f t="shared" si="32"/>
        <v>80</v>
      </c>
      <c r="CH54" s="273">
        <f>R54+V54+Z54+AD54+BR54+BV54+F54+J54+N54+BJ54+BB54</f>
        <v>0</v>
      </c>
      <c r="CI54" s="285">
        <f>CH54/CG54*100</f>
        <v>0</v>
      </c>
      <c r="CJ54" s="285">
        <f>CH54-CG54</f>
        <v>-80</v>
      </c>
      <c r="CL54" s="142">
        <f t="shared" si="16"/>
        <v>0</v>
      </c>
      <c r="CM54" s="137">
        <f t="shared" si="17"/>
        <v>80</v>
      </c>
      <c r="CO54" s="146">
        <f t="shared" si="15"/>
        <v>0</v>
      </c>
    </row>
    <row r="55" spans="1:93" s="141" customFormat="1" ht="24.75" customHeight="1">
      <c r="A55" s="123">
        <v>340</v>
      </c>
      <c r="B55" s="881" t="s">
        <v>141</v>
      </c>
      <c r="C55" s="882"/>
      <c r="D55" s="883"/>
      <c r="E55" s="154">
        <f>SUM(E56:E65)</f>
        <v>1375</v>
      </c>
      <c r="F55" s="154">
        <f>SUM(F56:F65)</f>
        <v>0</v>
      </c>
      <c r="G55" s="116">
        <f t="shared" ref="G55:G60" si="64">F55/E55*100</f>
        <v>0</v>
      </c>
      <c r="H55" s="116">
        <f>F55-E55</f>
        <v>-1375</v>
      </c>
      <c r="I55" s="116">
        <f>SUM(I56:I65)</f>
        <v>3260</v>
      </c>
      <c r="J55" s="116">
        <f>SUM(J56:J65)</f>
        <v>0</v>
      </c>
      <c r="K55" s="116">
        <f t="shared" ref="K55:K60" si="65">J55/I55*100</f>
        <v>0</v>
      </c>
      <c r="L55" s="134">
        <f t="shared" si="54"/>
        <v>-3260</v>
      </c>
      <c r="M55" s="116">
        <f>SUM(M56:M65)</f>
        <v>6615</v>
      </c>
      <c r="N55" s="116">
        <f>SUM(N56:N65)</f>
        <v>0</v>
      </c>
      <c r="O55" s="116">
        <f t="shared" si="55"/>
        <v>0</v>
      </c>
      <c r="P55" s="116">
        <f>N55-M55</f>
        <v>-6615</v>
      </c>
      <c r="Q55" s="116">
        <f>SUM(Q56:Q65)</f>
        <v>5300</v>
      </c>
      <c r="R55" s="116">
        <f>SUM(R56:R65)</f>
        <v>0</v>
      </c>
      <c r="S55" s="116">
        <f>R55/Q55*100</f>
        <v>0</v>
      </c>
      <c r="T55" s="116">
        <f>R55-Q55</f>
        <v>-5300</v>
      </c>
      <c r="U55" s="116">
        <f>SUM(U56:U65)</f>
        <v>1205</v>
      </c>
      <c r="V55" s="116">
        <f>SUM(V56:V65)</f>
        <v>0</v>
      </c>
      <c r="W55" s="116">
        <f t="shared" ref="W55:W60" si="66">V55/U55*100</f>
        <v>0</v>
      </c>
      <c r="X55" s="116">
        <f>V55-U55</f>
        <v>-1205</v>
      </c>
      <c r="Y55" s="116">
        <f>SUM(Y56:Y65)</f>
        <v>4355</v>
      </c>
      <c r="Z55" s="116">
        <f>SUM(Z56:Z65)</f>
        <v>0</v>
      </c>
      <c r="AA55" s="113">
        <f t="shared" si="57"/>
        <v>0</v>
      </c>
      <c r="AB55" s="114">
        <f t="shared" si="52"/>
        <v>-4355</v>
      </c>
      <c r="AC55" s="116">
        <f>SUM(AC56:AC65)</f>
        <v>3360</v>
      </c>
      <c r="AD55" s="116">
        <f>SUM(AD56:AD65)</f>
        <v>0</v>
      </c>
      <c r="AE55" s="116">
        <f>AD55/AC55*100</f>
        <v>0</v>
      </c>
      <c r="AF55" s="116">
        <f>AD55-AC55</f>
        <v>-3360</v>
      </c>
      <c r="AG55" s="289">
        <f t="shared" si="3"/>
        <v>25470</v>
      </c>
      <c r="AH55" s="292">
        <f>AH56+AH57+AH58+AH59+AH60+AH61+AH62+AH63+AH64+AH65</f>
        <v>0</v>
      </c>
      <c r="AI55" s="284">
        <f t="shared" si="59"/>
        <v>0</v>
      </c>
      <c r="AJ55" s="286">
        <f t="shared" si="25"/>
        <v>-25470</v>
      </c>
      <c r="AK55" s="116">
        <f>SUM(AK56:AK65)</f>
        <v>470</v>
      </c>
      <c r="AL55" s="116">
        <f>SUM(AL56:AL65)</f>
        <v>0</v>
      </c>
      <c r="AM55" s="116">
        <f>AL55/AK55*100</f>
        <v>0</v>
      </c>
      <c r="AN55" s="116">
        <f>AL55-AK55</f>
        <v>-470</v>
      </c>
      <c r="AO55" s="116">
        <f>SUM(AO56:AO65)</f>
        <v>130</v>
      </c>
      <c r="AP55" s="116">
        <f>SUM(AP56:AP65)</f>
        <v>0</v>
      </c>
      <c r="AQ55" s="116">
        <f>AP55/AO55*100</f>
        <v>0</v>
      </c>
      <c r="AR55" s="116">
        <f>AP55-AO55</f>
        <v>-130</v>
      </c>
      <c r="AS55" s="116">
        <f>SUM(AS56:AS65)</f>
        <v>425</v>
      </c>
      <c r="AT55" s="116">
        <f>SUM(AT56:AT65)</f>
        <v>0</v>
      </c>
      <c r="AU55" s="116">
        <f t="shared" si="60"/>
        <v>0</v>
      </c>
      <c r="AV55" s="116">
        <f t="shared" si="61"/>
        <v>-425</v>
      </c>
      <c r="AW55" s="154">
        <f>SUM(AW56:AW65)</f>
        <v>425</v>
      </c>
      <c r="AX55" s="154">
        <f>SUM(AX56:AX65)</f>
        <v>0</v>
      </c>
      <c r="AY55" s="116">
        <f>AX55/AW55*100</f>
        <v>0</v>
      </c>
      <c r="AZ55" s="116">
        <f>AX55-AW55</f>
        <v>-425</v>
      </c>
      <c r="BA55" s="283">
        <f t="shared" si="8"/>
        <v>1450</v>
      </c>
      <c r="BB55" s="292">
        <f>SUM(BB56:BB65)</f>
        <v>0</v>
      </c>
      <c r="BC55" s="284">
        <f>BB55/BA55*100</f>
        <v>0</v>
      </c>
      <c r="BD55" s="284">
        <f>BB55-BA55</f>
        <v>-1450</v>
      </c>
      <c r="BE55" s="154">
        <f>SUM(BE56:BE65)</f>
        <v>40</v>
      </c>
      <c r="BF55" s="154">
        <f>SUM(BF56:BF65)</f>
        <v>0</v>
      </c>
      <c r="BG55" s="116">
        <f>BF55/BE55*100</f>
        <v>0</v>
      </c>
      <c r="BH55" s="116">
        <f>BF55-BE55</f>
        <v>-40</v>
      </c>
      <c r="BI55" s="116">
        <f>SUM(BI56:BI65)</f>
        <v>40</v>
      </c>
      <c r="BJ55" s="116">
        <f>SUM(BJ56:BJ65)</f>
        <v>0</v>
      </c>
      <c r="BK55" s="116">
        <f>BJ55/BI55*100</f>
        <v>0</v>
      </c>
      <c r="BL55" s="116">
        <f>BJ55-BI55</f>
        <v>-40</v>
      </c>
      <c r="BM55" s="116">
        <f>SUM(BM56:BM65)</f>
        <v>40</v>
      </c>
      <c r="BN55" s="116">
        <f>SUM(BN56:BN65)</f>
        <v>0</v>
      </c>
      <c r="BO55" s="116"/>
      <c r="BP55" s="116">
        <f t="shared" si="62"/>
        <v>-40</v>
      </c>
      <c r="BQ55" s="116">
        <f>SUM(BQ56:BQ65)</f>
        <v>17.8</v>
      </c>
      <c r="BR55" s="154">
        <f>SUM(BR56:BR65)</f>
        <v>0</v>
      </c>
      <c r="BS55" s="116">
        <f t="shared" si="63"/>
        <v>0</v>
      </c>
      <c r="BT55" s="123">
        <f t="shared" si="53"/>
        <v>-17.8</v>
      </c>
      <c r="BU55" s="116">
        <f>SUM(BU56:BU65)</f>
        <v>440</v>
      </c>
      <c r="BV55" s="154">
        <f>SUM(BV56:BV65)</f>
        <v>0</v>
      </c>
      <c r="BW55" s="117">
        <f>BV55/BU55*100</f>
        <v>0</v>
      </c>
      <c r="BX55" s="123">
        <f t="shared" si="20"/>
        <v>-440</v>
      </c>
      <c r="BY55" s="116">
        <f>SUM(BY56:BY65)</f>
        <v>6.5</v>
      </c>
      <c r="BZ55" s="154">
        <f>SUM(BZ56:BZ65)</f>
        <v>0</v>
      </c>
      <c r="CA55" s="117">
        <f>BZ55/BY55*100</f>
        <v>0</v>
      </c>
      <c r="CB55" s="123">
        <f>BZ55-BY55</f>
        <v>-6.5</v>
      </c>
      <c r="CC55" s="116">
        <f>SUM(CC56:CC65)</f>
        <v>612.755</v>
      </c>
      <c r="CD55" s="154">
        <f>SUM(CD56:CD65)</f>
        <v>0</v>
      </c>
      <c r="CE55" s="117">
        <f>CD55/CC55*100</f>
        <v>0</v>
      </c>
      <c r="CF55" s="123">
        <f>CD55-CC55</f>
        <v>-612.755</v>
      </c>
      <c r="CG55" s="283">
        <f t="shared" si="32"/>
        <v>27504.3</v>
      </c>
      <c r="CH55" s="292">
        <f>CH56+CH57+CH58+CH59+CH60+CH61+CH62+CH63+CH64+CH65</f>
        <v>0</v>
      </c>
      <c r="CI55" s="284">
        <f t="shared" si="13"/>
        <v>0</v>
      </c>
      <c r="CJ55" s="284">
        <f t="shared" si="14"/>
        <v>-27504.3</v>
      </c>
      <c r="CK55" s="141">
        <v>32.200000000000003</v>
      </c>
      <c r="CL55" s="137">
        <f t="shared" si="16"/>
        <v>0</v>
      </c>
      <c r="CM55" s="137">
        <f t="shared" si="17"/>
        <v>27504.300000000003</v>
      </c>
      <c r="CO55" s="146">
        <f t="shared" si="15"/>
        <v>0</v>
      </c>
    </row>
    <row r="56" spans="1:93" ht="13.5">
      <c r="A56" s="122"/>
      <c r="B56" s="866" t="s">
        <v>221</v>
      </c>
      <c r="C56" s="867"/>
      <c r="D56" s="868"/>
      <c r="E56" s="108">
        <v>1150</v>
      </c>
      <c r="F56" s="108"/>
      <c r="G56" s="108">
        <f t="shared" si="64"/>
        <v>0</v>
      </c>
      <c r="H56" s="108">
        <f>F56-E56</f>
        <v>-1150</v>
      </c>
      <c r="I56" s="108">
        <v>2800</v>
      </c>
      <c r="J56" s="108"/>
      <c r="K56" s="108">
        <f t="shared" si="65"/>
        <v>0</v>
      </c>
      <c r="L56" s="122">
        <f t="shared" si="54"/>
        <v>-2800</v>
      </c>
      <c r="M56" s="108">
        <v>5700</v>
      </c>
      <c r="N56" s="108"/>
      <c r="O56" s="108">
        <f t="shared" si="55"/>
        <v>0</v>
      </c>
      <c r="P56" s="122">
        <f t="shared" si="22"/>
        <v>-5700</v>
      </c>
      <c r="Q56" s="108">
        <v>4400</v>
      </c>
      <c r="R56" s="108"/>
      <c r="S56" s="108">
        <f t="shared" si="56"/>
        <v>0</v>
      </c>
      <c r="T56" s="122">
        <f>R56-Q56</f>
        <v>-4400</v>
      </c>
      <c r="U56" s="108">
        <v>950</v>
      </c>
      <c r="V56" s="108"/>
      <c r="W56" s="108">
        <f t="shared" si="66"/>
        <v>0</v>
      </c>
      <c r="X56" s="122">
        <f>V56-U56</f>
        <v>-950</v>
      </c>
      <c r="Y56" s="108">
        <v>3800</v>
      </c>
      <c r="Z56" s="108"/>
      <c r="AA56" s="108">
        <f t="shared" si="57"/>
        <v>0</v>
      </c>
      <c r="AB56" s="122">
        <f t="shared" si="52"/>
        <v>-3800</v>
      </c>
      <c r="AC56" s="108">
        <v>2900</v>
      </c>
      <c r="AD56" s="108"/>
      <c r="AE56" s="108">
        <f t="shared" si="58"/>
        <v>0</v>
      </c>
      <c r="AF56" s="122">
        <f>AD56-AC56</f>
        <v>-2900</v>
      </c>
      <c r="AG56" s="283">
        <f t="shared" si="3"/>
        <v>21700</v>
      </c>
      <c r="AH56" s="285">
        <f t="shared" si="3"/>
        <v>0</v>
      </c>
      <c r="AI56" s="285">
        <f t="shared" si="59"/>
        <v>0</v>
      </c>
      <c r="AJ56" s="287">
        <f t="shared" si="25"/>
        <v>-21700</v>
      </c>
      <c r="AK56" s="108">
        <v>250</v>
      </c>
      <c r="AL56" s="108"/>
      <c r="AM56" s="108">
        <f>AL56/AK56*100</f>
        <v>0</v>
      </c>
      <c r="AN56" s="108">
        <f>AL56-AK56</f>
        <v>-250</v>
      </c>
      <c r="AO56" s="108">
        <v>75</v>
      </c>
      <c r="AP56" s="108"/>
      <c r="AQ56" s="108"/>
      <c r="AR56" s="108">
        <f>AP56-AO56</f>
        <v>-75</v>
      </c>
      <c r="AS56" s="108">
        <v>250</v>
      </c>
      <c r="AT56" s="108"/>
      <c r="AU56" s="108">
        <f t="shared" si="60"/>
        <v>0</v>
      </c>
      <c r="AV56" s="108">
        <f t="shared" si="61"/>
        <v>-250</v>
      </c>
      <c r="AW56" s="108">
        <v>250</v>
      </c>
      <c r="AX56" s="108"/>
      <c r="AY56" s="108"/>
      <c r="AZ56" s="108">
        <f>AX56-AW56</f>
        <v>-250</v>
      </c>
      <c r="BA56" s="283">
        <f t="shared" si="8"/>
        <v>825</v>
      </c>
      <c r="BB56" s="285">
        <f t="shared" si="8"/>
        <v>0</v>
      </c>
      <c r="BC56" s="285">
        <f>BB56/BA56*100</f>
        <v>0</v>
      </c>
      <c r="BD56" s="285">
        <f>BB56-BA56</f>
        <v>-825</v>
      </c>
      <c r="BE56" s="108">
        <v>15</v>
      </c>
      <c r="BF56" s="108"/>
      <c r="BG56" s="108"/>
      <c r="BH56" s="108">
        <f>BF56-BE56</f>
        <v>-15</v>
      </c>
      <c r="BI56" s="108">
        <v>15</v>
      </c>
      <c r="BJ56" s="108"/>
      <c r="BK56" s="116">
        <f t="shared" ref="BK56:BK65" si="67">BJ56/BI56*100</f>
        <v>0</v>
      </c>
      <c r="BL56" s="108">
        <f>BJ56-BI56</f>
        <v>-15</v>
      </c>
      <c r="BM56" s="108">
        <v>15</v>
      </c>
      <c r="BN56" s="108"/>
      <c r="BO56" s="108"/>
      <c r="BP56" s="108">
        <f t="shared" si="62"/>
        <v>-15</v>
      </c>
      <c r="BQ56" s="108"/>
      <c r="BR56" s="108"/>
      <c r="BS56" s="108"/>
      <c r="BT56" s="122">
        <f t="shared" si="53"/>
        <v>0</v>
      </c>
      <c r="BU56" s="108"/>
      <c r="BV56" s="153"/>
      <c r="BW56" s="110"/>
      <c r="BX56" s="122">
        <f t="shared" si="20"/>
        <v>0</v>
      </c>
      <c r="BY56" s="122"/>
      <c r="BZ56" s="156"/>
      <c r="CA56" s="122"/>
      <c r="CB56" s="122"/>
      <c r="CC56" s="122"/>
      <c r="CD56" s="156"/>
      <c r="CE56" s="122"/>
      <c r="CF56" s="122"/>
      <c r="CG56" s="283">
        <f t="shared" si="32"/>
        <v>22570</v>
      </c>
      <c r="CH56" s="273">
        <f>R56+V56+Z56+AD56+BR56+BV56+F56+J56+N56+AL56+BZ56+AP56+AT56+AX56+BF56+BJ56</f>
        <v>0</v>
      </c>
      <c r="CI56" s="285">
        <f t="shared" si="13"/>
        <v>0</v>
      </c>
      <c r="CJ56" s="285">
        <f t="shared" si="14"/>
        <v>-22570</v>
      </c>
      <c r="CL56" s="142">
        <f t="shared" si="16"/>
        <v>0</v>
      </c>
      <c r="CM56" s="137">
        <f t="shared" si="17"/>
        <v>22570</v>
      </c>
      <c r="CO56" s="146">
        <f t="shared" si="15"/>
        <v>0</v>
      </c>
    </row>
    <row r="57" spans="1:93" ht="13.5">
      <c r="A57" s="122"/>
      <c r="B57" s="866" t="s">
        <v>455</v>
      </c>
      <c r="C57" s="867"/>
      <c r="D57" s="868"/>
      <c r="E57" s="108">
        <v>100</v>
      </c>
      <c r="F57" s="108"/>
      <c r="G57" s="108">
        <f t="shared" si="64"/>
        <v>0</v>
      </c>
      <c r="H57" s="108">
        <f>F57-E57</f>
        <v>-100</v>
      </c>
      <c r="I57" s="108">
        <v>200</v>
      </c>
      <c r="J57" s="108"/>
      <c r="K57" s="108">
        <f t="shared" si="65"/>
        <v>0</v>
      </c>
      <c r="L57" s="122">
        <f t="shared" si="54"/>
        <v>-200</v>
      </c>
      <c r="M57" s="108">
        <v>450</v>
      </c>
      <c r="N57" s="108"/>
      <c r="O57" s="108">
        <f t="shared" si="55"/>
        <v>0</v>
      </c>
      <c r="P57" s="122">
        <f t="shared" si="22"/>
        <v>-450</v>
      </c>
      <c r="Q57" s="108">
        <v>450</v>
      </c>
      <c r="R57" s="108"/>
      <c r="S57" s="108">
        <f t="shared" si="56"/>
        <v>0</v>
      </c>
      <c r="T57" s="122">
        <f>R57-Q57</f>
        <v>-450</v>
      </c>
      <c r="U57" s="108">
        <v>100</v>
      </c>
      <c r="V57" s="108"/>
      <c r="W57" s="108">
        <f t="shared" si="66"/>
        <v>0</v>
      </c>
      <c r="X57" s="122">
        <f>V57-U57</f>
        <v>-100</v>
      </c>
      <c r="Y57" s="108">
        <v>250</v>
      </c>
      <c r="Z57" s="108"/>
      <c r="AA57" s="108">
        <f t="shared" si="57"/>
        <v>0</v>
      </c>
      <c r="AB57" s="122">
        <f t="shared" si="52"/>
        <v>-250</v>
      </c>
      <c r="AC57" s="108">
        <v>200</v>
      </c>
      <c r="AD57" s="108"/>
      <c r="AE57" s="108">
        <f t="shared" si="58"/>
        <v>0</v>
      </c>
      <c r="AF57" s="122">
        <f>AD57-AC57</f>
        <v>-200</v>
      </c>
      <c r="AG57" s="283">
        <f t="shared" si="3"/>
        <v>1750</v>
      </c>
      <c r="AH57" s="285">
        <f t="shared" si="3"/>
        <v>0</v>
      </c>
      <c r="AI57" s="285">
        <f t="shared" si="59"/>
        <v>0</v>
      </c>
      <c r="AJ57" s="287">
        <f t="shared" si="25"/>
        <v>-1750</v>
      </c>
      <c r="AK57" s="108">
        <v>80</v>
      </c>
      <c r="AL57" s="108"/>
      <c r="AM57" s="108">
        <f>AL57/AK57*100</f>
        <v>0</v>
      </c>
      <c r="AN57" s="108">
        <f>AL57-AK57</f>
        <v>-80</v>
      </c>
      <c r="AO57" s="108">
        <v>10</v>
      </c>
      <c r="AP57" s="108"/>
      <c r="AQ57" s="108">
        <f>AP57/AO57*100</f>
        <v>0</v>
      </c>
      <c r="AR57" s="108">
        <f>AP57-AO57</f>
        <v>-10</v>
      </c>
      <c r="AS57" s="108">
        <v>50</v>
      </c>
      <c r="AT57" s="108"/>
      <c r="AU57" s="108">
        <f t="shared" si="60"/>
        <v>0</v>
      </c>
      <c r="AV57" s="108">
        <f t="shared" si="61"/>
        <v>-50</v>
      </c>
      <c r="AW57" s="108">
        <v>50</v>
      </c>
      <c r="AX57" s="108"/>
      <c r="AY57" s="108">
        <f>AX57/AW57*100</f>
        <v>0</v>
      </c>
      <c r="AZ57" s="108">
        <f>AX57-AW57</f>
        <v>-50</v>
      </c>
      <c r="BA57" s="283">
        <f t="shared" si="8"/>
        <v>190</v>
      </c>
      <c r="BB57" s="285">
        <f t="shared" si="8"/>
        <v>0</v>
      </c>
      <c r="BC57" s="285">
        <f>BB57/BA57*100</f>
        <v>0</v>
      </c>
      <c r="BD57" s="285">
        <f>BB57-BA57</f>
        <v>-190</v>
      </c>
      <c r="BE57" s="108">
        <v>20</v>
      </c>
      <c r="BF57" s="108"/>
      <c r="BG57" s="108">
        <f>BF57/BE57*100</f>
        <v>0</v>
      </c>
      <c r="BH57" s="108">
        <f>BF57-BE57</f>
        <v>-20</v>
      </c>
      <c r="BI57" s="108">
        <v>20</v>
      </c>
      <c r="BJ57" s="108"/>
      <c r="BK57" s="116">
        <f t="shared" si="67"/>
        <v>0</v>
      </c>
      <c r="BL57" s="108">
        <f>BJ57-BI57</f>
        <v>-20</v>
      </c>
      <c r="BM57" s="108">
        <v>20</v>
      </c>
      <c r="BN57" s="108"/>
      <c r="BO57" s="108"/>
      <c r="BP57" s="108">
        <f t="shared" si="62"/>
        <v>-20</v>
      </c>
      <c r="BQ57" s="108">
        <v>7.8</v>
      </c>
      <c r="BR57" s="153"/>
      <c r="BS57" s="108">
        <f t="shared" si="63"/>
        <v>0</v>
      </c>
      <c r="BT57" s="122">
        <f t="shared" si="53"/>
        <v>-7.8</v>
      </c>
      <c r="BU57" s="108">
        <v>85</v>
      </c>
      <c r="BV57" s="153"/>
      <c r="BW57" s="110">
        <f>BV57/BU57*100</f>
        <v>0</v>
      </c>
      <c r="BX57" s="122">
        <f t="shared" si="20"/>
        <v>-85</v>
      </c>
      <c r="BY57" s="156">
        <v>6.5</v>
      </c>
      <c r="BZ57" s="156"/>
      <c r="CA57" s="122"/>
      <c r="CB57" s="122"/>
      <c r="CC57" s="156">
        <v>180.4</v>
      </c>
      <c r="CD57" s="156"/>
      <c r="CE57" s="122"/>
      <c r="CF57" s="122"/>
      <c r="CG57" s="283">
        <f t="shared" si="32"/>
        <v>2099.3000000000002</v>
      </c>
      <c r="CH57" s="273">
        <f>R57+V57+Z57+AD57+BR57+BV57+F57+J57+N57+AL57+BZ57+AP57+AT57+AX57+BF57+BJ57+BN57</f>
        <v>0</v>
      </c>
      <c r="CI57" s="285">
        <f t="shared" si="13"/>
        <v>0</v>
      </c>
      <c r="CJ57" s="285">
        <f t="shared" si="14"/>
        <v>-2099.3000000000002</v>
      </c>
      <c r="CL57" s="142">
        <f t="shared" si="16"/>
        <v>0</v>
      </c>
      <c r="CM57" s="137">
        <f t="shared" si="17"/>
        <v>2099.3000000000002</v>
      </c>
      <c r="CO57" s="146">
        <f t="shared" si="15"/>
        <v>0</v>
      </c>
    </row>
    <row r="58" spans="1:93" ht="13.5">
      <c r="A58" s="122"/>
      <c r="B58" s="866" t="s">
        <v>222</v>
      </c>
      <c r="C58" s="867"/>
      <c r="D58" s="868"/>
      <c r="E58" s="108">
        <v>15</v>
      </c>
      <c r="F58" s="108"/>
      <c r="G58" s="108">
        <f t="shared" si="64"/>
        <v>0</v>
      </c>
      <c r="H58" s="108">
        <f t="shared" ref="H58:H65" si="68">F58-E58</f>
        <v>-15</v>
      </c>
      <c r="I58" s="108">
        <v>20</v>
      </c>
      <c r="J58" s="108"/>
      <c r="K58" s="108">
        <f t="shared" si="65"/>
        <v>0</v>
      </c>
      <c r="L58" s="122">
        <f t="shared" si="54"/>
        <v>-20</v>
      </c>
      <c r="M58" s="108">
        <v>30</v>
      </c>
      <c r="N58" s="108"/>
      <c r="O58" s="108">
        <f t="shared" si="55"/>
        <v>0</v>
      </c>
      <c r="P58" s="122">
        <f t="shared" si="22"/>
        <v>-30</v>
      </c>
      <c r="Q58" s="108">
        <v>30</v>
      </c>
      <c r="R58" s="108"/>
      <c r="S58" s="108">
        <f>R58/Q58*100</f>
        <v>0</v>
      </c>
      <c r="T58" s="122">
        <f t="shared" ref="T58:T65" si="69">R58-Q58</f>
        <v>-30</v>
      </c>
      <c r="U58" s="108">
        <v>15</v>
      </c>
      <c r="V58" s="108"/>
      <c r="W58" s="108">
        <f t="shared" si="66"/>
        <v>0</v>
      </c>
      <c r="X58" s="122">
        <f t="shared" ref="X58:X65" si="70">V58-U58</f>
        <v>-15</v>
      </c>
      <c r="Y58" s="108">
        <v>25</v>
      </c>
      <c r="Z58" s="108"/>
      <c r="AA58" s="108">
        <f t="shared" si="57"/>
        <v>0</v>
      </c>
      <c r="AB58" s="122">
        <f t="shared" si="52"/>
        <v>-25</v>
      </c>
      <c r="AC58" s="108">
        <v>20</v>
      </c>
      <c r="AD58" s="108"/>
      <c r="AE58" s="108">
        <f t="shared" si="58"/>
        <v>0</v>
      </c>
      <c r="AF58" s="122">
        <f>AD58-AC58</f>
        <v>-20</v>
      </c>
      <c r="AG58" s="283">
        <f t="shared" si="3"/>
        <v>155</v>
      </c>
      <c r="AH58" s="285">
        <f t="shared" si="3"/>
        <v>0</v>
      </c>
      <c r="AI58" s="285">
        <f t="shared" si="59"/>
        <v>0</v>
      </c>
      <c r="AJ58" s="287">
        <f t="shared" si="25"/>
        <v>-155</v>
      </c>
      <c r="AK58" s="108">
        <v>5</v>
      </c>
      <c r="AL58" s="108"/>
      <c r="AM58" s="108">
        <f>AL58/AK58*100</f>
        <v>0</v>
      </c>
      <c r="AN58" s="108">
        <f t="shared" ref="AN58:AN65" si="71">AL58-AK58</f>
        <v>-5</v>
      </c>
      <c r="AO58" s="108">
        <v>5</v>
      </c>
      <c r="AP58" s="108"/>
      <c r="AQ58" s="108"/>
      <c r="AR58" s="108">
        <f t="shared" ref="AR58:AR65" si="72">AP58-AO58</f>
        <v>-5</v>
      </c>
      <c r="AS58" s="108">
        <v>5</v>
      </c>
      <c r="AT58" s="108"/>
      <c r="AU58" s="108"/>
      <c r="AV58" s="108">
        <f t="shared" si="61"/>
        <v>-5</v>
      </c>
      <c r="AW58" s="108">
        <v>5</v>
      </c>
      <c r="AX58" s="108"/>
      <c r="AY58" s="108"/>
      <c r="AZ58" s="108">
        <f t="shared" ref="AZ58:AZ65" si="73">AX58-AW58</f>
        <v>-5</v>
      </c>
      <c r="BA58" s="283">
        <f t="shared" si="8"/>
        <v>20</v>
      </c>
      <c r="BB58" s="285">
        <f t="shared" si="8"/>
        <v>0</v>
      </c>
      <c r="BC58" s="285"/>
      <c r="BD58" s="285">
        <f t="shared" ref="BD58:BD65" si="74">BB58-BA58</f>
        <v>-20</v>
      </c>
      <c r="BE58" s="108">
        <v>5</v>
      </c>
      <c r="BF58" s="108"/>
      <c r="BG58" s="108"/>
      <c r="BH58" s="108">
        <f t="shared" ref="BH58:BH65" si="75">BF58-BE58</f>
        <v>-5</v>
      </c>
      <c r="BI58" s="108">
        <v>5</v>
      </c>
      <c r="BJ58" s="108"/>
      <c r="BK58" s="116"/>
      <c r="BL58" s="108">
        <f t="shared" ref="BL58:BL65" si="76">BJ58-BI58</f>
        <v>-5</v>
      </c>
      <c r="BM58" s="108">
        <v>5</v>
      </c>
      <c r="BN58" s="108"/>
      <c r="BO58" s="108"/>
      <c r="BP58" s="108">
        <f t="shared" si="62"/>
        <v>-5</v>
      </c>
      <c r="BQ58" s="108"/>
      <c r="BR58" s="108"/>
      <c r="BS58" s="108"/>
      <c r="BT58" s="122"/>
      <c r="BU58" s="108"/>
      <c r="BV58" s="153"/>
      <c r="BW58" s="110"/>
      <c r="BX58" s="122">
        <f t="shared" si="20"/>
        <v>0</v>
      </c>
      <c r="BY58" s="122"/>
      <c r="BZ58" s="122"/>
      <c r="CA58" s="122"/>
      <c r="CB58" s="122"/>
      <c r="CC58" s="122"/>
      <c r="CD58" s="122"/>
      <c r="CE58" s="122"/>
      <c r="CF58" s="122"/>
      <c r="CG58" s="283">
        <f t="shared" si="32"/>
        <v>190</v>
      </c>
      <c r="CH58" s="273">
        <f>R58+V58+Z58+AD58+BR58+BV58+F58+J58+N58+AL58+BZ58+AP58+AT58+AX58+BF58+BJ58+BN58</f>
        <v>0</v>
      </c>
      <c r="CI58" s="285">
        <f t="shared" si="13"/>
        <v>0</v>
      </c>
      <c r="CJ58" s="285">
        <f t="shared" si="14"/>
        <v>-190</v>
      </c>
      <c r="CL58" s="142">
        <f t="shared" si="16"/>
        <v>0</v>
      </c>
      <c r="CM58" s="137">
        <f t="shared" si="17"/>
        <v>190</v>
      </c>
      <c r="CO58" s="146">
        <f t="shared" si="15"/>
        <v>0</v>
      </c>
    </row>
    <row r="59" spans="1:93" ht="13.5">
      <c r="A59" s="122"/>
      <c r="B59" s="866" t="s">
        <v>223</v>
      </c>
      <c r="C59" s="867"/>
      <c r="D59" s="868"/>
      <c r="E59" s="108">
        <v>70</v>
      </c>
      <c r="F59" s="108"/>
      <c r="G59" s="108">
        <f t="shared" si="64"/>
        <v>0</v>
      </c>
      <c r="H59" s="108">
        <f t="shared" si="68"/>
        <v>-70</v>
      </c>
      <c r="I59" s="108">
        <v>140</v>
      </c>
      <c r="J59" s="108"/>
      <c r="K59" s="108">
        <f t="shared" si="65"/>
        <v>0</v>
      </c>
      <c r="L59" s="122">
        <f t="shared" si="54"/>
        <v>-140</v>
      </c>
      <c r="M59" s="108">
        <v>285</v>
      </c>
      <c r="N59" s="108"/>
      <c r="O59" s="108">
        <f t="shared" si="55"/>
        <v>0</v>
      </c>
      <c r="P59" s="122">
        <f t="shared" si="22"/>
        <v>-285</v>
      </c>
      <c r="Q59" s="108">
        <v>270</v>
      </c>
      <c r="R59" s="108"/>
      <c r="S59" s="108">
        <f>R59/Q59*100</f>
        <v>0</v>
      </c>
      <c r="T59" s="122">
        <f t="shared" si="69"/>
        <v>-270</v>
      </c>
      <c r="U59" s="108">
        <v>60</v>
      </c>
      <c r="V59" s="108"/>
      <c r="W59" s="108">
        <f t="shared" si="66"/>
        <v>0</v>
      </c>
      <c r="X59" s="122">
        <f t="shared" si="70"/>
        <v>-60</v>
      </c>
      <c r="Y59" s="108">
        <v>180</v>
      </c>
      <c r="Z59" s="108"/>
      <c r="AA59" s="108">
        <f t="shared" si="57"/>
        <v>0</v>
      </c>
      <c r="AB59" s="122">
        <f t="shared" si="52"/>
        <v>-180</v>
      </c>
      <c r="AC59" s="108">
        <v>140</v>
      </c>
      <c r="AD59" s="108"/>
      <c r="AE59" s="108">
        <f>AD59/AC59*100</f>
        <v>0</v>
      </c>
      <c r="AF59" s="122">
        <f t="shared" ref="AF59:AF65" si="77">AD59-AC59</f>
        <v>-140</v>
      </c>
      <c r="AG59" s="283">
        <f t="shared" si="3"/>
        <v>1145</v>
      </c>
      <c r="AH59" s="285">
        <f t="shared" si="3"/>
        <v>0</v>
      </c>
      <c r="AI59" s="285">
        <f t="shared" si="59"/>
        <v>0</v>
      </c>
      <c r="AJ59" s="287">
        <f t="shared" si="25"/>
        <v>-1145</v>
      </c>
      <c r="AK59" s="108">
        <v>20</v>
      </c>
      <c r="AL59" s="108"/>
      <c r="AM59" s="108">
        <f>AL59/AK59*100</f>
        <v>0</v>
      </c>
      <c r="AN59" s="108">
        <f t="shared" si="71"/>
        <v>-20</v>
      </c>
      <c r="AO59" s="108">
        <v>20</v>
      </c>
      <c r="AP59" s="108"/>
      <c r="AQ59" s="108"/>
      <c r="AR59" s="108">
        <f t="shared" si="72"/>
        <v>-20</v>
      </c>
      <c r="AS59" s="108">
        <v>20</v>
      </c>
      <c r="AT59" s="108"/>
      <c r="AU59" s="108"/>
      <c r="AV59" s="108">
        <f t="shared" si="61"/>
        <v>-20</v>
      </c>
      <c r="AW59" s="108">
        <v>20</v>
      </c>
      <c r="AX59" s="108"/>
      <c r="AY59" s="108">
        <f>AX59/AW59*100</f>
        <v>0</v>
      </c>
      <c r="AZ59" s="108">
        <f t="shared" si="73"/>
        <v>-20</v>
      </c>
      <c r="BA59" s="283">
        <f t="shared" si="8"/>
        <v>80</v>
      </c>
      <c r="BB59" s="285">
        <f t="shared" si="8"/>
        <v>0</v>
      </c>
      <c r="BC59" s="285">
        <f>BB59/BA59*100</f>
        <v>0</v>
      </c>
      <c r="BD59" s="285">
        <f t="shared" si="74"/>
        <v>-80</v>
      </c>
      <c r="BE59" s="108"/>
      <c r="BF59" s="108"/>
      <c r="BG59" s="108"/>
      <c r="BH59" s="108">
        <f t="shared" si="75"/>
        <v>0</v>
      </c>
      <c r="BI59" s="108"/>
      <c r="BJ59" s="108"/>
      <c r="BK59" s="116" t="e">
        <f t="shared" si="67"/>
        <v>#DIV/0!</v>
      </c>
      <c r="BL59" s="108">
        <f t="shared" si="76"/>
        <v>0</v>
      </c>
      <c r="BM59" s="108"/>
      <c r="BN59" s="108"/>
      <c r="BO59" s="108"/>
      <c r="BP59" s="108">
        <f t="shared" si="62"/>
        <v>0</v>
      </c>
      <c r="BQ59" s="108"/>
      <c r="BR59" s="108"/>
      <c r="BS59" s="108"/>
      <c r="BT59" s="122"/>
      <c r="BU59" s="108">
        <v>50</v>
      </c>
      <c r="BV59" s="153"/>
      <c r="BW59" s="110"/>
      <c r="BX59" s="122">
        <f t="shared" si="20"/>
        <v>-50</v>
      </c>
      <c r="BY59" s="122"/>
      <c r="BZ59" s="122"/>
      <c r="CA59" s="122"/>
      <c r="CB59" s="122"/>
      <c r="CC59" s="122"/>
      <c r="CD59" s="122"/>
      <c r="CE59" s="122"/>
      <c r="CF59" s="122"/>
      <c r="CG59" s="283">
        <f t="shared" si="32"/>
        <v>1275</v>
      </c>
      <c r="CH59" s="273">
        <f>R59+V59+Z59+AD59+BR59+BV59+F59+J59+N59+AL59+BZ59+AP59+AT59+AX59+BF59+BJ59+BN59</f>
        <v>0</v>
      </c>
      <c r="CI59" s="285">
        <f t="shared" si="13"/>
        <v>0</v>
      </c>
      <c r="CJ59" s="285">
        <f t="shared" si="14"/>
        <v>-1275</v>
      </c>
      <c r="CL59" s="142">
        <f t="shared" si="16"/>
        <v>0</v>
      </c>
      <c r="CM59" s="137">
        <f t="shared" si="17"/>
        <v>1275</v>
      </c>
      <c r="CO59" s="146">
        <f t="shared" si="15"/>
        <v>0</v>
      </c>
    </row>
    <row r="60" spans="1:93" ht="13.5">
      <c r="A60" s="122"/>
      <c r="B60" s="866" t="s">
        <v>224</v>
      </c>
      <c r="C60" s="867"/>
      <c r="D60" s="868"/>
      <c r="E60" s="108">
        <v>40</v>
      </c>
      <c r="F60" s="108"/>
      <c r="G60" s="108">
        <f t="shared" si="64"/>
        <v>0</v>
      </c>
      <c r="H60" s="108">
        <f t="shared" si="68"/>
        <v>-40</v>
      </c>
      <c r="I60" s="108">
        <v>100</v>
      </c>
      <c r="J60" s="108"/>
      <c r="K60" s="108">
        <f t="shared" si="65"/>
        <v>0</v>
      </c>
      <c r="L60" s="122">
        <f t="shared" si="54"/>
        <v>-100</v>
      </c>
      <c r="M60" s="108">
        <v>150</v>
      </c>
      <c r="N60" s="108"/>
      <c r="O60" s="108">
        <f t="shared" si="55"/>
        <v>0</v>
      </c>
      <c r="P60" s="122">
        <f t="shared" si="22"/>
        <v>-150</v>
      </c>
      <c r="Q60" s="108">
        <v>150</v>
      </c>
      <c r="R60" s="108"/>
      <c r="S60" s="108">
        <f>R60/Q60*100</f>
        <v>0</v>
      </c>
      <c r="T60" s="122">
        <f t="shared" si="69"/>
        <v>-150</v>
      </c>
      <c r="U60" s="108">
        <v>80</v>
      </c>
      <c r="V60" s="108"/>
      <c r="W60" s="108">
        <f t="shared" si="66"/>
        <v>0</v>
      </c>
      <c r="X60" s="122">
        <f t="shared" si="70"/>
        <v>-80</v>
      </c>
      <c r="Y60" s="108">
        <v>100</v>
      </c>
      <c r="Z60" s="108"/>
      <c r="AA60" s="108">
        <f t="shared" si="57"/>
        <v>0</v>
      </c>
      <c r="AB60" s="122">
        <f t="shared" si="52"/>
        <v>-100</v>
      </c>
      <c r="AC60" s="108">
        <v>100</v>
      </c>
      <c r="AD60" s="108"/>
      <c r="AE60" s="108">
        <f>AD60/AC60*100</f>
        <v>0</v>
      </c>
      <c r="AF60" s="122">
        <f t="shared" si="77"/>
        <v>-100</v>
      </c>
      <c r="AG60" s="283">
        <f t="shared" si="3"/>
        <v>720</v>
      </c>
      <c r="AH60" s="285">
        <f t="shared" si="3"/>
        <v>0</v>
      </c>
      <c r="AI60" s="285"/>
      <c r="AJ60" s="287">
        <f t="shared" si="25"/>
        <v>-720</v>
      </c>
      <c r="AK60" s="108">
        <v>100</v>
      </c>
      <c r="AL60" s="108"/>
      <c r="AM60" s="108"/>
      <c r="AN60" s="108">
        <f t="shared" si="71"/>
        <v>-100</v>
      </c>
      <c r="AO60" s="108">
        <v>20</v>
      </c>
      <c r="AP60" s="108"/>
      <c r="AQ60" s="108"/>
      <c r="AR60" s="108">
        <f t="shared" si="72"/>
        <v>-20</v>
      </c>
      <c r="AS60" s="108">
        <v>100</v>
      </c>
      <c r="AT60" s="108"/>
      <c r="AU60" s="108"/>
      <c r="AV60" s="108">
        <f t="shared" si="61"/>
        <v>-100</v>
      </c>
      <c r="AW60" s="108">
        <v>100</v>
      </c>
      <c r="AX60" s="108"/>
      <c r="AY60" s="108"/>
      <c r="AZ60" s="108">
        <f t="shared" si="73"/>
        <v>-100</v>
      </c>
      <c r="BA60" s="283">
        <f t="shared" si="8"/>
        <v>320</v>
      </c>
      <c r="BB60" s="285">
        <f t="shared" si="8"/>
        <v>0</v>
      </c>
      <c r="BC60" s="285"/>
      <c r="BD60" s="285">
        <f t="shared" si="74"/>
        <v>-320</v>
      </c>
      <c r="BE60" s="108"/>
      <c r="BF60" s="108"/>
      <c r="BG60" s="108"/>
      <c r="BH60" s="108">
        <f t="shared" si="75"/>
        <v>0</v>
      </c>
      <c r="BI60" s="108"/>
      <c r="BJ60" s="108"/>
      <c r="BK60" s="116" t="e">
        <f t="shared" si="67"/>
        <v>#DIV/0!</v>
      </c>
      <c r="BL60" s="108">
        <f t="shared" si="76"/>
        <v>0</v>
      </c>
      <c r="BM60" s="108"/>
      <c r="BN60" s="108"/>
      <c r="BO60" s="108"/>
      <c r="BP60" s="108">
        <f t="shared" si="62"/>
        <v>0</v>
      </c>
      <c r="BQ60" s="108">
        <v>10</v>
      </c>
      <c r="BR60" s="108"/>
      <c r="BS60" s="108"/>
      <c r="BT60" s="122"/>
      <c r="BU60" s="108">
        <v>100</v>
      </c>
      <c r="BV60" s="153"/>
      <c r="BW60" s="110"/>
      <c r="BX60" s="122"/>
      <c r="BY60" s="122"/>
      <c r="BZ60" s="122"/>
      <c r="CA60" s="122"/>
      <c r="CB60" s="122"/>
      <c r="CC60" s="122">
        <v>180</v>
      </c>
      <c r="CD60" s="122"/>
      <c r="CE60" s="122"/>
      <c r="CF60" s="122"/>
      <c r="CG60" s="283">
        <f>AG60+BA60+BE60+BI60+BM60+BQ60+BU60+BY60</f>
        <v>1150</v>
      </c>
      <c r="CH60" s="273">
        <f>R60+V60+Z60+AD60+BR60+BV60+F60+J60+N60+AL60+BZ60+AP60+AT60+AX60+BF60+BJ60</f>
        <v>0</v>
      </c>
      <c r="CI60" s="285">
        <f>CH60/CG60*100</f>
        <v>0</v>
      </c>
      <c r="CJ60" s="285">
        <f>CH60-CG60</f>
        <v>-1150</v>
      </c>
      <c r="CL60" s="142">
        <f t="shared" si="16"/>
        <v>0</v>
      </c>
      <c r="CM60" s="137">
        <f t="shared" si="17"/>
        <v>1150</v>
      </c>
      <c r="CO60" s="146">
        <f t="shared" si="15"/>
        <v>0</v>
      </c>
    </row>
    <row r="61" spans="1:93" ht="13.5">
      <c r="A61" s="122"/>
      <c r="B61" s="866" t="s">
        <v>620</v>
      </c>
      <c r="C61" s="867"/>
      <c r="D61" s="868"/>
      <c r="E61" s="108"/>
      <c r="F61" s="108"/>
      <c r="G61" s="108"/>
      <c r="H61" s="108">
        <f t="shared" si="68"/>
        <v>0</v>
      </c>
      <c r="I61" s="108"/>
      <c r="J61" s="108"/>
      <c r="K61" s="108"/>
      <c r="L61" s="122">
        <f t="shared" si="54"/>
        <v>0</v>
      </c>
      <c r="M61" s="108"/>
      <c r="N61" s="108"/>
      <c r="O61" s="108"/>
      <c r="P61" s="122">
        <f t="shared" si="22"/>
        <v>0</v>
      </c>
      <c r="Q61" s="108"/>
      <c r="R61" s="108"/>
      <c r="S61" s="108"/>
      <c r="T61" s="122">
        <f t="shared" si="69"/>
        <v>0</v>
      </c>
      <c r="U61" s="108"/>
      <c r="V61" s="108"/>
      <c r="W61" s="108"/>
      <c r="X61" s="122">
        <f t="shared" si="70"/>
        <v>0</v>
      </c>
      <c r="Y61" s="108"/>
      <c r="Z61" s="108"/>
      <c r="AA61" s="108"/>
      <c r="AB61" s="122">
        <f t="shared" si="52"/>
        <v>0</v>
      </c>
      <c r="AC61" s="108"/>
      <c r="AD61" s="108"/>
      <c r="AE61" s="108"/>
      <c r="AF61" s="122">
        <f t="shared" si="77"/>
        <v>0</v>
      </c>
      <c r="AG61" s="283">
        <f t="shared" si="3"/>
        <v>0</v>
      </c>
      <c r="AH61" s="285">
        <f t="shared" si="3"/>
        <v>0</v>
      </c>
      <c r="AI61" s="285" t="e">
        <f t="shared" si="59"/>
        <v>#DIV/0!</v>
      </c>
      <c r="AJ61" s="287">
        <f t="shared" si="25"/>
        <v>0</v>
      </c>
      <c r="AK61" s="108">
        <v>15</v>
      </c>
      <c r="AL61" s="108"/>
      <c r="AM61" s="108"/>
      <c r="AN61" s="108">
        <f t="shared" si="71"/>
        <v>-15</v>
      </c>
      <c r="AO61" s="108"/>
      <c r="AP61" s="108"/>
      <c r="AQ61" s="108"/>
      <c r="AR61" s="108">
        <f t="shared" si="72"/>
        <v>0</v>
      </c>
      <c r="AS61" s="108"/>
      <c r="AT61" s="108"/>
      <c r="AU61" s="108"/>
      <c r="AV61" s="108">
        <f t="shared" si="61"/>
        <v>0</v>
      </c>
      <c r="AW61" s="108"/>
      <c r="AX61" s="108"/>
      <c r="AY61" s="108"/>
      <c r="AZ61" s="108">
        <f t="shared" si="73"/>
        <v>0</v>
      </c>
      <c r="BA61" s="283">
        <f t="shared" si="8"/>
        <v>15</v>
      </c>
      <c r="BB61" s="285">
        <f t="shared" si="8"/>
        <v>0</v>
      </c>
      <c r="BC61" s="285"/>
      <c r="BD61" s="285">
        <f t="shared" si="74"/>
        <v>-15</v>
      </c>
      <c r="BE61" s="108"/>
      <c r="BF61" s="108"/>
      <c r="BG61" s="108"/>
      <c r="BH61" s="108">
        <f t="shared" si="75"/>
        <v>0</v>
      </c>
      <c r="BI61" s="108"/>
      <c r="BJ61" s="108"/>
      <c r="BK61" s="116" t="e">
        <f t="shared" si="67"/>
        <v>#DIV/0!</v>
      </c>
      <c r="BL61" s="108">
        <f t="shared" si="76"/>
        <v>0</v>
      </c>
      <c r="BM61" s="108"/>
      <c r="BN61" s="108"/>
      <c r="BO61" s="108"/>
      <c r="BP61" s="108">
        <f t="shared" si="62"/>
        <v>0</v>
      </c>
      <c r="BQ61" s="108"/>
      <c r="BR61" s="108"/>
      <c r="BS61" s="108"/>
      <c r="BT61" s="122"/>
      <c r="BU61" s="108"/>
      <c r="BV61" s="153"/>
      <c r="BW61" s="110"/>
      <c r="BX61" s="122">
        <f t="shared" si="20"/>
        <v>0</v>
      </c>
      <c r="BY61" s="122"/>
      <c r="BZ61" s="122"/>
      <c r="CA61" s="122"/>
      <c r="CB61" s="122"/>
      <c r="CC61" s="122"/>
      <c r="CD61" s="122"/>
      <c r="CE61" s="122"/>
      <c r="CF61" s="122"/>
      <c r="CG61" s="283">
        <f t="shared" si="32"/>
        <v>15</v>
      </c>
      <c r="CH61" s="273">
        <f>R61+V61+Z61+AD61+BR61+BV61+F61+J61+N61+AL61+BZ61+AP61+AT61+AX61+BF61+BJ61</f>
        <v>0</v>
      </c>
      <c r="CI61" s="285">
        <f>CH61/CG61*100</f>
        <v>0</v>
      </c>
      <c r="CJ61" s="285">
        <f>CH61-CG61</f>
        <v>-15</v>
      </c>
      <c r="CL61" s="142">
        <f t="shared" si="16"/>
        <v>0</v>
      </c>
      <c r="CM61" s="137">
        <f t="shared" si="17"/>
        <v>15</v>
      </c>
      <c r="CO61" s="146">
        <f t="shared" si="15"/>
        <v>0</v>
      </c>
    </row>
    <row r="62" spans="1:93" ht="13.5" hidden="1">
      <c r="A62" s="122"/>
      <c r="B62" s="866" t="s">
        <v>244</v>
      </c>
      <c r="C62" s="867"/>
      <c r="D62" s="868"/>
      <c r="E62" s="108"/>
      <c r="F62" s="108"/>
      <c r="G62" s="108"/>
      <c r="H62" s="108">
        <f t="shared" si="68"/>
        <v>0</v>
      </c>
      <c r="I62" s="108"/>
      <c r="J62" s="108"/>
      <c r="K62" s="108"/>
      <c r="L62" s="122">
        <f t="shared" si="54"/>
        <v>0</v>
      </c>
      <c r="M62" s="108"/>
      <c r="N62" s="108"/>
      <c r="O62" s="108"/>
      <c r="P62" s="122">
        <f t="shared" si="22"/>
        <v>0</v>
      </c>
      <c r="Q62" s="108"/>
      <c r="R62" s="108"/>
      <c r="S62" s="108"/>
      <c r="T62" s="122">
        <f t="shared" si="69"/>
        <v>0</v>
      </c>
      <c r="U62" s="108"/>
      <c r="V62" s="108"/>
      <c r="W62" s="108"/>
      <c r="X62" s="122">
        <f t="shared" si="70"/>
        <v>0</v>
      </c>
      <c r="Y62" s="108"/>
      <c r="Z62" s="108"/>
      <c r="AA62" s="108"/>
      <c r="AB62" s="122">
        <f t="shared" si="52"/>
        <v>0</v>
      </c>
      <c r="AC62" s="108"/>
      <c r="AD62" s="108"/>
      <c r="AE62" s="108"/>
      <c r="AF62" s="122">
        <f t="shared" si="77"/>
        <v>0</v>
      </c>
      <c r="AG62" s="283">
        <f t="shared" si="3"/>
        <v>0</v>
      </c>
      <c r="AH62" s="285">
        <f t="shared" si="3"/>
        <v>0</v>
      </c>
      <c r="AI62" s="285" t="e">
        <f t="shared" si="59"/>
        <v>#DIV/0!</v>
      </c>
      <c r="AJ62" s="287">
        <f t="shared" si="25"/>
        <v>0</v>
      </c>
      <c r="AK62" s="108"/>
      <c r="AL62" s="108"/>
      <c r="AM62" s="108"/>
      <c r="AN62" s="108">
        <f t="shared" si="71"/>
        <v>0</v>
      </c>
      <c r="AO62" s="108"/>
      <c r="AP62" s="108"/>
      <c r="AQ62" s="108"/>
      <c r="AR62" s="108">
        <f t="shared" si="72"/>
        <v>0</v>
      </c>
      <c r="AS62" s="108"/>
      <c r="AT62" s="108"/>
      <c r="AU62" s="108"/>
      <c r="AV62" s="108">
        <f t="shared" si="61"/>
        <v>0</v>
      </c>
      <c r="AW62" s="108"/>
      <c r="AX62" s="108"/>
      <c r="AY62" s="108"/>
      <c r="AZ62" s="108">
        <f t="shared" si="73"/>
        <v>0</v>
      </c>
      <c r="BA62" s="283">
        <f t="shared" si="8"/>
        <v>0</v>
      </c>
      <c r="BB62" s="285">
        <f t="shared" si="8"/>
        <v>0</v>
      </c>
      <c r="BC62" s="285"/>
      <c r="BD62" s="285">
        <f t="shared" si="74"/>
        <v>0</v>
      </c>
      <c r="BE62" s="108"/>
      <c r="BF62" s="108"/>
      <c r="BG62" s="108"/>
      <c r="BH62" s="108">
        <f t="shared" si="75"/>
        <v>0</v>
      </c>
      <c r="BI62" s="108"/>
      <c r="BJ62" s="108"/>
      <c r="BK62" s="116"/>
      <c r="BL62" s="108">
        <f t="shared" si="76"/>
        <v>0</v>
      </c>
      <c r="BM62" s="108"/>
      <c r="BN62" s="108"/>
      <c r="BO62" s="108"/>
      <c r="BP62" s="108">
        <f t="shared" si="62"/>
        <v>0</v>
      </c>
      <c r="BQ62" s="108"/>
      <c r="BR62" s="108"/>
      <c r="BS62" s="108"/>
      <c r="BT62" s="122"/>
      <c r="BU62" s="108"/>
      <c r="BV62" s="153"/>
      <c r="BW62" s="110" t="e">
        <f>BV62/BU62*100</f>
        <v>#DIV/0!</v>
      </c>
      <c r="BX62" s="122"/>
      <c r="BY62" s="122"/>
      <c r="BZ62" s="122"/>
      <c r="CA62" s="122"/>
      <c r="CB62" s="122"/>
      <c r="CC62" s="122"/>
      <c r="CD62" s="122"/>
      <c r="CE62" s="122"/>
      <c r="CF62" s="122"/>
      <c r="CG62" s="283">
        <f t="shared" si="32"/>
        <v>0</v>
      </c>
      <c r="CH62" s="273">
        <f>R62+V62+Z62+AD62+BR62+BV62+F62+J62+N62+AL62+BZ62+AP62+AT62+AX62+BF62</f>
        <v>0</v>
      </c>
      <c r="CI62" s="285" t="e">
        <f>CH62/CG62*100</f>
        <v>#DIV/0!</v>
      </c>
      <c r="CJ62" s="285">
        <f>CH62-CG62</f>
        <v>0</v>
      </c>
      <c r="CL62" s="142">
        <f t="shared" si="16"/>
        <v>0</v>
      </c>
      <c r="CM62" s="137">
        <f t="shared" si="17"/>
        <v>0</v>
      </c>
      <c r="CO62" s="146">
        <f t="shared" si="15"/>
        <v>0</v>
      </c>
    </row>
    <row r="63" spans="1:93" ht="13.5">
      <c r="A63" s="122"/>
      <c r="B63" s="866" t="s">
        <v>148</v>
      </c>
      <c r="C63" s="867"/>
      <c r="D63" s="868"/>
      <c r="E63" s="108"/>
      <c r="F63" s="108"/>
      <c r="G63" s="108"/>
      <c r="H63" s="108">
        <f t="shared" si="68"/>
        <v>0</v>
      </c>
      <c r="I63" s="108"/>
      <c r="J63" s="108"/>
      <c r="K63" s="108"/>
      <c r="L63" s="122">
        <f t="shared" si="54"/>
        <v>0</v>
      </c>
      <c r="M63" s="108"/>
      <c r="N63" s="108"/>
      <c r="O63" s="108"/>
      <c r="P63" s="122">
        <f t="shared" si="22"/>
        <v>0</v>
      </c>
      <c r="Q63" s="108"/>
      <c r="R63" s="108"/>
      <c r="S63" s="108"/>
      <c r="T63" s="122">
        <f t="shared" si="69"/>
        <v>0</v>
      </c>
      <c r="U63" s="108"/>
      <c r="V63" s="108"/>
      <c r="W63" s="108"/>
      <c r="X63" s="122">
        <f t="shared" si="70"/>
        <v>0</v>
      </c>
      <c r="Y63" s="108"/>
      <c r="Z63" s="108"/>
      <c r="AA63" s="108"/>
      <c r="AB63" s="122">
        <f t="shared" si="52"/>
        <v>0</v>
      </c>
      <c r="AC63" s="108"/>
      <c r="AD63" s="108"/>
      <c r="AE63" s="108"/>
      <c r="AF63" s="122">
        <f t="shared" si="77"/>
        <v>0</v>
      </c>
      <c r="AG63" s="283">
        <f t="shared" si="3"/>
        <v>0</v>
      </c>
      <c r="AH63" s="285">
        <f t="shared" si="3"/>
        <v>0</v>
      </c>
      <c r="AI63" s="285"/>
      <c r="AJ63" s="287">
        <f t="shared" si="25"/>
        <v>0</v>
      </c>
      <c r="AK63" s="108"/>
      <c r="AL63" s="108"/>
      <c r="AM63" s="108"/>
      <c r="AN63" s="108">
        <f t="shared" si="71"/>
        <v>0</v>
      </c>
      <c r="AO63" s="108"/>
      <c r="AP63" s="108"/>
      <c r="AQ63" s="108"/>
      <c r="AR63" s="108">
        <f t="shared" si="72"/>
        <v>0</v>
      </c>
      <c r="AS63" s="108"/>
      <c r="AT63" s="108"/>
      <c r="AU63" s="108"/>
      <c r="AV63" s="108">
        <f t="shared" si="61"/>
        <v>0</v>
      </c>
      <c r="AW63" s="108"/>
      <c r="AX63" s="108"/>
      <c r="AY63" s="108"/>
      <c r="AZ63" s="108">
        <f t="shared" si="73"/>
        <v>0</v>
      </c>
      <c r="BA63" s="283">
        <f t="shared" si="8"/>
        <v>0</v>
      </c>
      <c r="BB63" s="285">
        <f t="shared" si="8"/>
        <v>0</v>
      </c>
      <c r="BC63" s="285"/>
      <c r="BD63" s="285">
        <f t="shared" si="74"/>
        <v>0</v>
      </c>
      <c r="BE63" s="108"/>
      <c r="BF63" s="108"/>
      <c r="BG63" s="108"/>
      <c r="BH63" s="108">
        <f t="shared" si="75"/>
        <v>0</v>
      </c>
      <c r="BI63" s="108"/>
      <c r="BJ63" s="108"/>
      <c r="BK63" s="116"/>
      <c r="BL63" s="108">
        <f t="shared" si="76"/>
        <v>0</v>
      </c>
      <c r="BM63" s="108"/>
      <c r="BN63" s="108"/>
      <c r="BO63" s="108"/>
      <c r="BP63" s="108">
        <f t="shared" si="62"/>
        <v>0</v>
      </c>
      <c r="BQ63" s="108"/>
      <c r="BR63" s="108"/>
      <c r="BS63" s="108"/>
      <c r="BT63" s="122"/>
      <c r="BU63" s="108">
        <v>25</v>
      </c>
      <c r="BV63" s="153"/>
      <c r="BW63" s="110">
        <f>BV63/BU63*100</f>
        <v>0</v>
      </c>
      <c r="BX63" s="122">
        <f t="shared" si="20"/>
        <v>-25</v>
      </c>
      <c r="BY63" s="122"/>
      <c r="BZ63" s="122"/>
      <c r="CA63" s="122"/>
      <c r="CB63" s="122"/>
      <c r="CC63" s="122"/>
      <c r="CD63" s="122"/>
      <c r="CE63" s="122"/>
      <c r="CF63" s="122"/>
      <c r="CG63" s="283">
        <f t="shared" si="32"/>
        <v>25</v>
      </c>
      <c r="CH63" s="273">
        <f>R63+V63+Z63+AD63+BR63+BV63+F63+J63+N63+AL63+BZ63+AP63+AT63+AX63+BF63</f>
        <v>0</v>
      </c>
      <c r="CI63" s="285">
        <f t="shared" si="13"/>
        <v>0</v>
      </c>
      <c r="CJ63" s="285">
        <f t="shared" si="14"/>
        <v>-25</v>
      </c>
      <c r="CL63" s="142">
        <f t="shared" si="16"/>
        <v>0</v>
      </c>
      <c r="CM63" s="137">
        <f t="shared" si="17"/>
        <v>25</v>
      </c>
      <c r="CO63" s="146">
        <f t="shared" si="15"/>
        <v>0</v>
      </c>
    </row>
    <row r="64" spans="1:93" ht="13.5" hidden="1">
      <c r="A64" s="122"/>
      <c r="B64" s="866" t="s">
        <v>226</v>
      </c>
      <c r="C64" s="867"/>
      <c r="D64" s="868"/>
      <c r="E64" s="108"/>
      <c r="F64" s="108"/>
      <c r="G64" s="108"/>
      <c r="H64" s="108">
        <f t="shared" si="68"/>
        <v>0</v>
      </c>
      <c r="I64" s="108"/>
      <c r="J64" s="108"/>
      <c r="K64" s="108"/>
      <c r="L64" s="122">
        <f t="shared" si="54"/>
        <v>0</v>
      </c>
      <c r="M64" s="108"/>
      <c r="N64" s="108"/>
      <c r="O64" s="108"/>
      <c r="P64" s="122">
        <f t="shared" si="22"/>
        <v>0</v>
      </c>
      <c r="Q64" s="108"/>
      <c r="R64" s="108"/>
      <c r="S64" s="108"/>
      <c r="T64" s="122">
        <f t="shared" si="69"/>
        <v>0</v>
      </c>
      <c r="U64" s="108"/>
      <c r="V64" s="108"/>
      <c r="W64" s="108"/>
      <c r="X64" s="122">
        <f t="shared" si="70"/>
        <v>0</v>
      </c>
      <c r="Y64" s="108"/>
      <c r="Z64" s="108"/>
      <c r="AA64" s="108" t="e">
        <f>Z64/Y64*100</f>
        <v>#DIV/0!</v>
      </c>
      <c r="AB64" s="122">
        <f t="shared" si="52"/>
        <v>0</v>
      </c>
      <c r="AC64" s="108"/>
      <c r="AD64" s="108"/>
      <c r="AE64" s="108"/>
      <c r="AF64" s="122">
        <f t="shared" si="77"/>
        <v>0</v>
      </c>
      <c r="AG64" s="283">
        <f t="shared" si="3"/>
        <v>0</v>
      </c>
      <c r="AH64" s="285">
        <f t="shared" si="3"/>
        <v>0</v>
      </c>
      <c r="AI64" s="285" t="e">
        <f t="shared" si="59"/>
        <v>#DIV/0!</v>
      </c>
      <c r="AJ64" s="287">
        <f t="shared" si="25"/>
        <v>0</v>
      </c>
      <c r="AK64" s="108"/>
      <c r="AL64" s="108"/>
      <c r="AM64" s="108"/>
      <c r="AN64" s="108">
        <f t="shared" si="71"/>
        <v>0</v>
      </c>
      <c r="AO64" s="108"/>
      <c r="AP64" s="108"/>
      <c r="AQ64" s="108"/>
      <c r="AR64" s="108">
        <f t="shared" si="72"/>
        <v>0</v>
      </c>
      <c r="AS64" s="108"/>
      <c r="AT64" s="108"/>
      <c r="AU64" s="108"/>
      <c r="AV64" s="108">
        <f t="shared" si="61"/>
        <v>0</v>
      </c>
      <c r="AW64" s="108"/>
      <c r="AX64" s="108"/>
      <c r="AY64" s="108"/>
      <c r="AZ64" s="108">
        <f t="shared" si="73"/>
        <v>0</v>
      </c>
      <c r="BA64" s="283">
        <f t="shared" si="8"/>
        <v>0</v>
      </c>
      <c r="BB64" s="285">
        <f t="shared" si="8"/>
        <v>0</v>
      </c>
      <c r="BC64" s="285"/>
      <c r="BD64" s="285">
        <f t="shared" si="74"/>
        <v>0</v>
      </c>
      <c r="BE64" s="108"/>
      <c r="BF64" s="108"/>
      <c r="BG64" s="108"/>
      <c r="BH64" s="108">
        <f t="shared" si="75"/>
        <v>0</v>
      </c>
      <c r="BI64" s="108"/>
      <c r="BJ64" s="108"/>
      <c r="BK64" s="116"/>
      <c r="BL64" s="108">
        <f t="shared" si="76"/>
        <v>0</v>
      </c>
      <c r="BM64" s="108"/>
      <c r="BN64" s="108"/>
      <c r="BO64" s="108"/>
      <c r="BP64" s="108">
        <f t="shared" si="62"/>
        <v>0</v>
      </c>
      <c r="BQ64" s="108"/>
      <c r="BR64" s="108"/>
      <c r="BS64" s="108"/>
      <c r="BT64" s="122"/>
      <c r="BU64" s="108"/>
      <c r="BV64" s="153"/>
      <c r="BW64" s="110" t="e">
        <f>BV64/BU64*100</f>
        <v>#DIV/0!</v>
      </c>
      <c r="BX64" s="122">
        <f t="shared" si="20"/>
        <v>0</v>
      </c>
      <c r="BY64" s="122"/>
      <c r="BZ64" s="122"/>
      <c r="CA64" s="122"/>
      <c r="CB64" s="122"/>
      <c r="CC64" s="122"/>
      <c r="CD64" s="122"/>
      <c r="CE64" s="122"/>
      <c r="CF64" s="122"/>
      <c r="CG64" s="283">
        <f t="shared" si="32"/>
        <v>0</v>
      </c>
      <c r="CH64" s="273">
        <f>R64+V64+Z64+AD64+BR64+BV64+F64+J64+N64+AL64+BZ64+AP64+AT64+AX64+BF64</f>
        <v>0</v>
      </c>
      <c r="CI64" s="285" t="e">
        <f t="shared" si="13"/>
        <v>#DIV/0!</v>
      </c>
      <c r="CJ64" s="285">
        <f t="shared" si="14"/>
        <v>0</v>
      </c>
      <c r="CL64" s="142">
        <f t="shared" si="16"/>
        <v>0</v>
      </c>
      <c r="CM64" s="137">
        <f t="shared" si="17"/>
        <v>0</v>
      </c>
      <c r="CO64" s="146">
        <f t="shared" si="15"/>
        <v>0</v>
      </c>
    </row>
    <row r="65" spans="1:179" ht="13.5">
      <c r="A65" s="122"/>
      <c r="B65" s="866" t="s">
        <v>227</v>
      </c>
      <c r="C65" s="867"/>
      <c r="D65" s="868"/>
      <c r="E65" s="108"/>
      <c r="F65" s="108"/>
      <c r="G65" s="108"/>
      <c r="H65" s="108">
        <f t="shared" si="68"/>
        <v>0</v>
      </c>
      <c r="I65" s="108"/>
      <c r="J65" s="108"/>
      <c r="K65" s="108"/>
      <c r="L65" s="122">
        <f t="shared" si="54"/>
        <v>0</v>
      </c>
      <c r="M65" s="108"/>
      <c r="N65" s="108"/>
      <c r="O65" s="108"/>
      <c r="P65" s="122">
        <f t="shared" si="22"/>
        <v>0</v>
      </c>
      <c r="Q65" s="108"/>
      <c r="R65" s="108"/>
      <c r="S65" s="108"/>
      <c r="T65" s="122">
        <f t="shared" si="69"/>
        <v>0</v>
      </c>
      <c r="U65" s="108"/>
      <c r="V65" s="108"/>
      <c r="W65" s="108"/>
      <c r="X65" s="122">
        <f t="shared" si="70"/>
        <v>0</v>
      </c>
      <c r="Y65" s="108"/>
      <c r="Z65" s="108"/>
      <c r="AA65" s="108"/>
      <c r="AB65" s="122">
        <f t="shared" si="52"/>
        <v>0</v>
      </c>
      <c r="AC65" s="108"/>
      <c r="AD65" s="108"/>
      <c r="AE65" s="108"/>
      <c r="AF65" s="122">
        <f t="shared" si="77"/>
        <v>0</v>
      </c>
      <c r="AG65" s="283">
        <f t="shared" si="3"/>
        <v>0</v>
      </c>
      <c r="AH65" s="285">
        <f t="shared" si="3"/>
        <v>0</v>
      </c>
      <c r="AI65" s="285" t="e">
        <f t="shared" si="59"/>
        <v>#DIV/0!</v>
      </c>
      <c r="AJ65" s="287">
        <f t="shared" si="25"/>
        <v>0</v>
      </c>
      <c r="AK65" s="108"/>
      <c r="AL65" s="108"/>
      <c r="AM65" s="108"/>
      <c r="AN65" s="108">
        <f t="shared" si="71"/>
        <v>0</v>
      </c>
      <c r="AO65" s="108"/>
      <c r="AP65" s="108"/>
      <c r="AQ65" s="108"/>
      <c r="AR65" s="108">
        <f t="shared" si="72"/>
        <v>0</v>
      </c>
      <c r="AS65" s="108"/>
      <c r="AT65" s="108"/>
      <c r="AU65" s="108"/>
      <c r="AV65" s="108">
        <f t="shared" si="61"/>
        <v>0</v>
      </c>
      <c r="AW65" s="108"/>
      <c r="AX65" s="108"/>
      <c r="AY65" s="108"/>
      <c r="AZ65" s="108">
        <f t="shared" si="73"/>
        <v>0</v>
      </c>
      <c r="BA65" s="283">
        <f t="shared" si="8"/>
        <v>0</v>
      </c>
      <c r="BB65" s="285">
        <f t="shared" si="8"/>
        <v>0</v>
      </c>
      <c r="BC65" s="285"/>
      <c r="BD65" s="285">
        <f t="shared" si="74"/>
        <v>0</v>
      </c>
      <c r="BE65" s="108"/>
      <c r="BF65" s="108"/>
      <c r="BG65" s="108"/>
      <c r="BH65" s="108">
        <f t="shared" si="75"/>
        <v>0</v>
      </c>
      <c r="BI65" s="108"/>
      <c r="BJ65" s="108"/>
      <c r="BK65" s="116" t="e">
        <f t="shared" si="67"/>
        <v>#DIV/0!</v>
      </c>
      <c r="BL65" s="108">
        <f t="shared" si="76"/>
        <v>0</v>
      </c>
      <c r="BM65" s="108"/>
      <c r="BN65" s="108"/>
      <c r="BO65" s="108"/>
      <c r="BP65" s="108">
        <f t="shared" si="62"/>
        <v>0</v>
      </c>
      <c r="BQ65" s="108"/>
      <c r="BR65" s="108"/>
      <c r="BS65" s="108"/>
      <c r="BT65" s="122">
        <f>BR65-BQ65</f>
        <v>0</v>
      </c>
      <c r="BU65" s="108">
        <v>180</v>
      </c>
      <c r="BV65" s="153"/>
      <c r="BW65" s="110">
        <f>BV65/BU65*100</f>
        <v>0</v>
      </c>
      <c r="BX65" s="122">
        <f t="shared" si="20"/>
        <v>-180</v>
      </c>
      <c r="BY65" s="122"/>
      <c r="BZ65" s="122"/>
      <c r="CA65" s="122"/>
      <c r="CB65" s="122"/>
      <c r="CC65" s="122">
        <v>252.35499999999999</v>
      </c>
      <c r="CD65" s="122"/>
      <c r="CE65" s="122"/>
      <c r="CF65" s="122"/>
      <c r="CG65" s="283">
        <f t="shared" si="32"/>
        <v>180</v>
      </c>
      <c r="CH65" s="273">
        <f>R65+V65+Z65+AD65+BR65+BV65+F65+J65+N65+AL65+BZ65+AP65+AT65+AX65+BF65+BJ65</f>
        <v>0</v>
      </c>
      <c r="CI65" s="285">
        <f t="shared" si="13"/>
        <v>0</v>
      </c>
      <c r="CJ65" s="285">
        <f t="shared" si="14"/>
        <v>-180</v>
      </c>
      <c r="CL65" s="142">
        <f t="shared" si="16"/>
        <v>0</v>
      </c>
      <c r="CM65" s="137">
        <f t="shared" si="17"/>
        <v>180</v>
      </c>
      <c r="CO65" s="146">
        <f t="shared" si="15"/>
        <v>0</v>
      </c>
    </row>
    <row r="66" spans="1:179" s="137" customFormat="1">
      <c r="A66" s="114"/>
      <c r="B66" s="869" t="s">
        <v>228</v>
      </c>
      <c r="C66" s="870"/>
      <c r="D66" s="871"/>
      <c r="E66" s="113">
        <f>E5+E51</f>
        <v>1663</v>
      </c>
      <c r="F66" s="78">
        <f>F5+F51</f>
        <v>0</v>
      </c>
      <c r="G66" s="113">
        <f>F66/E66*100</f>
        <v>0</v>
      </c>
      <c r="H66" s="113">
        <f>F66-E66</f>
        <v>-1663</v>
      </c>
      <c r="I66" s="113">
        <f>I5+I51</f>
        <v>3633</v>
      </c>
      <c r="J66" s="78">
        <f>J5+J51</f>
        <v>0</v>
      </c>
      <c r="K66" s="113">
        <f>J66/I66*100</f>
        <v>0</v>
      </c>
      <c r="L66" s="114">
        <f>J66-I66</f>
        <v>-3633</v>
      </c>
      <c r="M66" s="113">
        <f>M5+M51</f>
        <v>7168</v>
      </c>
      <c r="N66" s="78">
        <f>N5+N51</f>
        <v>0</v>
      </c>
      <c r="O66" s="114">
        <f>N66/M66*100</f>
        <v>0</v>
      </c>
      <c r="P66" s="114">
        <f t="shared" si="22"/>
        <v>-7168</v>
      </c>
      <c r="Q66" s="113">
        <f>Q5+Q51</f>
        <v>5755</v>
      </c>
      <c r="R66" s="78">
        <f>R5+R51</f>
        <v>0</v>
      </c>
      <c r="S66" s="113">
        <f>R66/Q66*100</f>
        <v>0</v>
      </c>
      <c r="T66" s="114">
        <f>R66-Q66</f>
        <v>-5755</v>
      </c>
      <c r="U66" s="113">
        <f>U5+U51</f>
        <v>1546</v>
      </c>
      <c r="V66" s="78">
        <f>V5+V51</f>
        <v>0</v>
      </c>
      <c r="W66" s="113">
        <f>V66/U66*100</f>
        <v>0</v>
      </c>
      <c r="X66" s="114">
        <f>V66-U66</f>
        <v>-1546</v>
      </c>
      <c r="Y66" s="113">
        <f>Y5+Y51</f>
        <v>4744</v>
      </c>
      <c r="Z66" s="78">
        <f>Z5+Z51</f>
        <v>0</v>
      </c>
      <c r="AA66" s="113">
        <f>Z66/Y66*100</f>
        <v>0</v>
      </c>
      <c r="AB66" s="114">
        <f>Z66-Y66</f>
        <v>-4744</v>
      </c>
      <c r="AC66" s="78">
        <f>AC5+AC51</f>
        <v>3633</v>
      </c>
      <c r="AD66" s="78">
        <f>AD5+AD51</f>
        <v>0</v>
      </c>
      <c r="AE66" s="113">
        <f>AD66/AC66*100</f>
        <v>0</v>
      </c>
      <c r="AF66" s="114">
        <f>AD66-AC66</f>
        <v>-3633</v>
      </c>
      <c r="AG66" s="283">
        <f>E66+I66+M66+Q66+U66+Y66+AC66</f>
        <v>28142</v>
      </c>
      <c r="AH66" s="289">
        <f>AH5+AH51</f>
        <v>0</v>
      </c>
      <c r="AI66" s="283">
        <f t="shared" si="59"/>
        <v>0</v>
      </c>
      <c r="AJ66" s="288">
        <f t="shared" si="25"/>
        <v>-28142</v>
      </c>
      <c r="AK66" s="113">
        <f>AK5+AK51</f>
        <v>520</v>
      </c>
      <c r="AL66" s="78">
        <f>AL5+AL51</f>
        <v>0</v>
      </c>
      <c r="AM66" s="113">
        <f>AL66/AK66*100</f>
        <v>0</v>
      </c>
      <c r="AN66" s="113">
        <f>AL66-AK66</f>
        <v>-520</v>
      </c>
      <c r="AO66" s="113">
        <f>AO5+AO51</f>
        <v>150</v>
      </c>
      <c r="AP66" s="78">
        <f>AP5+AP51</f>
        <v>0</v>
      </c>
      <c r="AQ66" s="113">
        <f>AP66/AO66*100</f>
        <v>0</v>
      </c>
      <c r="AR66" s="113">
        <f>AP66-AO66</f>
        <v>-150</v>
      </c>
      <c r="AS66" s="113">
        <f>AS5+AS51</f>
        <v>455</v>
      </c>
      <c r="AT66" s="78">
        <f>AT5+AT51</f>
        <v>0</v>
      </c>
      <c r="AU66" s="113">
        <f>AT66/AS66*100</f>
        <v>0</v>
      </c>
      <c r="AV66" s="113">
        <f>AT66-AS66</f>
        <v>-455</v>
      </c>
      <c r="AW66" s="113">
        <f>AW5+AW51</f>
        <v>455</v>
      </c>
      <c r="AX66" s="78">
        <f>AX5+AX51</f>
        <v>0</v>
      </c>
      <c r="AY66" s="113">
        <f>AX66/AW66*100</f>
        <v>0</v>
      </c>
      <c r="AZ66" s="113">
        <f>AX66-AW66</f>
        <v>-455</v>
      </c>
      <c r="BA66" s="283">
        <f>AK66+AO66+AS66+AW66</f>
        <v>1580</v>
      </c>
      <c r="BB66" s="289">
        <f>BB5+BB51</f>
        <v>0</v>
      </c>
      <c r="BC66" s="283">
        <f>BB66/BA66*100</f>
        <v>0</v>
      </c>
      <c r="BD66" s="283">
        <f>BB66-BA66</f>
        <v>-1580</v>
      </c>
      <c r="BE66" s="113">
        <f>BE5+BE51</f>
        <v>50</v>
      </c>
      <c r="BF66" s="113">
        <f>BF5+BF51</f>
        <v>3.6999999999999998E-2</v>
      </c>
      <c r="BG66" s="113">
        <f>BF66/BE66*100</f>
        <v>7.3999999999999996E-2</v>
      </c>
      <c r="BH66" s="113">
        <f>BF66-BE66</f>
        <v>-49.963000000000001</v>
      </c>
      <c r="BI66" s="113">
        <f>BI5+BI51</f>
        <v>55</v>
      </c>
      <c r="BJ66" s="113">
        <f>BJ5+BJ51</f>
        <v>0</v>
      </c>
      <c r="BK66" s="113">
        <f>BJ66/BI66*100</f>
        <v>0</v>
      </c>
      <c r="BL66" s="113">
        <f>BJ66-BI66</f>
        <v>-55</v>
      </c>
      <c r="BM66" s="113">
        <f>BM5+BM51</f>
        <v>55</v>
      </c>
      <c r="BN66" s="78">
        <f>BN5+BN51</f>
        <v>0</v>
      </c>
      <c r="BO66" s="113">
        <f>BN66/BM66*100</f>
        <v>0</v>
      </c>
      <c r="BP66" s="113">
        <f>BN66-BM66</f>
        <v>-55</v>
      </c>
      <c r="BQ66" s="78">
        <f>BQ5+BQ51</f>
        <v>64.8</v>
      </c>
      <c r="BR66" s="78">
        <f>BR5+BR51</f>
        <v>0</v>
      </c>
      <c r="BS66" s="113">
        <f>BR66/BQ66*100</f>
        <v>0</v>
      </c>
      <c r="BT66" s="114">
        <f>BR66-BQ66</f>
        <v>-64.8</v>
      </c>
      <c r="BU66" s="113">
        <f>BU5+BU51</f>
        <v>1500</v>
      </c>
      <c r="BV66" s="78">
        <f>BV5+BV51</f>
        <v>0</v>
      </c>
      <c r="BW66" s="115">
        <f>BV66/BU66*100</f>
        <v>0</v>
      </c>
      <c r="BX66" s="114">
        <f t="shared" si="20"/>
        <v>-1500</v>
      </c>
      <c r="BY66" s="113">
        <f>BY5+BY51</f>
        <v>35</v>
      </c>
      <c r="BZ66" s="78">
        <f>BZ5+BZ51</f>
        <v>0</v>
      </c>
      <c r="CA66" s="115">
        <f>BZ66/BY66*100</f>
        <v>0</v>
      </c>
      <c r="CB66" s="114">
        <f>BZ66-BY66</f>
        <v>-35</v>
      </c>
      <c r="CC66" s="78">
        <f>CC5+CC51</f>
        <v>789.48699999999997</v>
      </c>
      <c r="CD66" s="78">
        <f>CD5+CD51</f>
        <v>0</v>
      </c>
      <c r="CE66" s="115">
        <f>CD66/CC66*100</f>
        <v>0</v>
      </c>
      <c r="CF66" s="114">
        <f>CD66-CC66</f>
        <v>-789.48699999999997</v>
      </c>
      <c r="CG66" s="283">
        <f>AG66+BA66+BE66+BI66+BM66+BQ66+BU66+BY66</f>
        <v>31481.8</v>
      </c>
      <c r="CH66" s="289">
        <f>CH5+CH51</f>
        <v>3.6999999999999998E-2</v>
      </c>
      <c r="CI66" s="283">
        <f t="shared" si="13"/>
        <v>1.175282226556296E-4</v>
      </c>
      <c r="CJ66" s="283">
        <f t="shared" si="14"/>
        <v>-31481.762999999999</v>
      </c>
      <c r="CK66" s="133"/>
      <c r="CL66" s="137">
        <f t="shared" si="16"/>
        <v>3.6999999999999998E-2</v>
      </c>
      <c r="CM66" s="137">
        <f t="shared" si="17"/>
        <v>31481.800000000003</v>
      </c>
      <c r="CO66" s="137">
        <f>F66+J66+N66+R66+V66+Z66+AD66+AL66+AP66+AT66+AX66+BF66+BJ66+BN66+BR66+BV66+BZ66</f>
        <v>3.6999999999999998E-2</v>
      </c>
    </row>
    <row r="67" spans="1:179">
      <c r="S67" s="129"/>
      <c r="BU67" s="152"/>
      <c r="BV67" s="152"/>
      <c r="BX67" s="129"/>
      <c r="BY67" s="254"/>
      <c r="BZ67" s="254"/>
      <c r="CC67" s="254"/>
      <c r="CD67" s="254"/>
      <c r="CG67" s="129"/>
      <c r="CH67" s="129"/>
      <c r="CI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</row>
    <row r="68" spans="1:179">
      <c r="E68" s="152">
        <f>E66-E67</f>
        <v>1663</v>
      </c>
      <c r="F68" s="112">
        <f t="shared" ref="F68:AG68" si="78">F66-F67</f>
        <v>0</v>
      </c>
      <c r="G68" s="112">
        <f t="shared" si="78"/>
        <v>0</v>
      </c>
      <c r="H68" s="112">
        <f t="shared" si="78"/>
        <v>-1663</v>
      </c>
      <c r="I68" s="112">
        <f>I66-I67</f>
        <v>3633</v>
      </c>
      <c r="J68" s="112">
        <f>J66-J67</f>
        <v>0</v>
      </c>
      <c r="K68" s="112">
        <f t="shared" si="78"/>
        <v>0</v>
      </c>
      <c r="L68" s="112">
        <f t="shared" si="78"/>
        <v>-3633</v>
      </c>
      <c r="M68" s="112">
        <f>M66-M67</f>
        <v>7168</v>
      </c>
      <c r="N68" s="112">
        <f>N66-N67</f>
        <v>0</v>
      </c>
      <c r="O68" s="112">
        <f t="shared" si="78"/>
        <v>0</v>
      </c>
      <c r="P68" s="112">
        <f t="shared" si="78"/>
        <v>-7168</v>
      </c>
      <c r="Q68" s="112">
        <f>Q66-Q67</f>
        <v>5755</v>
      </c>
      <c r="R68" s="112">
        <f>R66-R67</f>
        <v>0</v>
      </c>
      <c r="S68" s="112">
        <f t="shared" si="78"/>
        <v>0</v>
      </c>
      <c r="T68" s="112">
        <f t="shared" si="78"/>
        <v>-5755</v>
      </c>
      <c r="U68" s="152">
        <f>U66-U67</f>
        <v>1546</v>
      </c>
      <c r="V68" s="112">
        <f>V66-V67</f>
        <v>0</v>
      </c>
      <c r="W68" s="112">
        <f t="shared" si="78"/>
        <v>0</v>
      </c>
      <c r="X68" s="112">
        <f t="shared" si="78"/>
        <v>-1546</v>
      </c>
      <c r="Y68" s="112">
        <f>Y66-Y67</f>
        <v>4744</v>
      </c>
      <c r="Z68" s="112">
        <f>Z66-Z67</f>
        <v>0</v>
      </c>
      <c r="AA68" s="112">
        <f t="shared" si="78"/>
        <v>0</v>
      </c>
      <c r="AB68" s="112">
        <f t="shared" si="78"/>
        <v>-4744</v>
      </c>
      <c r="AC68" s="152">
        <f>AC66-AC67</f>
        <v>3633</v>
      </c>
      <c r="AD68" s="112">
        <f>AD66-AD67</f>
        <v>0</v>
      </c>
      <c r="AE68" s="112">
        <f t="shared" si="78"/>
        <v>0</v>
      </c>
      <c r="AF68" s="112">
        <f t="shared" si="78"/>
        <v>-3633</v>
      </c>
      <c r="AG68" s="152">
        <f t="shared" si="78"/>
        <v>28142</v>
      </c>
      <c r="AH68" s="112">
        <f>AH66-AH67</f>
        <v>0</v>
      </c>
      <c r="BA68" s="152">
        <f>BA66-BA67</f>
        <v>1580</v>
      </c>
      <c r="BB68" s="112">
        <f>BB66-BB67</f>
        <v>0</v>
      </c>
      <c r="BF68" s="112">
        <f>BF66-BF67</f>
        <v>3.6999999999999998E-2</v>
      </c>
      <c r="BJ68" s="112">
        <f>BJ66-BJ67</f>
        <v>0</v>
      </c>
      <c r="BN68" s="112">
        <f>BN66-BN67</f>
        <v>0</v>
      </c>
      <c r="BQ68" s="112">
        <f>BQ66-BQ67</f>
        <v>64.8</v>
      </c>
      <c r="BR68" s="112">
        <f>BR66-BR67</f>
        <v>0</v>
      </c>
      <c r="BU68" s="112">
        <f>BU66-BU67</f>
        <v>1500</v>
      </c>
      <c r="BV68" s="112">
        <f>BV66-BV67</f>
        <v>0</v>
      </c>
      <c r="BX68" s="129"/>
      <c r="BZ68" s="112">
        <f>BZ66-BZ67</f>
        <v>0</v>
      </c>
      <c r="CD68" s="112">
        <f>CD66-CD67</f>
        <v>0</v>
      </c>
      <c r="CG68" s="112">
        <v>26679.7</v>
      </c>
      <c r="CH68" s="112">
        <v>26556.9</v>
      </c>
      <c r="CJ68" s="112">
        <f>F66+J66+N66+R66+V66+Z66+AD66+AL66+AP66+AT66+AX66+BF66+BJ66+BN66+BR66+BV66+BZ66</f>
        <v>3.6999999999999998E-2</v>
      </c>
      <c r="CK68" s="112">
        <f>G66+K66+O66+S66+W66+AA66+AE66+AM66+AQ66+AU66+AY66+BG66+BK66+BO66+BS66+BW66+CA66</f>
        <v>7.3999999999999996E-2</v>
      </c>
      <c r="CL68" s="112">
        <f>H66+L66+P66+T66+X66+AB66+AF66+AN66+AR66+AV66+AZ66+BH66+BL66+BP66+BT66+BX66+CB66</f>
        <v>-31481.762999999999</v>
      </c>
      <c r="CM68" s="112">
        <f>I66+M66+Q66+U66+Y66+AC66+AG66+AO66+AS66+AW66+BA66+BI66+BM66+BQ66+BU66+BY66+CG66</f>
        <v>90452.6</v>
      </c>
      <c r="CN68" s="112">
        <f>J66+N66+R66+V66+Z66+AD66+AH66+AP66+AT66+AX66+BB66+BJ66+BN66+BR66+BV66+BZ66+CH66</f>
        <v>3.6999999999999998E-2</v>
      </c>
      <c r="CO68" s="112">
        <f>K66+O66+S66+W66+AA66+AE66+AI66+AQ66+AU66+AY66+BC66+BK66+BO66+BS66+BW66+CA66+CI66</f>
        <v>1.175282226556296E-4</v>
      </c>
    </row>
    <row r="69" spans="1:179">
      <c r="BX69" s="129"/>
      <c r="CG69" s="112">
        <f>AG66+BA66+BE66+BQ66+BU66+BY66+BI66+BM66</f>
        <v>31481.8</v>
      </c>
      <c r="CH69" s="112">
        <f>AH66+BB66+BF66+BR66+BV66+BZ66+BJ66+BN66</f>
        <v>3.6999999999999998E-2</v>
      </c>
    </row>
    <row r="70" spans="1:179">
      <c r="AG70" s="112">
        <f>AG66+BA66+BE66+BI66+BM66</f>
        <v>29882</v>
      </c>
      <c r="BX70" s="129"/>
      <c r="CG70" s="112">
        <f>CG66-CG69</f>
        <v>0</v>
      </c>
      <c r="CH70" s="112">
        <f>CH66-CH69</f>
        <v>0</v>
      </c>
    </row>
    <row r="71" spans="1:179">
      <c r="BT71" s="112">
        <f>BQ66+BU66+BY66</f>
        <v>1599.8</v>
      </c>
      <c r="BX71" s="129"/>
      <c r="CG71" s="272">
        <v>23605.599999999999</v>
      </c>
    </row>
    <row r="72" spans="1:179">
      <c r="AF72" s="112">
        <f>AG66+BA66+BE66+BI66+BM66</f>
        <v>29882</v>
      </c>
      <c r="AG72" s="275">
        <f>AH66+BB66+BF66+BJ66+BN66</f>
        <v>3.6999999999999998E-2</v>
      </c>
      <c r="AH72" s="112">
        <f>AI66+BC66+BG66+BK66+BO66</f>
        <v>7.3999999999999996E-2</v>
      </c>
      <c r="BX72" s="129"/>
      <c r="CG72" s="112">
        <f>CG71-CG66</f>
        <v>-7876.2000000000007</v>
      </c>
      <c r="CH72" s="112">
        <f>CH68-CH66</f>
        <v>26556.863000000001</v>
      </c>
    </row>
    <row r="73" spans="1:179">
      <c r="BX73" s="129"/>
    </row>
    <row r="74" spans="1:179">
      <c r="BX74" s="129"/>
    </row>
    <row r="75" spans="1:179">
      <c r="BX75" s="129"/>
    </row>
    <row r="76" spans="1:179">
      <c r="BX76" s="129"/>
    </row>
    <row r="77" spans="1:179">
      <c r="BX77" s="129"/>
    </row>
    <row r="78" spans="1:179">
      <c r="BX78" s="129"/>
    </row>
    <row r="79" spans="1:179">
      <c r="BX79" s="129"/>
    </row>
    <row r="80" spans="1:179">
      <c r="BX80" s="129"/>
    </row>
    <row r="81" spans="76:76">
      <c r="BX81" s="129"/>
    </row>
    <row r="82" spans="76:76">
      <c r="BX82" s="129"/>
    </row>
    <row r="83" spans="76:76">
      <c r="BX83" s="129"/>
    </row>
    <row r="84" spans="76:76">
      <c r="BX84" s="129"/>
    </row>
    <row r="85" spans="76:76">
      <c r="BX85" s="129"/>
    </row>
    <row r="86" spans="76:76">
      <c r="BX86" s="129"/>
    </row>
    <row r="87" spans="76:76">
      <c r="BX87" s="129"/>
    </row>
    <row r="88" spans="76:76">
      <c r="BX88" s="129"/>
    </row>
    <row r="89" spans="76:76">
      <c r="BX89" s="129"/>
    </row>
    <row r="90" spans="76:76">
      <c r="BX90" s="129"/>
    </row>
    <row r="91" spans="76:76">
      <c r="BX91" s="129"/>
    </row>
    <row r="92" spans="76:76">
      <c r="BX92" s="129"/>
    </row>
    <row r="93" spans="76:76">
      <c r="BX93" s="129"/>
    </row>
    <row r="94" spans="76:76">
      <c r="BX94" s="129"/>
    </row>
    <row r="95" spans="76:76">
      <c r="BX95" s="129"/>
    </row>
    <row r="96" spans="76:76">
      <c r="BX96" s="129"/>
    </row>
    <row r="97" spans="76:76">
      <c r="BX97" s="129"/>
    </row>
    <row r="98" spans="76:76">
      <c r="BX98" s="129"/>
    </row>
    <row r="99" spans="76:76">
      <c r="BX99" s="129"/>
    </row>
    <row r="100" spans="76:76">
      <c r="BX100" s="129"/>
    </row>
    <row r="101" spans="76:76">
      <c r="BX101" s="129"/>
    </row>
    <row r="102" spans="76:76">
      <c r="BX102" s="129"/>
    </row>
    <row r="103" spans="76:76">
      <c r="BX103" s="129"/>
    </row>
    <row r="104" spans="76:76">
      <c r="BX104" s="129"/>
    </row>
    <row r="105" spans="76:76">
      <c r="BX105" s="129"/>
    </row>
    <row r="106" spans="76:76">
      <c r="BX106" s="129"/>
    </row>
    <row r="107" spans="76:76">
      <c r="BX107" s="129"/>
    </row>
    <row r="108" spans="76:76">
      <c r="BX108" s="129"/>
    </row>
    <row r="109" spans="76:76">
      <c r="BX109" s="129"/>
    </row>
    <row r="110" spans="76:76">
      <c r="BX110" s="129"/>
    </row>
    <row r="111" spans="76:76">
      <c r="BX111" s="129"/>
    </row>
    <row r="112" spans="76:76">
      <c r="BX112" s="129"/>
    </row>
    <row r="113" spans="76:76">
      <c r="BX113" s="129"/>
    </row>
    <row r="114" spans="76:76">
      <c r="BX114" s="129"/>
    </row>
    <row r="115" spans="76:76">
      <c r="BX115" s="129"/>
    </row>
    <row r="116" spans="76:76">
      <c r="BX116" s="129"/>
    </row>
    <row r="117" spans="76:76">
      <c r="BX117" s="129"/>
    </row>
    <row r="118" spans="76:76">
      <c r="BX118" s="129"/>
    </row>
    <row r="119" spans="76:76">
      <c r="BX119" s="129"/>
    </row>
    <row r="120" spans="76:76">
      <c r="BX120" s="129"/>
    </row>
    <row r="121" spans="76:76">
      <c r="BX121" s="129"/>
    </row>
    <row r="122" spans="76:76">
      <c r="BX122" s="129"/>
    </row>
    <row r="123" spans="76:76">
      <c r="BX123" s="129"/>
    </row>
    <row r="124" spans="76:76">
      <c r="BX124" s="129"/>
    </row>
    <row r="125" spans="76:76">
      <c r="BX125" s="129"/>
    </row>
    <row r="126" spans="76:76">
      <c r="BX126" s="129"/>
    </row>
    <row r="127" spans="76:76">
      <c r="BX127" s="129"/>
    </row>
    <row r="128" spans="76:76">
      <c r="BX128" s="129"/>
    </row>
    <row r="129" spans="76:76">
      <c r="BX129" s="129"/>
    </row>
    <row r="130" spans="76:76">
      <c r="BX130" s="129"/>
    </row>
    <row r="131" spans="76:76">
      <c r="BX131" s="129"/>
    </row>
    <row r="132" spans="76:76">
      <c r="BX132" s="129"/>
    </row>
    <row r="133" spans="76:76">
      <c r="BX133" s="129"/>
    </row>
    <row r="134" spans="76:76">
      <c r="BX134" s="129"/>
    </row>
    <row r="135" spans="76:76">
      <c r="BX135" s="129"/>
    </row>
    <row r="136" spans="76:76">
      <c r="BX136" s="129"/>
    </row>
    <row r="137" spans="76:76">
      <c r="BX137" s="129"/>
    </row>
    <row r="138" spans="76:76">
      <c r="BX138" s="129"/>
    </row>
    <row r="139" spans="76:76">
      <c r="BX139" s="129"/>
    </row>
    <row r="140" spans="76:76">
      <c r="BX140" s="129"/>
    </row>
    <row r="141" spans="76:76">
      <c r="BX141" s="129"/>
    </row>
    <row r="142" spans="76:76">
      <c r="BX142" s="129"/>
    </row>
    <row r="143" spans="76:76">
      <c r="BX143" s="129"/>
    </row>
    <row r="144" spans="76:76">
      <c r="BX144" s="129"/>
    </row>
    <row r="145" spans="76:76">
      <c r="BX145" s="129"/>
    </row>
    <row r="146" spans="76:76">
      <c r="BX146" s="129"/>
    </row>
    <row r="147" spans="76:76">
      <c r="BX147" s="129"/>
    </row>
    <row r="148" spans="76:76">
      <c r="BX148" s="129"/>
    </row>
    <row r="149" spans="76:76">
      <c r="BX149" s="129"/>
    </row>
    <row r="150" spans="76:76">
      <c r="BX150" s="129"/>
    </row>
    <row r="151" spans="76:76">
      <c r="BX151" s="129"/>
    </row>
    <row r="152" spans="76:76">
      <c r="BX152" s="129"/>
    </row>
    <row r="153" spans="76:76">
      <c r="BX153" s="129"/>
    </row>
    <row r="154" spans="76:76">
      <c r="BX154" s="129"/>
    </row>
    <row r="155" spans="76:76">
      <c r="BX155" s="129"/>
    </row>
    <row r="156" spans="76:76">
      <c r="BX156" s="129"/>
    </row>
    <row r="157" spans="76:76">
      <c r="BX157" s="129"/>
    </row>
    <row r="158" spans="76:76">
      <c r="BX158" s="129"/>
    </row>
    <row r="159" spans="76:76">
      <c r="BX159" s="129"/>
    </row>
    <row r="160" spans="76:76">
      <c r="BX160" s="129"/>
    </row>
    <row r="161" spans="76:76">
      <c r="BX161" s="129"/>
    </row>
    <row r="162" spans="76:76">
      <c r="BX162" s="129"/>
    </row>
    <row r="163" spans="76:76">
      <c r="BX163" s="129"/>
    </row>
    <row r="164" spans="76:76">
      <c r="BX164" s="129"/>
    </row>
    <row r="165" spans="76:76">
      <c r="BX165" s="129"/>
    </row>
    <row r="166" spans="76:76">
      <c r="BX166" s="129"/>
    </row>
    <row r="167" spans="76:76">
      <c r="BX167" s="129"/>
    </row>
    <row r="168" spans="76:76">
      <c r="BX168" s="129"/>
    </row>
    <row r="169" spans="76:76">
      <c r="BX169" s="129"/>
    </row>
    <row r="170" spans="76:76">
      <c r="BX170" s="129"/>
    </row>
    <row r="171" spans="76:76">
      <c r="BX171" s="129"/>
    </row>
    <row r="172" spans="76:76">
      <c r="BX172" s="129"/>
    </row>
    <row r="173" spans="76:76">
      <c r="BX173" s="129"/>
    </row>
    <row r="174" spans="76:76">
      <c r="BX174" s="129"/>
    </row>
    <row r="175" spans="76:76">
      <c r="BX175" s="129"/>
    </row>
    <row r="176" spans="76:76">
      <c r="BX176" s="129"/>
    </row>
    <row r="177" spans="76:76">
      <c r="BX177" s="129"/>
    </row>
    <row r="178" spans="76:76">
      <c r="BX178" s="129"/>
    </row>
    <row r="179" spans="76:76">
      <c r="BX179" s="129"/>
    </row>
    <row r="180" spans="76:76">
      <c r="BX180" s="129"/>
    </row>
    <row r="181" spans="76:76">
      <c r="BX181" s="129"/>
    </row>
    <row r="182" spans="76:76">
      <c r="BX182" s="129"/>
    </row>
    <row r="183" spans="76:76">
      <c r="BX183" s="129"/>
    </row>
    <row r="184" spans="76:76">
      <c r="BX184" s="129"/>
    </row>
    <row r="185" spans="76:76">
      <c r="BX185" s="129"/>
    </row>
    <row r="186" spans="76:76">
      <c r="BX186" s="129"/>
    </row>
    <row r="187" spans="76:76">
      <c r="BX187" s="129"/>
    </row>
    <row r="188" spans="76:76">
      <c r="BX188" s="129"/>
    </row>
    <row r="189" spans="76:76">
      <c r="BX189" s="129"/>
    </row>
    <row r="190" spans="76:76">
      <c r="BX190" s="129"/>
    </row>
    <row r="191" spans="76:76">
      <c r="BX191" s="129"/>
    </row>
    <row r="192" spans="76:76">
      <c r="BX192" s="129"/>
    </row>
    <row r="193" spans="76:76">
      <c r="BX193" s="129"/>
    </row>
    <row r="194" spans="76:76">
      <c r="BX194" s="129"/>
    </row>
    <row r="195" spans="76:76">
      <c r="BX195" s="129"/>
    </row>
    <row r="196" spans="76:76">
      <c r="BX196" s="129"/>
    </row>
    <row r="197" spans="76:76">
      <c r="BX197" s="129"/>
    </row>
    <row r="198" spans="76:76">
      <c r="BX198" s="129"/>
    </row>
    <row r="199" spans="76:76">
      <c r="BX199" s="129"/>
    </row>
    <row r="200" spans="76:76">
      <c r="BX200" s="129"/>
    </row>
    <row r="201" spans="76:76">
      <c r="BX201" s="129"/>
    </row>
    <row r="202" spans="76:76">
      <c r="BX202" s="129"/>
    </row>
    <row r="203" spans="76:76">
      <c r="BX203" s="129"/>
    </row>
    <row r="204" spans="76:76">
      <c r="BX204" s="129"/>
    </row>
    <row r="205" spans="76:76">
      <c r="BX205" s="129"/>
    </row>
    <row r="206" spans="76:76">
      <c r="BX206" s="129"/>
    </row>
    <row r="207" spans="76:76">
      <c r="BX207" s="129"/>
    </row>
    <row r="208" spans="76:76">
      <c r="BX208" s="129"/>
    </row>
    <row r="209" spans="76:76">
      <c r="BX209" s="129"/>
    </row>
    <row r="210" spans="76:76">
      <c r="BX210" s="129"/>
    </row>
    <row r="211" spans="76:76">
      <c r="BX211" s="129"/>
    </row>
    <row r="212" spans="76:76">
      <c r="BX212" s="129"/>
    </row>
    <row r="213" spans="76:76">
      <c r="BX213" s="129"/>
    </row>
    <row r="214" spans="76:76">
      <c r="BX214" s="129"/>
    </row>
    <row r="215" spans="76:76">
      <c r="BX215" s="129"/>
    </row>
    <row r="216" spans="76:76">
      <c r="BX216" s="129"/>
    </row>
    <row r="217" spans="76:76">
      <c r="BX217" s="129"/>
    </row>
    <row r="218" spans="76:76">
      <c r="BX218" s="129"/>
    </row>
    <row r="219" spans="76:76">
      <c r="BX219" s="129"/>
    </row>
    <row r="220" spans="76:76">
      <c r="BX220" s="129"/>
    </row>
    <row r="221" spans="76:76">
      <c r="BX221" s="129"/>
    </row>
    <row r="222" spans="76:76">
      <c r="BX222" s="129"/>
    </row>
    <row r="223" spans="76:76">
      <c r="BX223" s="129"/>
    </row>
    <row r="224" spans="76:76">
      <c r="BX224" s="129"/>
    </row>
    <row r="225" spans="76:76">
      <c r="BX225" s="129"/>
    </row>
    <row r="226" spans="76:76">
      <c r="BX226" s="129"/>
    </row>
    <row r="227" spans="76:76">
      <c r="BX227" s="129"/>
    </row>
    <row r="228" spans="76:76">
      <c r="BX228" s="129"/>
    </row>
    <row r="229" spans="76:76">
      <c r="BX229" s="129"/>
    </row>
    <row r="230" spans="76:76">
      <c r="BX230" s="129"/>
    </row>
    <row r="231" spans="76:76">
      <c r="BX231" s="129"/>
    </row>
    <row r="232" spans="76:76">
      <c r="BX232" s="129"/>
    </row>
    <row r="233" spans="76:76">
      <c r="BX233" s="129"/>
    </row>
    <row r="234" spans="76:76">
      <c r="BX234" s="129"/>
    </row>
    <row r="235" spans="76:76">
      <c r="BX235" s="129"/>
    </row>
    <row r="236" spans="76:76">
      <c r="BX236" s="129"/>
    </row>
    <row r="237" spans="76:76">
      <c r="BX237" s="129"/>
    </row>
    <row r="238" spans="76:76">
      <c r="BX238" s="129"/>
    </row>
    <row r="239" spans="76:76">
      <c r="BX239" s="129"/>
    </row>
    <row r="240" spans="76:76">
      <c r="BX240" s="129"/>
    </row>
    <row r="241" spans="76:76">
      <c r="BX241" s="129"/>
    </row>
    <row r="242" spans="76:76">
      <c r="BX242" s="129"/>
    </row>
    <row r="243" spans="76:76">
      <c r="BX243" s="129"/>
    </row>
    <row r="244" spans="76:76">
      <c r="BX244" s="129"/>
    </row>
    <row r="245" spans="76:76">
      <c r="BX245" s="129"/>
    </row>
    <row r="246" spans="76:76">
      <c r="BX246" s="129"/>
    </row>
    <row r="247" spans="76:76">
      <c r="BX247" s="129"/>
    </row>
    <row r="248" spans="76:76">
      <c r="BX248" s="129"/>
    </row>
    <row r="249" spans="76:76">
      <c r="BX249" s="129"/>
    </row>
    <row r="250" spans="76:76">
      <c r="BX250" s="129"/>
    </row>
    <row r="251" spans="76:76">
      <c r="BX251" s="129"/>
    </row>
    <row r="252" spans="76:76">
      <c r="BX252" s="129"/>
    </row>
    <row r="253" spans="76:76">
      <c r="BX253" s="129"/>
    </row>
    <row r="254" spans="76:76">
      <c r="BX254" s="129"/>
    </row>
    <row r="255" spans="76:76">
      <c r="BX255" s="129"/>
    </row>
    <row r="256" spans="76:76">
      <c r="BX256" s="129"/>
    </row>
    <row r="257" spans="76:76">
      <c r="BX257" s="129"/>
    </row>
    <row r="258" spans="76:76">
      <c r="BX258" s="129"/>
    </row>
    <row r="259" spans="76:76">
      <c r="BX259" s="129"/>
    </row>
    <row r="260" spans="76:76">
      <c r="BX260" s="129"/>
    </row>
    <row r="261" spans="76:76">
      <c r="BX261" s="129"/>
    </row>
    <row r="262" spans="76:76">
      <c r="BX262" s="129"/>
    </row>
    <row r="263" spans="76:76">
      <c r="BX263" s="129"/>
    </row>
    <row r="264" spans="76:76">
      <c r="BX264" s="129"/>
    </row>
    <row r="265" spans="76:76">
      <c r="BX265" s="129"/>
    </row>
    <row r="266" spans="76:76">
      <c r="BX266" s="129"/>
    </row>
    <row r="267" spans="76:76">
      <c r="BX267" s="129"/>
    </row>
    <row r="268" spans="76:76">
      <c r="BX268" s="129"/>
    </row>
    <row r="269" spans="76:76">
      <c r="BX269" s="129"/>
    </row>
    <row r="270" spans="76:76">
      <c r="BX270" s="129"/>
    </row>
    <row r="271" spans="76:76">
      <c r="BX271" s="129"/>
    </row>
    <row r="272" spans="76:76">
      <c r="BX272" s="129"/>
    </row>
    <row r="273" spans="76:76">
      <c r="BX273" s="129"/>
    </row>
    <row r="274" spans="76:76">
      <c r="BX274" s="129"/>
    </row>
    <row r="275" spans="76:76">
      <c r="BX275" s="129"/>
    </row>
    <row r="276" spans="76:76">
      <c r="BX276" s="129"/>
    </row>
    <row r="277" spans="76:76">
      <c r="BX277" s="129"/>
    </row>
    <row r="278" spans="76:76">
      <c r="BX278" s="129"/>
    </row>
    <row r="279" spans="76:76">
      <c r="BX279" s="129"/>
    </row>
    <row r="280" spans="76:76">
      <c r="BX280" s="129"/>
    </row>
    <row r="281" spans="76:76">
      <c r="BX281" s="129"/>
    </row>
    <row r="282" spans="76:76">
      <c r="BX282" s="129"/>
    </row>
    <row r="283" spans="76:76">
      <c r="BX283" s="129"/>
    </row>
    <row r="284" spans="76:76">
      <c r="BX284" s="129"/>
    </row>
    <row r="285" spans="76:76">
      <c r="BX285" s="129"/>
    </row>
    <row r="286" spans="76:76">
      <c r="BX286" s="129"/>
    </row>
    <row r="287" spans="76:76">
      <c r="BX287" s="129"/>
    </row>
    <row r="288" spans="76:76">
      <c r="BX288" s="129"/>
    </row>
    <row r="289" spans="76:76">
      <c r="BX289" s="129"/>
    </row>
    <row r="290" spans="76:76">
      <c r="BX290" s="129"/>
    </row>
    <row r="291" spans="76:76">
      <c r="BX291" s="129"/>
    </row>
    <row r="292" spans="76:76">
      <c r="BX292" s="129"/>
    </row>
    <row r="293" spans="76:76">
      <c r="BX293" s="129"/>
    </row>
    <row r="294" spans="76:76">
      <c r="BX294" s="129"/>
    </row>
    <row r="295" spans="76:76">
      <c r="BX295" s="129"/>
    </row>
    <row r="296" spans="76:76">
      <c r="BX296" s="129"/>
    </row>
    <row r="297" spans="76:76">
      <c r="BX297" s="129"/>
    </row>
    <row r="298" spans="76:76">
      <c r="BX298" s="129"/>
    </row>
    <row r="299" spans="76:76">
      <c r="BX299" s="129"/>
    </row>
    <row r="300" spans="76:76">
      <c r="BX300" s="129"/>
    </row>
    <row r="301" spans="76:76">
      <c r="BX301" s="129"/>
    </row>
    <row r="302" spans="76:76">
      <c r="BX302" s="129"/>
    </row>
    <row r="303" spans="76:76">
      <c r="BX303" s="129"/>
    </row>
    <row r="304" spans="76:76">
      <c r="BX304" s="129"/>
    </row>
    <row r="305" spans="76:76">
      <c r="BX305" s="129"/>
    </row>
    <row r="306" spans="76:76">
      <c r="BX306" s="129"/>
    </row>
    <row r="307" spans="76:76">
      <c r="BX307" s="129"/>
    </row>
    <row r="308" spans="76:76">
      <c r="BX308" s="129"/>
    </row>
    <row r="309" spans="76:76">
      <c r="BX309" s="129"/>
    </row>
    <row r="310" spans="76:76">
      <c r="BX310" s="129"/>
    </row>
    <row r="311" spans="76:76">
      <c r="BX311" s="129"/>
    </row>
    <row r="312" spans="76:76">
      <c r="BX312" s="129"/>
    </row>
    <row r="313" spans="76:76">
      <c r="BX313" s="129"/>
    </row>
    <row r="314" spans="76:76">
      <c r="BX314" s="129"/>
    </row>
    <row r="315" spans="76:76">
      <c r="BX315" s="129"/>
    </row>
    <row r="316" spans="76:76">
      <c r="BX316" s="129"/>
    </row>
    <row r="317" spans="76:76">
      <c r="BX317" s="129"/>
    </row>
    <row r="318" spans="76:76">
      <c r="BX318" s="129"/>
    </row>
    <row r="319" spans="76:76">
      <c r="BX319" s="129"/>
    </row>
    <row r="320" spans="76:76">
      <c r="BX320" s="129"/>
    </row>
    <row r="321" spans="76:76">
      <c r="BX321" s="129"/>
    </row>
    <row r="322" spans="76:76">
      <c r="BX322" s="129"/>
    </row>
    <row r="323" spans="76:76">
      <c r="BX323" s="129"/>
    </row>
    <row r="324" spans="76:76">
      <c r="BX324" s="129"/>
    </row>
    <row r="325" spans="76:76">
      <c r="BX325" s="129"/>
    </row>
    <row r="326" spans="76:76">
      <c r="BX326" s="129"/>
    </row>
    <row r="327" spans="76:76">
      <c r="BX327" s="129"/>
    </row>
    <row r="328" spans="76:76">
      <c r="BX328" s="129"/>
    </row>
    <row r="329" spans="76:76">
      <c r="BX329" s="129"/>
    </row>
    <row r="330" spans="76:76">
      <c r="BX330" s="129"/>
    </row>
    <row r="331" spans="76:76">
      <c r="BX331" s="129"/>
    </row>
    <row r="332" spans="76:76">
      <c r="BX332" s="129"/>
    </row>
    <row r="333" spans="76:76">
      <c r="BX333" s="129"/>
    </row>
    <row r="334" spans="76:76">
      <c r="BX334" s="129"/>
    </row>
    <row r="335" spans="76:76">
      <c r="BX335" s="129"/>
    </row>
    <row r="336" spans="76:76">
      <c r="BX336" s="129"/>
    </row>
    <row r="337" spans="76:76">
      <c r="BX337" s="129"/>
    </row>
    <row r="338" spans="76:76">
      <c r="BX338" s="129"/>
    </row>
    <row r="339" spans="76:76">
      <c r="BX339" s="129"/>
    </row>
    <row r="340" spans="76:76">
      <c r="BX340" s="129"/>
    </row>
    <row r="341" spans="76:76">
      <c r="BX341" s="129"/>
    </row>
    <row r="342" spans="76:76">
      <c r="BX342" s="129"/>
    </row>
    <row r="343" spans="76:76">
      <c r="BX343" s="129"/>
    </row>
    <row r="344" spans="76:76">
      <c r="BX344" s="129"/>
    </row>
    <row r="345" spans="76:76">
      <c r="BX345" s="129"/>
    </row>
    <row r="346" spans="76:76">
      <c r="BX346" s="129"/>
    </row>
    <row r="347" spans="76:76">
      <c r="BX347" s="129"/>
    </row>
    <row r="348" spans="76:76">
      <c r="BX348" s="129"/>
    </row>
    <row r="349" spans="76:76">
      <c r="BX349" s="129"/>
    </row>
    <row r="350" spans="76:76">
      <c r="BX350" s="129"/>
    </row>
    <row r="351" spans="76:76">
      <c r="BX351" s="129"/>
    </row>
    <row r="352" spans="76:76">
      <c r="BX352" s="129"/>
    </row>
    <row r="353" spans="76:76">
      <c r="BX353" s="129"/>
    </row>
    <row r="354" spans="76:76">
      <c r="BX354" s="129"/>
    </row>
    <row r="355" spans="76:76">
      <c r="BX355" s="129"/>
    </row>
    <row r="356" spans="76:76">
      <c r="BX356" s="129"/>
    </row>
    <row r="357" spans="76:76">
      <c r="BX357" s="129"/>
    </row>
    <row r="358" spans="76:76">
      <c r="BX358" s="129"/>
    </row>
    <row r="359" spans="76:76">
      <c r="BX359" s="129"/>
    </row>
    <row r="360" spans="76:76">
      <c r="BX360" s="129"/>
    </row>
    <row r="361" spans="76:76">
      <c r="BX361" s="129"/>
    </row>
    <row r="362" spans="76:76">
      <c r="BX362" s="129"/>
    </row>
    <row r="363" spans="76:76">
      <c r="BX363" s="129"/>
    </row>
    <row r="364" spans="76:76">
      <c r="BX364" s="129"/>
    </row>
    <row r="365" spans="76:76">
      <c r="BX365" s="129"/>
    </row>
    <row r="366" spans="76:76">
      <c r="BX366" s="129"/>
    </row>
    <row r="367" spans="76:76">
      <c r="BX367" s="129"/>
    </row>
    <row r="368" spans="76:76">
      <c r="BX368" s="129"/>
    </row>
    <row r="369" spans="76:76">
      <c r="BX369" s="129"/>
    </row>
    <row r="370" spans="76:76">
      <c r="BX370" s="129"/>
    </row>
    <row r="371" spans="76:76">
      <c r="BX371" s="129"/>
    </row>
    <row r="372" spans="76:76">
      <c r="BX372" s="129"/>
    </row>
    <row r="373" spans="76:76">
      <c r="BX373" s="129"/>
    </row>
    <row r="374" spans="76:76">
      <c r="BX374" s="129"/>
    </row>
    <row r="375" spans="76:76">
      <c r="BX375" s="129"/>
    </row>
    <row r="376" spans="76:76">
      <c r="BX376" s="129"/>
    </row>
    <row r="377" spans="76:76">
      <c r="BX377" s="129"/>
    </row>
    <row r="378" spans="76:76">
      <c r="BX378" s="129"/>
    </row>
    <row r="379" spans="76:76">
      <c r="BX379" s="129"/>
    </row>
    <row r="380" spans="76:76">
      <c r="BX380" s="129"/>
    </row>
    <row r="381" spans="76:76">
      <c r="BX381" s="129"/>
    </row>
    <row r="382" spans="76:76">
      <c r="BX382" s="129"/>
    </row>
    <row r="383" spans="76:76">
      <c r="BX383" s="129"/>
    </row>
    <row r="384" spans="76:76">
      <c r="BX384" s="129"/>
    </row>
    <row r="385" spans="76:76">
      <c r="BX385" s="129"/>
    </row>
    <row r="386" spans="76:76">
      <c r="BX386" s="129"/>
    </row>
    <row r="387" spans="76:76">
      <c r="BX387" s="129"/>
    </row>
    <row r="388" spans="76:76">
      <c r="BX388" s="129"/>
    </row>
    <row r="389" spans="76:76">
      <c r="BX389" s="129"/>
    </row>
    <row r="390" spans="76:76">
      <c r="BX390" s="129"/>
    </row>
    <row r="391" spans="76:76">
      <c r="BX391" s="129"/>
    </row>
    <row r="392" spans="76:76">
      <c r="BX392" s="129"/>
    </row>
    <row r="393" spans="76:76">
      <c r="BX393" s="129"/>
    </row>
    <row r="394" spans="76:76">
      <c r="BX394" s="129"/>
    </row>
    <row r="395" spans="76:76">
      <c r="BX395" s="129"/>
    </row>
    <row r="396" spans="76:76">
      <c r="BX396" s="129"/>
    </row>
    <row r="397" spans="76:76">
      <c r="BX397" s="129"/>
    </row>
    <row r="398" spans="76:76">
      <c r="BX398" s="129"/>
    </row>
    <row r="399" spans="76:76">
      <c r="BX399" s="129"/>
    </row>
    <row r="400" spans="76:76">
      <c r="BX400" s="129"/>
    </row>
    <row r="401" spans="76:76">
      <c r="BX401" s="129"/>
    </row>
    <row r="402" spans="76:76">
      <c r="BX402" s="129"/>
    </row>
    <row r="403" spans="76:76">
      <c r="BX403" s="129"/>
    </row>
    <row r="404" spans="76:76">
      <c r="BX404" s="129"/>
    </row>
    <row r="405" spans="76:76">
      <c r="BX405" s="129"/>
    </row>
    <row r="406" spans="76:76">
      <c r="BX406" s="129"/>
    </row>
    <row r="407" spans="76:76">
      <c r="BX407" s="129"/>
    </row>
    <row r="408" spans="76:76">
      <c r="BX408" s="129"/>
    </row>
    <row r="409" spans="76:76">
      <c r="BX409" s="129"/>
    </row>
    <row r="410" spans="76:76">
      <c r="BX410" s="129"/>
    </row>
    <row r="411" spans="76:76">
      <c r="BX411" s="129"/>
    </row>
    <row r="412" spans="76:76">
      <c r="BX412" s="129"/>
    </row>
    <row r="413" spans="76:76">
      <c r="BX413" s="129"/>
    </row>
    <row r="414" spans="76:76">
      <c r="BX414" s="129"/>
    </row>
    <row r="415" spans="76:76">
      <c r="BX415" s="129"/>
    </row>
    <row r="416" spans="76:76">
      <c r="BX416" s="129"/>
    </row>
    <row r="417" spans="76:76">
      <c r="BX417" s="129"/>
    </row>
    <row r="418" spans="76:76">
      <c r="BX418" s="129"/>
    </row>
    <row r="419" spans="76:76">
      <c r="BX419" s="129"/>
    </row>
    <row r="420" spans="76:76">
      <c r="BX420" s="129"/>
    </row>
    <row r="421" spans="76:76">
      <c r="BX421" s="129"/>
    </row>
    <row r="422" spans="76:76">
      <c r="BX422" s="129"/>
    </row>
    <row r="423" spans="76:76">
      <c r="BX423" s="129"/>
    </row>
    <row r="424" spans="76:76">
      <c r="BX424" s="129"/>
    </row>
    <row r="425" spans="76:76">
      <c r="BX425" s="129"/>
    </row>
    <row r="426" spans="76:76">
      <c r="BX426" s="129"/>
    </row>
    <row r="427" spans="76:76">
      <c r="BX427" s="129"/>
    </row>
    <row r="428" spans="76:76">
      <c r="BX428" s="129"/>
    </row>
    <row r="429" spans="76:76">
      <c r="BX429" s="129"/>
    </row>
    <row r="430" spans="76:76">
      <c r="BX430" s="129"/>
    </row>
    <row r="431" spans="76:76">
      <c r="BX431" s="129"/>
    </row>
    <row r="432" spans="76:76">
      <c r="BX432" s="129"/>
    </row>
    <row r="433" spans="76:76">
      <c r="BX433" s="129"/>
    </row>
    <row r="434" spans="76:76">
      <c r="BX434" s="129"/>
    </row>
    <row r="435" spans="76:76">
      <c r="BX435" s="129"/>
    </row>
    <row r="436" spans="76:76">
      <c r="BX436" s="129"/>
    </row>
    <row r="437" spans="76:76">
      <c r="BX437" s="129"/>
    </row>
    <row r="438" spans="76:76">
      <c r="BX438" s="129"/>
    </row>
    <row r="439" spans="76:76">
      <c r="BX439" s="129"/>
    </row>
    <row r="440" spans="76:76">
      <c r="BX440" s="129"/>
    </row>
    <row r="441" spans="76:76">
      <c r="BX441" s="129"/>
    </row>
    <row r="442" spans="76:76">
      <c r="BX442" s="129"/>
    </row>
    <row r="443" spans="76:76">
      <c r="BX443" s="129"/>
    </row>
    <row r="444" spans="76:76">
      <c r="BX444" s="129"/>
    </row>
    <row r="445" spans="76:76">
      <c r="BX445" s="129"/>
    </row>
    <row r="446" spans="76:76">
      <c r="BX446" s="129"/>
    </row>
    <row r="447" spans="76:76">
      <c r="BX447" s="129"/>
    </row>
    <row r="448" spans="76:76">
      <c r="BX448" s="129"/>
    </row>
    <row r="449" spans="76:76">
      <c r="BX449" s="129"/>
    </row>
    <row r="450" spans="76:76">
      <c r="BX450" s="129"/>
    </row>
    <row r="451" spans="76:76">
      <c r="BX451" s="129"/>
    </row>
    <row r="452" spans="76:76">
      <c r="BX452" s="129"/>
    </row>
    <row r="453" spans="76:76">
      <c r="BX453" s="129"/>
    </row>
    <row r="454" spans="76:76">
      <c r="BX454" s="129"/>
    </row>
    <row r="455" spans="76:76">
      <c r="BX455" s="129"/>
    </row>
    <row r="456" spans="76:76">
      <c r="BX456" s="129"/>
    </row>
    <row r="457" spans="76:76">
      <c r="BX457" s="129"/>
    </row>
    <row r="458" spans="76:76">
      <c r="BX458" s="129"/>
    </row>
    <row r="459" spans="76:76">
      <c r="BX459" s="129"/>
    </row>
    <row r="460" spans="76:76">
      <c r="BX460" s="129"/>
    </row>
    <row r="461" spans="76:76">
      <c r="BX461" s="129"/>
    </row>
    <row r="462" spans="76:76">
      <c r="BX462" s="129"/>
    </row>
    <row r="463" spans="76:76">
      <c r="BX463" s="129"/>
    </row>
    <row r="464" spans="76:76">
      <c r="BX464" s="129"/>
    </row>
    <row r="465" spans="76:76">
      <c r="BX465" s="129"/>
    </row>
    <row r="466" spans="76:76">
      <c r="BX466" s="129"/>
    </row>
    <row r="467" spans="76:76">
      <c r="BX467" s="129"/>
    </row>
    <row r="468" spans="76:76">
      <c r="BX468" s="129"/>
    </row>
    <row r="469" spans="76:76">
      <c r="BX469" s="129"/>
    </row>
    <row r="470" spans="76:76">
      <c r="BX470" s="129"/>
    </row>
    <row r="471" spans="76:76">
      <c r="BX471" s="129"/>
    </row>
    <row r="472" spans="76:76">
      <c r="BX472" s="129"/>
    </row>
    <row r="473" spans="76:76">
      <c r="BX473" s="129"/>
    </row>
    <row r="474" spans="76:76">
      <c r="BX474" s="129"/>
    </row>
    <row r="475" spans="76:76">
      <c r="BX475" s="129"/>
    </row>
    <row r="476" spans="76:76">
      <c r="BX476" s="129"/>
    </row>
    <row r="477" spans="76:76">
      <c r="BX477" s="129"/>
    </row>
    <row r="478" spans="76:76">
      <c r="BX478" s="129"/>
    </row>
    <row r="479" spans="76:76">
      <c r="BX479" s="129"/>
    </row>
    <row r="480" spans="76:76">
      <c r="BX480" s="129"/>
    </row>
    <row r="481" spans="76:76">
      <c r="BX481" s="129"/>
    </row>
    <row r="482" spans="76:76">
      <c r="BX482" s="129"/>
    </row>
    <row r="483" spans="76:76">
      <c r="BX483" s="129"/>
    </row>
    <row r="484" spans="76:76">
      <c r="BX484" s="129"/>
    </row>
    <row r="485" spans="76:76">
      <c r="BX485" s="129"/>
    </row>
    <row r="486" spans="76:76">
      <c r="BX486" s="129"/>
    </row>
    <row r="487" spans="76:76">
      <c r="BX487" s="129"/>
    </row>
    <row r="488" spans="76:76">
      <c r="BX488" s="129"/>
    </row>
    <row r="489" spans="76:76">
      <c r="BX489" s="129"/>
    </row>
    <row r="490" spans="76:76">
      <c r="BX490" s="129"/>
    </row>
    <row r="491" spans="76:76">
      <c r="BX491" s="129"/>
    </row>
    <row r="492" spans="76:76">
      <c r="BX492" s="129"/>
    </row>
    <row r="493" spans="76:76">
      <c r="BX493" s="129"/>
    </row>
    <row r="494" spans="76:76">
      <c r="BX494" s="129"/>
    </row>
    <row r="495" spans="76:76">
      <c r="BX495" s="129"/>
    </row>
    <row r="496" spans="76:76">
      <c r="BX496" s="129"/>
    </row>
    <row r="497" spans="76:76">
      <c r="BX497" s="129"/>
    </row>
    <row r="498" spans="76:76">
      <c r="BX498" s="129"/>
    </row>
    <row r="499" spans="76:76">
      <c r="BX499" s="129"/>
    </row>
    <row r="500" spans="76:76">
      <c r="BX500" s="129"/>
    </row>
    <row r="501" spans="76:76">
      <c r="BX501" s="129"/>
    </row>
    <row r="502" spans="76:76">
      <c r="BX502" s="129"/>
    </row>
    <row r="503" spans="76:76">
      <c r="BX503" s="129"/>
    </row>
    <row r="504" spans="76:76">
      <c r="BX504" s="129"/>
    </row>
    <row r="505" spans="76:76">
      <c r="BX505" s="129"/>
    </row>
    <row r="506" spans="76:76">
      <c r="BX506" s="129"/>
    </row>
    <row r="507" spans="76:76">
      <c r="BX507" s="129"/>
    </row>
    <row r="508" spans="76:76">
      <c r="BX508" s="129"/>
    </row>
    <row r="509" spans="76:76">
      <c r="BX509" s="129"/>
    </row>
    <row r="510" spans="76:76">
      <c r="BX510" s="129"/>
    </row>
    <row r="511" spans="76:76">
      <c r="BX511" s="129"/>
    </row>
    <row r="512" spans="76:76">
      <c r="BX512" s="129"/>
    </row>
    <row r="513" spans="76:76">
      <c r="BX513" s="129"/>
    </row>
    <row r="514" spans="76:76">
      <c r="BX514" s="129"/>
    </row>
    <row r="515" spans="76:76">
      <c r="BX515" s="129"/>
    </row>
    <row r="516" spans="76:76">
      <c r="BX516" s="129"/>
    </row>
    <row r="517" spans="76:76">
      <c r="BX517" s="129"/>
    </row>
    <row r="518" spans="76:76">
      <c r="BX518" s="129"/>
    </row>
    <row r="519" spans="76:76">
      <c r="BX519" s="129"/>
    </row>
    <row r="520" spans="76:76">
      <c r="BX520" s="129"/>
    </row>
    <row r="521" spans="76:76">
      <c r="BX521" s="129"/>
    </row>
    <row r="522" spans="76:76">
      <c r="BX522" s="129"/>
    </row>
    <row r="523" spans="76:76">
      <c r="BX523" s="129"/>
    </row>
    <row r="524" spans="76:76">
      <c r="BX524" s="129"/>
    </row>
    <row r="525" spans="76:76">
      <c r="BX525" s="129"/>
    </row>
    <row r="526" spans="76:76">
      <c r="BX526" s="129"/>
    </row>
    <row r="527" spans="76:76">
      <c r="BX527" s="129"/>
    </row>
    <row r="528" spans="76:76">
      <c r="BX528" s="129"/>
    </row>
    <row r="529" spans="76:76">
      <c r="BX529" s="129"/>
    </row>
    <row r="530" spans="76:76">
      <c r="BX530" s="129"/>
    </row>
    <row r="531" spans="76:76">
      <c r="BX531" s="129"/>
    </row>
    <row r="532" spans="76:76">
      <c r="BX532" s="129"/>
    </row>
    <row r="533" spans="76:76">
      <c r="BX533" s="129"/>
    </row>
    <row r="534" spans="76:76">
      <c r="BX534" s="129"/>
    </row>
    <row r="535" spans="76:76">
      <c r="BX535" s="129"/>
    </row>
    <row r="536" spans="76:76">
      <c r="BX536" s="129"/>
    </row>
    <row r="537" spans="76:76">
      <c r="BX537" s="129"/>
    </row>
    <row r="538" spans="76:76">
      <c r="BX538" s="129"/>
    </row>
    <row r="539" spans="76:76">
      <c r="BX539" s="129"/>
    </row>
    <row r="540" spans="76:76">
      <c r="BX540" s="129"/>
    </row>
    <row r="541" spans="76:76">
      <c r="BX541" s="129"/>
    </row>
    <row r="542" spans="76:76">
      <c r="BX542" s="129"/>
    </row>
    <row r="543" spans="76:76">
      <c r="BX543" s="129"/>
    </row>
    <row r="544" spans="76:76">
      <c r="BX544" s="129"/>
    </row>
    <row r="545" spans="76:76">
      <c r="BX545" s="129"/>
    </row>
    <row r="546" spans="76:76">
      <c r="BX546" s="129"/>
    </row>
    <row r="547" spans="76:76">
      <c r="BX547" s="129"/>
    </row>
    <row r="548" spans="76:76">
      <c r="BX548" s="129"/>
    </row>
    <row r="549" spans="76:76">
      <c r="BX549" s="129"/>
    </row>
    <row r="550" spans="76:76">
      <c r="BX550" s="129"/>
    </row>
    <row r="551" spans="76:76">
      <c r="BX551" s="129"/>
    </row>
    <row r="552" spans="76:76">
      <c r="BX552" s="129"/>
    </row>
    <row r="553" spans="76:76">
      <c r="BX553" s="129"/>
    </row>
    <row r="554" spans="76:76">
      <c r="BX554" s="129"/>
    </row>
    <row r="555" spans="76:76">
      <c r="BX555" s="129"/>
    </row>
    <row r="556" spans="76:76">
      <c r="BX556" s="129"/>
    </row>
    <row r="557" spans="76:76">
      <c r="BX557" s="129"/>
    </row>
    <row r="558" spans="76:76">
      <c r="BX558" s="129"/>
    </row>
    <row r="559" spans="76:76">
      <c r="BX559" s="129"/>
    </row>
    <row r="560" spans="76:76">
      <c r="BX560" s="129"/>
    </row>
    <row r="561" spans="76:76">
      <c r="BX561" s="129"/>
    </row>
    <row r="562" spans="76:76">
      <c r="BX562" s="129"/>
    </row>
    <row r="563" spans="76:76">
      <c r="BX563" s="129"/>
    </row>
    <row r="564" spans="76:76">
      <c r="BX564" s="129"/>
    </row>
    <row r="565" spans="76:76">
      <c r="BX565" s="129"/>
    </row>
    <row r="566" spans="76:76">
      <c r="BX566" s="129"/>
    </row>
    <row r="567" spans="76:76">
      <c r="BX567" s="129"/>
    </row>
    <row r="568" spans="76:76">
      <c r="BX568" s="129"/>
    </row>
    <row r="569" spans="76:76">
      <c r="BX569" s="129"/>
    </row>
    <row r="570" spans="76:76">
      <c r="BX570" s="129"/>
    </row>
    <row r="571" spans="76:76">
      <c r="BX571" s="129"/>
    </row>
    <row r="572" spans="76:76">
      <c r="BX572" s="129"/>
    </row>
    <row r="573" spans="76:76">
      <c r="BX573" s="129"/>
    </row>
    <row r="574" spans="76:76">
      <c r="BX574" s="129"/>
    </row>
    <row r="575" spans="76:76">
      <c r="BX575" s="129"/>
    </row>
    <row r="576" spans="76:76">
      <c r="BX576" s="129"/>
    </row>
    <row r="577" spans="76:76">
      <c r="BX577" s="129"/>
    </row>
    <row r="578" spans="76:76">
      <c r="BX578" s="129"/>
    </row>
    <row r="579" spans="76:76">
      <c r="BX579" s="129"/>
    </row>
    <row r="580" spans="76:76">
      <c r="BX580" s="129"/>
    </row>
    <row r="581" spans="76:76">
      <c r="BX581" s="129"/>
    </row>
    <row r="582" spans="76:76">
      <c r="BX582" s="129"/>
    </row>
    <row r="583" spans="76:76">
      <c r="BX583" s="129"/>
    </row>
    <row r="584" spans="76:76">
      <c r="BX584" s="129"/>
    </row>
    <row r="585" spans="76:76">
      <c r="BX585" s="129"/>
    </row>
    <row r="586" spans="76:76">
      <c r="BX586" s="129"/>
    </row>
    <row r="587" spans="76:76">
      <c r="BX587" s="129"/>
    </row>
    <row r="588" spans="76:76">
      <c r="BX588" s="129"/>
    </row>
    <row r="589" spans="76:76">
      <c r="BX589" s="129"/>
    </row>
    <row r="590" spans="76:76">
      <c r="BX590" s="129"/>
    </row>
    <row r="591" spans="76:76">
      <c r="BX591" s="129"/>
    </row>
    <row r="592" spans="76:76">
      <c r="BX592" s="129"/>
    </row>
    <row r="593" spans="76:76">
      <c r="BX593" s="129"/>
    </row>
    <row r="594" spans="76:76">
      <c r="BX594" s="129"/>
    </row>
    <row r="595" spans="76:76">
      <c r="BX595" s="129"/>
    </row>
    <row r="596" spans="76:76">
      <c r="BX596" s="129"/>
    </row>
    <row r="597" spans="76:76">
      <c r="BX597" s="129"/>
    </row>
    <row r="598" spans="76:76">
      <c r="BX598" s="129"/>
    </row>
    <row r="599" spans="76:76">
      <c r="BX599" s="129"/>
    </row>
    <row r="600" spans="76:76">
      <c r="BX600" s="129"/>
    </row>
    <row r="601" spans="76:76">
      <c r="BX601" s="129"/>
    </row>
    <row r="602" spans="76:76">
      <c r="BX602" s="129"/>
    </row>
    <row r="603" spans="76:76">
      <c r="BX603" s="129"/>
    </row>
    <row r="604" spans="76:76">
      <c r="BX604" s="129"/>
    </row>
    <row r="605" spans="76:76">
      <c r="BX605" s="129"/>
    </row>
    <row r="606" spans="76:76">
      <c r="BX606" s="129"/>
    </row>
    <row r="607" spans="76:76">
      <c r="BX607" s="129"/>
    </row>
    <row r="608" spans="76:76">
      <c r="BX608" s="129"/>
    </row>
    <row r="609" spans="76:76">
      <c r="BX609" s="129"/>
    </row>
    <row r="610" spans="76:76">
      <c r="BX610" s="129"/>
    </row>
    <row r="611" spans="76:76">
      <c r="BX611" s="129"/>
    </row>
    <row r="612" spans="76:76">
      <c r="BX612" s="129"/>
    </row>
    <row r="613" spans="76:76">
      <c r="BX613" s="129"/>
    </row>
    <row r="614" spans="76:76">
      <c r="BX614" s="129"/>
    </row>
    <row r="615" spans="76:76">
      <c r="BX615" s="129"/>
    </row>
    <row r="616" spans="76:76">
      <c r="BX616" s="129"/>
    </row>
    <row r="617" spans="76:76">
      <c r="BX617" s="129"/>
    </row>
    <row r="618" spans="76:76">
      <c r="BX618" s="129"/>
    </row>
    <row r="619" spans="76:76">
      <c r="BX619" s="129"/>
    </row>
    <row r="620" spans="76:76">
      <c r="BX620" s="129"/>
    </row>
    <row r="621" spans="76:76">
      <c r="BX621" s="129"/>
    </row>
    <row r="622" spans="76:76">
      <c r="BX622" s="129"/>
    </row>
    <row r="623" spans="76:76">
      <c r="BX623" s="129"/>
    </row>
    <row r="624" spans="76:76">
      <c r="BX624" s="129"/>
    </row>
    <row r="625" spans="76:76">
      <c r="BX625" s="129"/>
    </row>
    <row r="626" spans="76:76">
      <c r="BX626" s="129"/>
    </row>
    <row r="627" spans="76:76">
      <c r="BX627" s="129"/>
    </row>
    <row r="628" spans="76:76">
      <c r="BX628" s="129"/>
    </row>
    <row r="629" spans="76:76">
      <c r="BX629" s="129"/>
    </row>
    <row r="630" spans="76:76">
      <c r="BX630" s="129"/>
    </row>
    <row r="631" spans="76:76">
      <c r="BX631" s="129"/>
    </row>
    <row r="632" spans="76:76">
      <c r="BX632" s="129"/>
    </row>
    <row r="633" spans="76:76">
      <c r="BX633" s="129"/>
    </row>
    <row r="634" spans="76:76">
      <c r="BX634" s="129"/>
    </row>
    <row r="635" spans="76:76">
      <c r="BX635" s="129"/>
    </row>
    <row r="636" spans="76:76">
      <c r="BX636" s="129"/>
    </row>
    <row r="637" spans="76:76">
      <c r="BX637" s="129"/>
    </row>
    <row r="638" spans="76:76">
      <c r="BX638" s="129"/>
    </row>
    <row r="639" spans="76:76">
      <c r="BX639" s="129"/>
    </row>
    <row r="640" spans="76:76">
      <c r="BX640" s="129"/>
    </row>
    <row r="641" spans="76:76">
      <c r="BX641" s="129"/>
    </row>
    <row r="642" spans="76:76">
      <c r="BX642" s="129"/>
    </row>
    <row r="643" spans="76:76">
      <c r="BX643" s="129"/>
    </row>
    <row r="644" spans="76:76">
      <c r="BX644" s="129"/>
    </row>
    <row r="645" spans="76:76">
      <c r="BX645" s="129"/>
    </row>
    <row r="646" spans="76:76">
      <c r="BX646" s="129"/>
    </row>
    <row r="647" spans="76:76">
      <c r="BX647" s="129"/>
    </row>
    <row r="648" spans="76:76">
      <c r="BX648" s="129"/>
    </row>
    <row r="649" spans="76:76">
      <c r="BX649" s="129"/>
    </row>
    <row r="650" spans="76:76">
      <c r="BX650" s="129"/>
    </row>
    <row r="651" spans="76:76">
      <c r="BX651" s="129"/>
    </row>
    <row r="652" spans="76:76">
      <c r="BX652" s="129"/>
    </row>
    <row r="653" spans="76:76">
      <c r="BX653" s="129"/>
    </row>
    <row r="654" spans="76:76">
      <c r="BX654" s="129"/>
    </row>
    <row r="655" spans="76:76">
      <c r="BX655" s="129"/>
    </row>
    <row r="656" spans="76:76">
      <c r="BX656" s="129"/>
    </row>
    <row r="657" spans="76:76">
      <c r="BX657" s="129"/>
    </row>
    <row r="658" spans="76:76">
      <c r="BX658" s="129"/>
    </row>
    <row r="659" spans="76:76">
      <c r="BX659" s="129"/>
    </row>
    <row r="660" spans="76:76">
      <c r="BX660" s="129"/>
    </row>
    <row r="661" spans="76:76">
      <c r="BX661" s="129"/>
    </row>
    <row r="662" spans="76:76">
      <c r="BX662" s="129"/>
    </row>
    <row r="663" spans="76:76">
      <c r="BX663" s="129"/>
    </row>
    <row r="664" spans="76:76">
      <c r="BX664" s="129"/>
    </row>
    <row r="665" spans="76:76">
      <c r="BX665" s="129"/>
    </row>
    <row r="666" spans="76:76">
      <c r="BX666" s="129"/>
    </row>
    <row r="667" spans="76:76">
      <c r="BX667" s="129"/>
    </row>
    <row r="668" spans="76:76">
      <c r="BX668" s="129"/>
    </row>
    <row r="669" spans="76:76">
      <c r="BX669" s="129"/>
    </row>
    <row r="670" spans="76:76">
      <c r="BX670" s="129"/>
    </row>
    <row r="671" spans="76:76">
      <c r="BX671" s="129"/>
    </row>
    <row r="672" spans="76:76">
      <c r="BX672" s="129"/>
    </row>
    <row r="673" spans="76:76">
      <c r="BX673" s="129"/>
    </row>
    <row r="674" spans="76:76">
      <c r="BX674" s="129"/>
    </row>
    <row r="675" spans="76:76">
      <c r="BX675" s="129"/>
    </row>
    <row r="676" spans="76:76">
      <c r="BX676" s="129"/>
    </row>
    <row r="677" spans="76:76">
      <c r="BX677" s="129"/>
    </row>
    <row r="678" spans="76:76">
      <c r="BX678" s="129"/>
    </row>
    <row r="679" spans="76:76">
      <c r="BX679" s="129"/>
    </row>
    <row r="680" spans="76:76">
      <c r="BX680" s="129"/>
    </row>
    <row r="681" spans="76:76">
      <c r="BX681" s="129"/>
    </row>
    <row r="682" spans="76:76">
      <c r="BX682" s="129"/>
    </row>
    <row r="683" spans="76:76">
      <c r="BX683" s="129"/>
    </row>
    <row r="684" spans="76:76">
      <c r="BX684" s="129"/>
    </row>
    <row r="685" spans="76:76">
      <c r="BX685" s="129"/>
    </row>
    <row r="686" spans="76:76">
      <c r="BX686" s="129"/>
    </row>
    <row r="687" spans="76:76">
      <c r="BX687" s="129"/>
    </row>
    <row r="688" spans="76:76">
      <c r="BX688" s="129"/>
    </row>
    <row r="689" spans="76:76">
      <c r="BX689" s="129"/>
    </row>
    <row r="690" spans="76:76">
      <c r="BX690" s="129"/>
    </row>
    <row r="691" spans="76:76">
      <c r="BX691" s="129"/>
    </row>
    <row r="692" spans="76:76">
      <c r="BX692" s="129"/>
    </row>
    <row r="693" spans="76:76">
      <c r="BX693" s="129"/>
    </row>
    <row r="694" spans="76:76">
      <c r="BX694" s="129"/>
    </row>
    <row r="695" spans="76:76">
      <c r="BX695" s="129"/>
    </row>
    <row r="696" spans="76:76">
      <c r="BX696" s="129"/>
    </row>
    <row r="697" spans="76:76">
      <c r="BX697" s="129"/>
    </row>
    <row r="698" spans="76:76">
      <c r="BX698" s="129"/>
    </row>
    <row r="699" spans="76:76">
      <c r="BX699" s="129"/>
    </row>
    <row r="700" spans="76:76">
      <c r="BX700" s="129"/>
    </row>
    <row r="701" spans="76:76">
      <c r="BX701" s="129"/>
    </row>
    <row r="702" spans="76:76">
      <c r="BX702" s="129"/>
    </row>
    <row r="703" spans="76:76">
      <c r="BX703" s="129"/>
    </row>
    <row r="704" spans="76:76">
      <c r="BX704" s="129"/>
    </row>
    <row r="705" spans="76:76">
      <c r="BX705" s="129"/>
    </row>
    <row r="706" spans="76:76">
      <c r="BX706" s="129"/>
    </row>
    <row r="707" spans="76:76">
      <c r="BX707" s="129"/>
    </row>
    <row r="708" spans="76:76">
      <c r="BX708" s="129"/>
    </row>
    <row r="709" spans="76:76">
      <c r="BX709" s="129"/>
    </row>
    <row r="710" spans="76:76">
      <c r="BX710" s="129"/>
    </row>
    <row r="711" spans="76:76">
      <c r="BX711" s="129"/>
    </row>
    <row r="712" spans="76:76">
      <c r="BX712" s="129"/>
    </row>
    <row r="713" spans="76:76">
      <c r="BX713" s="129"/>
    </row>
    <row r="714" spans="76:76">
      <c r="BX714" s="129"/>
    </row>
    <row r="715" spans="76:76">
      <c r="BX715" s="129"/>
    </row>
    <row r="716" spans="76:76">
      <c r="BX716" s="129"/>
    </row>
    <row r="717" spans="76:76">
      <c r="BX717" s="129"/>
    </row>
    <row r="718" spans="76:76">
      <c r="BX718" s="129"/>
    </row>
    <row r="719" spans="76:76">
      <c r="BX719" s="129"/>
    </row>
    <row r="720" spans="76:76">
      <c r="BX720" s="129"/>
    </row>
    <row r="721" spans="76:76">
      <c r="BX721" s="129"/>
    </row>
    <row r="722" spans="76:76">
      <c r="BX722" s="129"/>
    </row>
    <row r="723" spans="76:76">
      <c r="BX723" s="129"/>
    </row>
    <row r="724" spans="76:76">
      <c r="BX724" s="129"/>
    </row>
    <row r="725" spans="76:76">
      <c r="BX725" s="129"/>
    </row>
    <row r="726" spans="76:76">
      <c r="BX726" s="129"/>
    </row>
    <row r="727" spans="76:76">
      <c r="BX727" s="129"/>
    </row>
    <row r="728" spans="76:76">
      <c r="BX728" s="129"/>
    </row>
    <row r="729" spans="76:76">
      <c r="BX729" s="129"/>
    </row>
    <row r="730" spans="76:76">
      <c r="BX730" s="129"/>
    </row>
    <row r="731" spans="76:76">
      <c r="BX731" s="129"/>
    </row>
    <row r="732" spans="76:76">
      <c r="BX732" s="129"/>
    </row>
    <row r="733" spans="76:76">
      <c r="BX733" s="129"/>
    </row>
    <row r="734" spans="76:76">
      <c r="BX734" s="129"/>
    </row>
    <row r="735" spans="76:76">
      <c r="BX735" s="129"/>
    </row>
    <row r="736" spans="76:76">
      <c r="BX736" s="129"/>
    </row>
    <row r="737" spans="76:76">
      <c r="BX737" s="129"/>
    </row>
    <row r="738" spans="76:76">
      <c r="BX738" s="129"/>
    </row>
    <row r="739" spans="76:76">
      <c r="BX739" s="129"/>
    </row>
    <row r="740" spans="76:76">
      <c r="BX740" s="129"/>
    </row>
    <row r="741" spans="76:76">
      <c r="BX741" s="129"/>
    </row>
    <row r="742" spans="76:76">
      <c r="BX742" s="129"/>
    </row>
    <row r="743" spans="76:76">
      <c r="BX743" s="129"/>
    </row>
    <row r="744" spans="76:76">
      <c r="BX744" s="129"/>
    </row>
    <row r="745" spans="76:76">
      <c r="BX745" s="129"/>
    </row>
    <row r="746" spans="76:76">
      <c r="BX746" s="129"/>
    </row>
    <row r="747" spans="76:76">
      <c r="BX747" s="129"/>
    </row>
    <row r="748" spans="76:76">
      <c r="BX748" s="129"/>
    </row>
    <row r="749" spans="76:76">
      <c r="BX749" s="129"/>
    </row>
    <row r="750" spans="76:76">
      <c r="BX750" s="129"/>
    </row>
    <row r="751" spans="76:76">
      <c r="BX751" s="129"/>
    </row>
    <row r="752" spans="76:76">
      <c r="BX752" s="129"/>
    </row>
    <row r="753" spans="76:76">
      <c r="BX753" s="129"/>
    </row>
    <row r="754" spans="76:76">
      <c r="BX754" s="129"/>
    </row>
    <row r="755" spans="76:76">
      <c r="BX755" s="129"/>
    </row>
    <row r="756" spans="76:76">
      <c r="BX756" s="129"/>
    </row>
    <row r="757" spans="76:76">
      <c r="BX757" s="129"/>
    </row>
    <row r="758" spans="76:76">
      <c r="BX758" s="129"/>
    </row>
    <row r="759" spans="76:76">
      <c r="BX759" s="129"/>
    </row>
    <row r="760" spans="76:76">
      <c r="BX760" s="129"/>
    </row>
    <row r="761" spans="76:76">
      <c r="BX761" s="129"/>
    </row>
    <row r="762" spans="76:76">
      <c r="BX762" s="129"/>
    </row>
    <row r="763" spans="76:76">
      <c r="BX763" s="129"/>
    </row>
    <row r="764" spans="76:76">
      <c r="BX764" s="129"/>
    </row>
    <row r="765" spans="76:76">
      <c r="BX765" s="129"/>
    </row>
    <row r="766" spans="76:76">
      <c r="BX766" s="129"/>
    </row>
    <row r="767" spans="76:76">
      <c r="BX767" s="129"/>
    </row>
    <row r="768" spans="76:76">
      <c r="BX768" s="129"/>
    </row>
    <row r="769" spans="76:76">
      <c r="BX769" s="129"/>
    </row>
    <row r="770" spans="76:76">
      <c r="BX770" s="129"/>
    </row>
    <row r="771" spans="76:76">
      <c r="BX771" s="129"/>
    </row>
    <row r="772" spans="76:76">
      <c r="BX772" s="129"/>
    </row>
    <row r="773" spans="76:76">
      <c r="BX773" s="129"/>
    </row>
    <row r="774" spans="76:76">
      <c r="BX774" s="129"/>
    </row>
    <row r="775" spans="76:76">
      <c r="BX775" s="129"/>
    </row>
    <row r="776" spans="76:76">
      <c r="BX776" s="129"/>
    </row>
    <row r="777" spans="76:76">
      <c r="BX777" s="129"/>
    </row>
    <row r="778" spans="76:76">
      <c r="BX778" s="129"/>
    </row>
    <row r="779" spans="76:76">
      <c r="BX779" s="129"/>
    </row>
    <row r="780" spans="76:76">
      <c r="BX780" s="129"/>
    </row>
    <row r="781" spans="76:76">
      <c r="BX781" s="129"/>
    </row>
    <row r="782" spans="76:76">
      <c r="BX782" s="129"/>
    </row>
    <row r="783" spans="76:76">
      <c r="BX783" s="129"/>
    </row>
    <row r="784" spans="76:76">
      <c r="BX784" s="129"/>
    </row>
    <row r="785" spans="76:76">
      <c r="BX785" s="129"/>
    </row>
    <row r="786" spans="76:76">
      <c r="BX786" s="129"/>
    </row>
    <row r="787" spans="76:76">
      <c r="BX787" s="129"/>
    </row>
    <row r="788" spans="76:76">
      <c r="BX788" s="129"/>
    </row>
    <row r="789" spans="76:76">
      <c r="BX789" s="129"/>
    </row>
    <row r="790" spans="76:76">
      <c r="BX790" s="129"/>
    </row>
    <row r="791" spans="76:76">
      <c r="BX791" s="129"/>
    </row>
    <row r="792" spans="76:76">
      <c r="BX792" s="129"/>
    </row>
    <row r="793" spans="76:76">
      <c r="BX793" s="129"/>
    </row>
    <row r="794" spans="76:76">
      <c r="BX794" s="129"/>
    </row>
    <row r="795" spans="76:76">
      <c r="BX795" s="129"/>
    </row>
    <row r="796" spans="76:76">
      <c r="BX796" s="129"/>
    </row>
    <row r="797" spans="76:76">
      <c r="BX797" s="129"/>
    </row>
    <row r="798" spans="76:76">
      <c r="BX798" s="129"/>
    </row>
    <row r="799" spans="76:76">
      <c r="BX799" s="129"/>
    </row>
    <row r="800" spans="76:76">
      <c r="BX800" s="129"/>
    </row>
    <row r="801" spans="76:76">
      <c r="BX801" s="129"/>
    </row>
    <row r="802" spans="76:76">
      <c r="BX802" s="129"/>
    </row>
    <row r="803" spans="76:76">
      <c r="BX803" s="129"/>
    </row>
    <row r="804" spans="76:76">
      <c r="BX804" s="129"/>
    </row>
    <row r="805" spans="76:76">
      <c r="BX805" s="129"/>
    </row>
    <row r="806" spans="76:76">
      <c r="BX806" s="129"/>
    </row>
    <row r="807" spans="76:76">
      <c r="BX807" s="129"/>
    </row>
    <row r="808" spans="76:76">
      <c r="BX808" s="129"/>
    </row>
    <row r="809" spans="76:76">
      <c r="BX809" s="129"/>
    </row>
    <row r="810" spans="76:76">
      <c r="BX810" s="129"/>
    </row>
    <row r="811" spans="76:76">
      <c r="BX811" s="129"/>
    </row>
    <row r="812" spans="76:76">
      <c r="BX812" s="129"/>
    </row>
    <row r="813" spans="76:76">
      <c r="BX813" s="129"/>
    </row>
    <row r="814" spans="76:76">
      <c r="BX814" s="129"/>
    </row>
    <row r="815" spans="76:76">
      <c r="BX815" s="129"/>
    </row>
    <row r="816" spans="76:76">
      <c r="BX816" s="129"/>
    </row>
    <row r="817" spans="76:76">
      <c r="BX817" s="129"/>
    </row>
    <row r="818" spans="76:76">
      <c r="BX818" s="129"/>
    </row>
    <row r="819" spans="76:76">
      <c r="BX819" s="129"/>
    </row>
    <row r="820" spans="76:76">
      <c r="BX820" s="129"/>
    </row>
    <row r="821" spans="76:76">
      <c r="BX821" s="129"/>
    </row>
    <row r="822" spans="76:76">
      <c r="BX822" s="129"/>
    </row>
    <row r="823" spans="76:76">
      <c r="BX823" s="129"/>
    </row>
    <row r="824" spans="76:76">
      <c r="BX824" s="129"/>
    </row>
    <row r="825" spans="76:76">
      <c r="BX825" s="129"/>
    </row>
    <row r="826" spans="76:76">
      <c r="BX826" s="129"/>
    </row>
    <row r="827" spans="76:76">
      <c r="BX827" s="129"/>
    </row>
    <row r="828" spans="76:76">
      <c r="BX828" s="129"/>
    </row>
    <row r="829" spans="76:76">
      <c r="BX829" s="129"/>
    </row>
    <row r="830" spans="76:76">
      <c r="BX830" s="129"/>
    </row>
    <row r="831" spans="76:76">
      <c r="BX831" s="129"/>
    </row>
    <row r="832" spans="76:76">
      <c r="BX832" s="129"/>
    </row>
    <row r="833" spans="76:76">
      <c r="BX833" s="129"/>
    </row>
    <row r="834" spans="76:76">
      <c r="BX834" s="129"/>
    </row>
    <row r="835" spans="76:76">
      <c r="BX835" s="129"/>
    </row>
    <row r="836" spans="76:76">
      <c r="BX836" s="129"/>
    </row>
    <row r="837" spans="76:76">
      <c r="BX837" s="129"/>
    </row>
    <row r="838" spans="76:76">
      <c r="BX838" s="129"/>
    </row>
    <row r="839" spans="76:76">
      <c r="BX839" s="129"/>
    </row>
    <row r="840" spans="76:76">
      <c r="BX840" s="129"/>
    </row>
    <row r="841" spans="76:76">
      <c r="BX841" s="129"/>
    </row>
    <row r="842" spans="76:76">
      <c r="BX842" s="129"/>
    </row>
    <row r="843" spans="76:76">
      <c r="BX843" s="129"/>
    </row>
    <row r="844" spans="76:76">
      <c r="BX844" s="129"/>
    </row>
    <row r="845" spans="76:76">
      <c r="BX845" s="129"/>
    </row>
    <row r="846" spans="76:76">
      <c r="BX846" s="129"/>
    </row>
    <row r="847" spans="76:76">
      <c r="BX847" s="129"/>
    </row>
    <row r="848" spans="76:76">
      <c r="BX848" s="129"/>
    </row>
    <row r="849" spans="76:76">
      <c r="BX849" s="129"/>
    </row>
    <row r="850" spans="76:76">
      <c r="BX850" s="129"/>
    </row>
    <row r="851" spans="76:76">
      <c r="BX851" s="129"/>
    </row>
    <row r="852" spans="76:76">
      <c r="BX852" s="129"/>
    </row>
    <row r="853" spans="76:76">
      <c r="BX853" s="129"/>
    </row>
    <row r="854" spans="76:76">
      <c r="BX854" s="129"/>
    </row>
    <row r="855" spans="76:76">
      <c r="BX855" s="129"/>
    </row>
    <row r="856" spans="76:76">
      <c r="BX856" s="129"/>
    </row>
    <row r="857" spans="76:76">
      <c r="BX857" s="129"/>
    </row>
    <row r="858" spans="76:76">
      <c r="BX858" s="129"/>
    </row>
    <row r="859" spans="76:76">
      <c r="BX859" s="129"/>
    </row>
    <row r="860" spans="76:76">
      <c r="BX860" s="129"/>
    </row>
    <row r="861" spans="76:76">
      <c r="BX861" s="129"/>
    </row>
    <row r="862" spans="76:76">
      <c r="BX862" s="129"/>
    </row>
    <row r="863" spans="76:76">
      <c r="BX863" s="129"/>
    </row>
    <row r="864" spans="76:76">
      <c r="BX864" s="129"/>
    </row>
    <row r="865" spans="76:76">
      <c r="BX865" s="129"/>
    </row>
    <row r="866" spans="76:76">
      <c r="BX866" s="129"/>
    </row>
    <row r="867" spans="76:76">
      <c r="BX867" s="129"/>
    </row>
    <row r="868" spans="76:76">
      <c r="BX868" s="129"/>
    </row>
    <row r="869" spans="76:76">
      <c r="BX869" s="129"/>
    </row>
    <row r="870" spans="76:76">
      <c r="BX870" s="129"/>
    </row>
    <row r="871" spans="76:76">
      <c r="BX871" s="129"/>
    </row>
    <row r="872" spans="76:76">
      <c r="BX872" s="129"/>
    </row>
    <row r="873" spans="76:76">
      <c r="BX873" s="129"/>
    </row>
    <row r="874" spans="76:76">
      <c r="BX874" s="129"/>
    </row>
    <row r="875" spans="76:76">
      <c r="BX875" s="129"/>
    </row>
    <row r="876" spans="76:76">
      <c r="BX876" s="129"/>
    </row>
    <row r="877" spans="76:76">
      <c r="BX877" s="129"/>
    </row>
    <row r="878" spans="76:76">
      <c r="BX878" s="129"/>
    </row>
    <row r="879" spans="76:76">
      <c r="BX879" s="129"/>
    </row>
    <row r="880" spans="76:76">
      <c r="BX880" s="129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GA890"/>
  <sheetViews>
    <sheetView view="pageBreakPreview" zoomScale="91" zoomScaleSheetLayoutView="91" workbookViewId="0">
      <pane xSplit="4" ySplit="4" topLeftCell="BX49" activePane="bottomRight" state="frozen"/>
      <selection activeCell="E21" sqref="E21"/>
      <selection pane="topRight" activeCell="E21" sqref="E21"/>
      <selection pane="bottomLeft" activeCell="E21" sqref="E21"/>
      <selection pane="bottomRight" activeCell="CH76" sqref="CH76"/>
    </sheetView>
  </sheetViews>
  <sheetFormatPr defaultRowHeight="12.75"/>
  <cols>
    <col min="1" max="1" width="4.42578125" style="112" customWidth="1"/>
    <col min="2" max="2" width="23.42578125" style="112" customWidth="1"/>
    <col min="3" max="3" width="9.140625" style="112"/>
    <col min="4" max="4" width="1.5703125" style="112" customWidth="1"/>
    <col min="5" max="5" width="6.42578125" style="112" customWidth="1"/>
    <col min="6" max="6" width="8.42578125" style="456" customWidth="1"/>
    <col min="7" max="7" width="8.140625" style="147" customWidth="1"/>
    <col min="8" max="8" width="6" style="112" customWidth="1"/>
    <col min="9" max="9" width="5.85546875" style="112" customWidth="1"/>
    <col min="10" max="10" width="10.140625" style="456" customWidth="1"/>
    <col min="11" max="11" width="4.5703125" style="112" customWidth="1"/>
    <col min="12" max="12" width="6" style="112" customWidth="1"/>
    <col min="13" max="13" width="6.140625" style="112" customWidth="1"/>
    <col min="14" max="14" width="7" style="456" customWidth="1"/>
    <col min="15" max="15" width="7.85546875" style="112" customWidth="1"/>
    <col min="16" max="16" width="6.28515625" style="112" customWidth="1"/>
    <col min="17" max="17" width="5.7109375" style="112" customWidth="1"/>
    <col min="18" max="18" width="6.7109375" style="456" customWidth="1"/>
    <col min="19" max="19" width="4" style="112" customWidth="1"/>
    <col min="20" max="20" width="6.140625" style="112" customWidth="1"/>
    <col min="21" max="21" width="6" style="112" customWidth="1"/>
    <col min="22" max="22" width="6.42578125" style="456" customWidth="1"/>
    <col min="23" max="23" width="5.42578125" style="112" customWidth="1"/>
    <col min="24" max="24" width="7.28515625" style="112" customWidth="1"/>
    <col min="25" max="25" width="5.5703125" style="112" customWidth="1"/>
    <col min="26" max="26" width="6.5703125" style="456" customWidth="1"/>
    <col min="27" max="27" width="4" style="112" customWidth="1"/>
    <col min="28" max="28" width="5.7109375" style="112" customWidth="1"/>
    <col min="29" max="29" width="6.140625" style="112" customWidth="1"/>
    <col min="30" max="30" width="9.28515625" style="456" customWidth="1"/>
    <col min="31" max="31" width="5.140625" style="112" customWidth="1"/>
    <col min="32" max="32" width="6.42578125" style="112" customWidth="1"/>
    <col min="33" max="33" width="7.42578125" style="112" customWidth="1"/>
    <col min="34" max="34" width="8.42578125" style="456" customWidth="1"/>
    <col min="35" max="35" width="5.28515625" style="112" customWidth="1"/>
    <col min="36" max="36" width="7.140625" style="112" customWidth="1"/>
    <col min="37" max="37" width="5.7109375" style="112" customWidth="1"/>
    <col min="38" max="38" width="6.85546875" style="456" customWidth="1"/>
    <col min="39" max="39" width="4" style="112" customWidth="1"/>
    <col min="40" max="40" width="4.7109375" style="112" customWidth="1"/>
    <col min="41" max="41" width="5.140625" style="112" customWidth="1"/>
    <col min="42" max="42" width="5.5703125" style="456" customWidth="1"/>
    <col min="43" max="43" width="8.28515625" style="112" customWidth="1"/>
    <col min="44" max="44" width="5.28515625" style="112" customWidth="1"/>
    <col min="45" max="45" width="6.140625" style="112" customWidth="1"/>
    <col min="46" max="46" width="7" style="456" customWidth="1"/>
    <col min="47" max="47" width="9" style="112" customWidth="1"/>
    <col min="48" max="48" width="5.140625" style="112" customWidth="1"/>
    <col min="49" max="49" width="5.5703125" style="112" customWidth="1"/>
    <col min="50" max="50" width="5.42578125" style="456" customWidth="1"/>
    <col min="51" max="51" width="7.28515625" style="112" customWidth="1"/>
    <col min="52" max="52" width="4.5703125" style="112" customWidth="1"/>
    <col min="53" max="53" width="8.7109375" style="112" customWidth="1"/>
    <col min="54" max="54" width="11.140625" style="456" customWidth="1"/>
    <col min="55" max="56" width="5.85546875" style="112" customWidth="1"/>
    <col min="57" max="57" width="6" style="112" customWidth="1"/>
    <col min="58" max="58" width="6.140625" style="456" customWidth="1"/>
    <col min="59" max="60" width="4" style="112" customWidth="1"/>
    <col min="61" max="61" width="5" style="112" customWidth="1"/>
    <col min="62" max="62" width="5" style="456" customWidth="1"/>
    <col min="63" max="63" width="4" style="112" customWidth="1"/>
    <col min="64" max="64" width="5.28515625" style="112" customWidth="1"/>
    <col min="65" max="65" width="6" style="112" customWidth="1"/>
    <col min="66" max="66" width="4.7109375" style="456" customWidth="1"/>
    <col min="67" max="67" width="3.85546875" style="112" customWidth="1"/>
    <col min="68" max="68" width="5.140625" style="112" customWidth="1"/>
    <col min="69" max="69" width="6.28515625" style="112" customWidth="1"/>
    <col min="70" max="70" width="8.140625" style="456" customWidth="1"/>
    <col min="71" max="71" width="7.85546875" style="112" customWidth="1"/>
    <col min="72" max="72" width="11" style="112" customWidth="1"/>
    <col min="73" max="73" width="5" style="112" customWidth="1"/>
    <col min="74" max="74" width="6.5703125" style="456" customWidth="1"/>
    <col min="75" max="75" width="6.140625" style="112" customWidth="1"/>
    <col min="76" max="76" width="4" style="112" customWidth="1"/>
    <col min="77" max="77" width="6.42578125" style="112" customWidth="1"/>
    <col min="78" max="78" width="7.85546875" style="456" customWidth="1"/>
    <col min="79" max="79" width="8" style="112" customWidth="1"/>
    <col min="80" max="80" width="5.85546875" style="148" customWidth="1"/>
    <col min="81" max="81" width="4.5703125" style="129" customWidth="1"/>
    <col min="82" max="82" width="6" style="455" customWidth="1"/>
    <col min="83" max="84" width="4" style="129" customWidth="1"/>
    <col min="85" max="85" width="6.7109375" style="129" customWidth="1"/>
    <col min="86" max="86" width="8.140625" style="455" customWidth="1"/>
    <col min="87" max="87" width="4" style="129" customWidth="1"/>
    <col min="88" max="88" width="4.85546875" style="129" customWidth="1"/>
    <col min="89" max="89" width="8.85546875" style="112" customWidth="1"/>
    <col min="90" max="90" width="11.28515625" style="674" customWidth="1"/>
    <col min="91" max="91" width="9.42578125" style="112" customWidth="1"/>
    <col min="92" max="92" width="7" style="112" customWidth="1"/>
    <col min="93" max="96" width="9.140625" style="112" hidden="1" customWidth="1"/>
    <col min="97" max="101" width="0" style="112" hidden="1" customWidth="1"/>
    <col min="102" max="183" width="9.140625" style="456"/>
    <col min="184" max="16384" width="9.140625" style="112"/>
  </cols>
  <sheetData>
    <row r="1" spans="1:183" ht="18.75">
      <c r="A1" s="912" t="s">
        <v>961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301"/>
      <c r="Y1" s="301"/>
      <c r="Z1" s="586"/>
      <c r="AA1" s="301"/>
      <c r="AB1" s="301"/>
      <c r="AC1" s="301"/>
      <c r="AD1" s="586"/>
      <c r="AE1" s="301"/>
      <c r="AF1" s="301"/>
      <c r="AG1" s="301"/>
      <c r="AH1" s="586"/>
      <c r="AI1" s="301"/>
      <c r="AJ1" s="301"/>
      <c r="AK1" s="301"/>
      <c r="AL1" s="586"/>
      <c r="AM1" s="301"/>
      <c r="AN1" s="301"/>
      <c r="AO1" s="301"/>
      <c r="AP1" s="586"/>
      <c r="AQ1" s="301"/>
      <c r="AR1" s="301"/>
      <c r="AS1" s="301"/>
      <c r="AT1" s="586"/>
      <c r="AU1" s="301"/>
      <c r="AV1" s="301"/>
      <c r="AW1" s="301"/>
      <c r="AX1" s="586"/>
      <c r="AY1" s="301"/>
      <c r="AZ1" s="301"/>
      <c r="BA1" s="301"/>
      <c r="BB1" s="586"/>
      <c r="BC1" s="301"/>
      <c r="BD1" s="301"/>
      <c r="BE1" s="301"/>
      <c r="BF1" s="586"/>
      <c r="BG1" s="301"/>
      <c r="BH1" s="301"/>
      <c r="BI1" s="301"/>
      <c r="BJ1" s="586"/>
      <c r="BK1" s="301"/>
      <c r="BL1" s="301"/>
      <c r="BM1" s="301"/>
      <c r="BN1" s="586"/>
      <c r="BO1" s="301"/>
      <c r="BP1" s="301"/>
      <c r="BQ1" s="301"/>
      <c r="BR1" s="586"/>
      <c r="BS1" s="301"/>
      <c r="BT1" s="301"/>
      <c r="BU1" s="301"/>
      <c r="BV1" s="586"/>
      <c r="BW1" s="301"/>
      <c r="BX1" s="301"/>
      <c r="BY1" s="301"/>
      <c r="BZ1" s="586"/>
      <c r="CA1" s="301"/>
      <c r="CB1" s="301"/>
      <c r="CC1" s="301"/>
      <c r="CD1" s="586"/>
      <c r="CE1" s="301"/>
      <c r="CF1" s="301"/>
      <c r="CG1" s="301"/>
      <c r="CH1" s="586"/>
      <c r="CI1" s="301"/>
      <c r="CK1" s="301"/>
      <c r="CL1" s="659" t="s">
        <v>638</v>
      </c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454"/>
      <c r="CY1" s="454"/>
      <c r="CZ1" s="454"/>
      <c r="DA1" s="454"/>
      <c r="DB1" s="454"/>
      <c r="DC1" s="454"/>
      <c r="DD1" s="454"/>
      <c r="DE1" s="454"/>
      <c r="DF1" s="454"/>
      <c r="DG1" s="454"/>
      <c r="DH1" s="454"/>
      <c r="DI1" s="454"/>
      <c r="DJ1" s="454"/>
      <c r="DK1" s="454"/>
      <c r="DL1" s="454"/>
      <c r="DM1" s="454"/>
      <c r="DN1" s="454"/>
      <c r="DO1" s="454"/>
      <c r="DP1" s="454"/>
      <c r="DQ1" s="454"/>
      <c r="DR1" s="454"/>
      <c r="DS1" s="454"/>
      <c r="DT1" s="454"/>
      <c r="DU1" s="455"/>
      <c r="DV1" s="455"/>
      <c r="DW1" s="455"/>
      <c r="DX1" s="455"/>
      <c r="DY1" s="455"/>
      <c r="DZ1" s="455"/>
      <c r="EA1" s="455"/>
      <c r="EB1" s="455"/>
    </row>
    <row r="2" spans="1:183" s="131" customFormat="1">
      <c r="A2" s="271"/>
      <c r="B2" s="271"/>
      <c r="C2" s="271"/>
      <c r="D2" s="271"/>
      <c r="E2" s="271"/>
      <c r="F2" s="589"/>
      <c r="G2" s="271"/>
      <c r="H2" s="271"/>
      <c r="I2" s="271"/>
      <c r="J2" s="589"/>
      <c r="K2" s="271"/>
      <c r="L2" s="271"/>
      <c r="M2" s="271"/>
      <c r="N2" s="589"/>
      <c r="O2" s="271"/>
      <c r="P2" s="271"/>
      <c r="Q2" s="271"/>
      <c r="R2" s="589"/>
      <c r="S2" s="271"/>
      <c r="T2" s="271"/>
      <c r="U2" s="271"/>
      <c r="V2" s="589"/>
      <c r="W2" s="271"/>
      <c r="X2" s="128"/>
      <c r="Y2" s="271"/>
      <c r="Z2" s="589"/>
      <c r="AA2" s="128"/>
      <c r="AB2" s="128"/>
      <c r="AC2" s="271"/>
      <c r="AD2" s="589"/>
      <c r="AE2" s="128"/>
      <c r="AF2" s="128"/>
      <c r="AG2" s="128"/>
      <c r="AH2" s="454"/>
      <c r="AI2" s="128"/>
      <c r="AJ2" s="128"/>
      <c r="AK2" s="128"/>
      <c r="AL2" s="454"/>
      <c r="AM2" s="128"/>
      <c r="AN2" s="128"/>
      <c r="AO2" s="128"/>
      <c r="AP2" s="454"/>
      <c r="AQ2" s="128"/>
      <c r="AR2" s="128"/>
      <c r="AS2" s="128"/>
      <c r="AT2" s="454"/>
      <c r="AU2" s="128"/>
      <c r="AV2" s="128"/>
      <c r="AW2" s="128"/>
      <c r="AX2" s="454"/>
      <c r="AY2" s="128"/>
      <c r="AZ2" s="128"/>
      <c r="BA2" s="128"/>
      <c r="BB2" s="454"/>
      <c r="BC2" s="128"/>
      <c r="BD2" s="128"/>
      <c r="BE2" s="128"/>
      <c r="BF2" s="454"/>
      <c r="BG2" s="128"/>
      <c r="BH2" s="128"/>
      <c r="BI2" s="128"/>
      <c r="BJ2" s="454"/>
      <c r="BK2" s="128"/>
      <c r="BL2" s="128"/>
      <c r="BM2" s="128"/>
      <c r="BN2" s="454"/>
      <c r="BO2" s="128"/>
      <c r="BP2" s="128"/>
      <c r="BQ2" s="281"/>
      <c r="BR2" s="589"/>
      <c r="BS2" s="305"/>
      <c r="BT2" s="305"/>
      <c r="BU2" s="271"/>
      <c r="BV2" s="589"/>
      <c r="BW2" s="128"/>
      <c r="BX2" s="128"/>
      <c r="BY2" s="271"/>
      <c r="BZ2" s="589"/>
      <c r="CA2" s="128"/>
      <c r="CB2" s="128"/>
      <c r="CC2" s="128"/>
      <c r="CD2" s="454"/>
      <c r="CE2" s="128"/>
      <c r="CF2" s="128"/>
      <c r="CG2" s="128"/>
      <c r="CH2" s="454"/>
      <c r="CI2" s="128"/>
      <c r="CJ2" s="128"/>
      <c r="CK2" s="128" t="s">
        <v>257</v>
      </c>
      <c r="CL2" s="660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454"/>
      <c r="CY2" s="454"/>
      <c r="CZ2" s="454"/>
      <c r="DA2" s="454"/>
      <c r="DB2" s="454"/>
      <c r="DC2" s="454"/>
      <c r="DD2" s="454"/>
      <c r="DE2" s="454"/>
      <c r="DF2" s="454"/>
      <c r="DG2" s="454"/>
      <c r="DH2" s="454"/>
      <c r="DI2" s="454"/>
      <c r="DJ2" s="454"/>
      <c r="DK2" s="454"/>
      <c r="DL2" s="454"/>
      <c r="DM2" s="454"/>
      <c r="DN2" s="454"/>
      <c r="DO2" s="454"/>
      <c r="DP2" s="454"/>
      <c r="DQ2" s="454"/>
      <c r="DR2" s="454"/>
      <c r="DS2" s="454"/>
      <c r="DT2" s="454"/>
      <c r="DU2" s="455"/>
      <c r="DV2" s="455"/>
      <c r="DW2" s="455"/>
      <c r="DX2" s="455"/>
      <c r="DY2" s="455"/>
      <c r="DZ2" s="455"/>
      <c r="EA2" s="455"/>
      <c r="EB2" s="455"/>
      <c r="EC2" s="457"/>
      <c r="ED2" s="457"/>
      <c r="EE2" s="457"/>
      <c r="EF2" s="457"/>
      <c r="EG2" s="457"/>
      <c r="EH2" s="457"/>
      <c r="EI2" s="457"/>
      <c r="EJ2" s="457"/>
      <c r="EK2" s="457"/>
      <c r="EL2" s="457"/>
      <c r="EM2" s="457"/>
      <c r="EN2" s="457"/>
      <c r="EO2" s="457"/>
      <c r="EP2" s="457"/>
      <c r="EQ2" s="457"/>
      <c r="ER2" s="457"/>
      <c r="ES2" s="457"/>
      <c r="ET2" s="457"/>
      <c r="EU2" s="457"/>
      <c r="EV2" s="457"/>
      <c r="EW2" s="457"/>
      <c r="EX2" s="457"/>
      <c r="EY2" s="457"/>
      <c r="EZ2" s="457"/>
      <c r="FA2" s="457"/>
      <c r="FB2" s="457"/>
      <c r="FC2" s="457"/>
      <c r="FD2" s="457"/>
      <c r="FE2" s="457"/>
      <c r="FF2" s="457"/>
      <c r="FG2" s="457"/>
      <c r="FH2" s="457"/>
      <c r="FI2" s="457"/>
      <c r="FJ2" s="457"/>
      <c r="FK2" s="457"/>
      <c r="FL2" s="457"/>
      <c r="FM2" s="457"/>
      <c r="FN2" s="457"/>
      <c r="FO2" s="457"/>
      <c r="FP2" s="457"/>
      <c r="FQ2" s="457"/>
      <c r="FR2" s="457"/>
      <c r="FS2" s="457"/>
      <c r="FT2" s="457"/>
      <c r="FU2" s="457"/>
      <c r="FV2" s="457"/>
      <c r="FW2" s="457"/>
      <c r="FX2" s="457"/>
      <c r="FY2" s="457"/>
      <c r="FZ2" s="457"/>
      <c r="GA2" s="457"/>
    </row>
    <row r="3" spans="1:183" s="133" customFormat="1" ht="54" customHeight="1">
      <c r="A3" s="911"/>
      <c r="B3" s="911"/>
      <c r="C3" s="911"/>
      <c r="D3" s="911"/>
      <c r="E3" s="1007" t="s">
        <v>187</v>
      </c>
      <c r="F3" s="1007"/>
      <c r="G3" s="1007"/>
      <c r="H3" s="1007"/>
      <c r="I3" s="1007" t="s">
        <v>188</v>
      </c>
      <c r="J3" s="1007"/>
      <c r="K3" s="1007"/>
      <c r="L3" s="1007"/>
      <c r="M3" s="1007" t="s">
        <v>189</v>
      </c>
      <c r="N3" s="1007"/>
      <c r="O3" s="1007"/>
      <c r="P3" s="1007"/>
      <c r="Q3" s="1007" t="s">
        <v>190</v>
      </c>
      <c r="R3" s="1007"/>
      <c r="S3" s="1007"/>
      <c r="T3" s="1007"/>
      <c r="U3" s="1007" t="s">
        <v>191</v>
      </c>
      <c r="V3" s="1007"/>
      <c r="W3" s="1007"/>
      <c r="X3" s="1007"/>
      <c r="Y3" s="1007" t="s">
        <v>192</v>
      </c>
      <c r="Z3" s="1007"/>
      <c r="AA3" s="1007"/>
      <c r="AB3" s="1007"/>
      <c r="AC3" s="1007" t="s">
        <v>193</v>
      </c>
      <c r="AD3" s="1007"/>
      <c r="AE3" s="1007"/>
      <c r="AF3" s="1007"/>
      <c r="AG3" s="1004" t="s">
        <v>194</v>
      </c>
      <c r="AH3" s="1005"/>
      <c r="AI3" s="1005"/>
      <c r="AJ3" s="1006"/>
      <c r="AK3" s="1004" t="s">
        <v>288</v>
      </c>
      <c r="AL3" s="1005"/>
      <c r="AM3" s="1005"/>
      <c r="AN3" s="1006"/>
      <c r="AO3" s="1004" t="s">
        <v>402</v>
      </c>
      <c r="AP3" s="1005"/>
      <c r="AQ3" s="1005"/>
      <c r="AR3" s="1006"/>
      <c r="AS3" s="1004" t="s">
        <v>403</v>
      </c>
      <c r="AT3" s="1005"/>
      <c r="AU3" s="1005"/>
      <c r="AV3" s="1006"/>
      <c r="AW3" s="1004" t="s">
        <v>404</v>
      </c>
      <c r="AX3" s="1005"/>
      <c r="AY3" s="1005"/>
      <c r="AZ3" s="1006"/>
      <c r="BA3" s="1004" t="s">
        <v>406</v>
      </c>
      <c r="BB3" s="1005"/>
      <c r="BC3" s="1005"/>
      <c r="BD3" s="1006"/>
      <c r="BE3" s="1004" t="s">
        <v>611</v>
      </c>
      <c r="BF3" s="1005"/>
      <c r="BG3" s="1005"/>
      <c r="BH3" s="1006"/>
      <c r="BI3" s="1004" t="s">
        <v>421</v>
      </c>
      <c r="BJ3" s="1005"/>
      <c r="BK3" s="1005"/>
      <c r="BL3" s="1006"/>
      <c r="BM3" s="1004" t="s">
        <v>405</v>
      </c>
      <c r="BN3" s="1005"/>
      <c r="BO3" s="1005"/>
      <c r="BP3" s="1006"/>
      <c r="BQ3" s="1032" t="s">
        <v>617</v>
      </c>
      <c r="BR3" s="1033"/>
      <c r="BS3" s="1033"/>
      <c r="BT3" s="1034"/>
      <c r="BU3" s="1007" t="s">
        <v>71</v>
      </c>
      <c r="BV3" s="1007"/>
      <c r="BW3" s="1007"/>
      <c r="BX3" s="1007"/>
      <c r="BY3" s="1007" t="s">
        <v>624</v>
      </c>
      <c r="BZ3" s="1007"/>
      <c r="CA3" s="1007"/>
      <c r="CB3" s="1004"/>
      <c r="CC3" s="1004" t="s">
        <v>400</v>
      </c>
      <c r="CD3" s="1005"/>
      <c r="CE3" s="1005"/>
      <c r="CF3" s="1006"/>
      <c r="CG3" s="1004" t="s">
        <v>621</v>
      </c>
      <c r="CH3" s="1005"/>
      <c r="CI3" s="1005"/>
      <c r="CJ3" s="1006"/>
      <c r="CK3" s="1004" t="s">
        <v>195</v>
      </c>
      <c r="CL3" s="1005"/>
      <c r="CM3" s="1005"/>
      <c r="CN3" s="1006"/>
      <c r="CO3" s="132"/>
      <c r="CP3" s="132"/>
      <c r="CQ3" s="132"/>
      <c r="CR3" s="132"/>
      <c r="CS3" s="132"/>
      <c r="CT3" s="1012" t="s">
        <v>760</v>
      </c>
      <c r="CU3" s="1012" t="s">
        <v>761</v>
      </c>
      <c r="CV3" s="1012" t="s">
        <v>762</v>
      </c>
      <c r="CW3" s="1012"/>
      <c r="CX3" s="1013"/>
      <c r="CY3" s="1013"/>
      <c r="CZ3" s="455"/>
      <c r="DA3" s="455"/>
      <c r="DB3" s="455"/>
      <c r="DC3" s="455"/>
      <c r="DD3" s="455"/>
      <c r="DE3" s="455"/>
      <c r="DF3" s="455"/>
      <c r="DG3" s="455"/>
      <c r="DH3" s="455"/>
      <c r="DI3" s="455"/>
      <c r="DJ3" s="455"/>
      <c r="DK3" s="455"/>
      <c r="DL3" s="455"/>
      <c r="DM3" s="455"/>
      <c r="DN3" s="455"/>
      <c r="DO3" s="455"/>
      <c r="DP3" s="455"/>
      <c r="DQ3" s="455"/>
      <c r="DR3" s="455"/>
      <c r="DS3" s="455"/>
      <c r="DT3" s="455"/>
      <c r="DU3" s="455"/>
      <c r="DV3" s="455"/>
      <c r="DW3" s="455"/>
      <c r="DX3" s="455"/>
      <c r="DY3" s="455"/>
      <c r="DZ3" s="455"/>
      <c r="EA3" s="455"/>
      <c r="EB3" s="455"/>
      <c r="EC3" s="456"/>
      <c r="ED3" s="456"/>
      <c r="EE3" s="456"/>
      <c r="EF3" s="456"/>
      <c r="EG3" s="456"/>
      <c r="EH3" s="456"/>
      <c r="EI3" s="456"/>
      <c r="EJ3" s="456"/>
      <c r="EK3" s="456"/>
      <c r="EL3" s="456"/>
      <c r="EM3" s="456"/>
      <c r="EN3" s="456"/>
      <c r="EO3" s="456"/>
      <c r="EP3" s="456"/>
      <c r="EQ3" s="456"/>
      <c r="ER3" s="456"/>
      <c r="ES3" s="456"/>
      <c r="ET3" s="456"/>
      <c r="EU3" s="456"/>
      <c r="EV3" s="456"/>
      <c r="EW3" s="456"/>
      <c r="EX3" s="456"/>
      <c r="EY3" s="456"/>
      <c r="EZ3" s="456"/>
      <c r="FA3" s="456"/>
      <c r="FB3" s="456"/>
      <c r="FC3" s="456"/>
      <c r="FD3" s="456"/>
      <c r="FE3" s="456"/>
      <c r="FF3" s="456"/>
      <c r="FG3" s="456"/>
      <c r="FH3" s="456"/>
      <c r="FI3" s="456"/>
      <c r="FJ3" s="456"/>
      <c r="FK3" s="456"/>
      <c r="FL3" s="456"/>
      <c r="FM3" s="456"/>
      <c r="FN3" s="456"/>
      <c r="FO3" s="456"/>
      <c r="FP3" s="456"/>
      <c r="FQ3" s="456"/>
      <c r="FR3" s="456"/>
      <c r="FS3" s="456"/>
      <c r="FT3" s="456"/>
      <c r="FU3" s="456"/>
      <c r="FV3" s="456"/>
      <c r="FW3" s="456"/>
      <c r="FX3" s="456"/>
      <c r="FY3" s="456"/>
      <c r="FZ3" s="456"/>
      <c r="GA3" s="456"/>
    </row>
    <row r="4" spans="1:183" s="133" customFormat="1" ht="27" customHeight="1">
      <c r="A4" s="134" t="s">
        <v>196</v>
      </c>
      <c r="B4" s="911" t="s">
        <v>197</v>
      </c>
      <c r="C4" s="911"/>
      <c r="D4" s="911"/>
      <c r="E4" s="566" t="s">
        <v>68</v>
      </c>
      <c r="F4" s="566" t="s">
        <v>69</v>
      </c>
      <c r="G4" s="566" t="s">
        <v>70</v>
      </c>
      <c r="H4" s="566" t="s">
        <v>198</v>
      </c>
      <c r="I4" s="566" t="s">
        <v>68</v>
      </c>
      <c r="J4" s="566" t="s">
        <v>69</v>
      </c>
      <c r="K4" s="566" t="s">
        <v>70</v>
      </c>
      <c r="L4" s="566" t="s">
        <v>198</v>
      </c>
      <c r="M4" s="566" t="s">
        <v>68</v>
      </c>
      <c r="N4" s="566" t="s">
        <v>69</v>
      </c>
      <c r="O4" s="566" t="s">
        <v>70</v>
      </c>
      <c r="P4" s="566" t="s">
        <v>199</v>
      </c>
      <c r="Q4" s="566" t="s">
        <v>68</v>
      </c>
      <c r="R4" s="566" t="s">
        <v>69</v>
      </c>
      <c r="S4" s="566" t="s">
        <v>70</v>
      </c>
      <c r="T4" s="566" t="s">
        <v>198</v>
      </c>
      <c r="U4" s="566" t="s">
        <v>68</v>
      </c>
      <c r="V4" s="566" t="s">
        <v>69</v>
      </c>
      <c r="W4" s="566" t="s">
        <v>70</v>
      </c>
      <c r="X4" s="566" t="s">
        <v>198</v>
      </c>
      <c r="Y4" s="566" t="s">
        <v>68</v>
      </c>
      <c r="Z4" s="566" t="s">
        <v>69</v>
      </c>
      <c r="AA4" s="566" t="s">
        <v>70</v>
      </c>
      <c r="AB4" s="566" t="s">
        <v>242</v>
      </c>
      <c r="AC4" s="566" t="s">
        <v>68</v>
      </c>
      <c r="AD4" s="566" t="s">
        <v>69</v>
      </c>
      <c r="AE4" s="566" t="s">
        <v>70</v>
      </c>
      <c r="AF4" s="566" t="s">
        <v>198</v>
      </c>
      <c r="AG4" s="566" t="s">
        <v>68</v>
      </c>
      <c r="AH4" s="566" t="s">
        <v>69</v>
      </c>
      <c r="AI4" s="566" t="s">
        <v>70</v>
      </c>
      <c r="AJ4" s="566" t="s">
        <v>198</v>
      </c>
      <c r="AK4" s="566" t="s">
        <v>68</v>
      </c>
      <c r="AL4" s="566" t="s">
        <v>69</v>
      </c>
      <c r="AM4" s="566" t="s">
        <v>70</v>
      </c>
      <c r="AN4" s="566" t="s">
        <v>198</v>
      </c>
      <c r="AO4" s="566" t="s">
        <v>68</v>
      </c>
      <c r="AP4" s="566" t="s">
        <v>69</v>
      </c>
      <c r="AQ4" s="566" t="s">
        <v>70</v>
      </c>
      <c r="AR4" s="566" t="s">
        <v>198</v>
      </c>
      <c r="AS4" s="566" t="s">
        <v>68</v>
      </c>
      <c r="AT4" s="566" t="s">
        <v>69</v>
      </c>
      <c r="AU4" s="566" t="s">
        <v>70</v>
      </c>
      <c r="AV4" s="566" t="s">
        <v>198</v>
      </c>
      <c r="AW4" s="566" t="s">
        <v>68</v>
      </c>
      <c r="AX4" s="566" t="s">
        <v>69</v>
      </c>
      <c r="AY4" s="566" t="s">
        <v>70</v>
      </c>
      <c r="AZ4" s="566" t="s">
        <v>198</v>
      </c>
      <c r="BA4" s="566" t="s">
        <v>68</v>
      </c>
      <c r="BB4" s="566" t="s">
        <v>69</v>
      </c>
      <c r="BC4" s="566" t="s">
        <v>70</v>
      </c>
      <c r="BD4" s="566" t="s">
        <v>198</v>
      </c>
      <c r="BE4" s="566" t="s">
        <v>68</v>
      </c>
      <c r="BF4" s="566" t="s">
        <v>69</v>
      </c>
      <c r="BG4" s="566" t="s">
        <v>70</v>
      </c>
      <c r="BH4" s="566" t="s">
        <v>198</v>
      </c>
      <c r="BI4" s="566" t="s">
        <v>68</v>
      </c>
      <c r="BJ4" s="566" t="s">
        <v>69</v>
      </c>
      <c r="BK4" s="566" t="s">
        <v>70</v>
      </c>
      <c r="BL4" s="566" t="s">
        <v>198</v>
      </c>
      <c r="BM4" s="566" t="s">
        <v>68</v>
      </c>
      <c r="BN4" s="566" t="s">
        <v>69</v>
      </c>
      <c r="BO4" s="566" t="s">
        <v>70</v>
      </c>
      <c r="BP4" s="566" t="s">
        <v>198</v>
      </c>
      <c r="BQ4" s="566" t="s">
        <v>68</v>
      </c>
      <c r="BR4" s="566" t="s">
        <v>682</v>
      </c>
      <c r="BS4" s="566" t="s">
        <v>70</v>
      </c>
      <c r="BT4" s="566" t="s">
        <v>683</v>
      </c>
      <c r="BU4" s="566" t="s">
        <v>68</v>
      </c>
      <c r="BV4" s="566" t="s">
        <v>69</v>
      </c>
      <c r="BW4" s="566" t="s">
        <v>70</v>
      </c>
      <c r="BX4" s="566" t="s">
        <v>198</v>
      </c>
      <c r="BY4" s="566" t="s">
        <v>68</v>
      </c>
      <c r="BZ4" s="566" t="s">
        <v>69</v>
      </c>
      <c r="CA4" s="566" t="s">
        <v>70</v>
      </c>
      <c r="CB4" s="566" t="s">
        <v>198</v>
      </c>
      <c r="CC4" s="566" t="s">
        <v>68</v>
      </c>
      <c r="CD4" s="566" t="s">
        <v>69</v>
      </c>
      <c r="CE4" s="566" t="s">
        <v>70</v>
      </c>
      <c r="CF4" s="566" t="s">
        <v>200</v>
      </c>
      <c r="CG4" s="566" t="s">
        <v>68</v>
      </c>
      <c r="CH4" s="566" t="s">
        <v>69</v>
      </c>
      <c r="CI4" s="566" t="s">
        <v>70</v>
      </c>
      <c r="CJ4" s="566" t="s">
        <v>200</v>
      </c>
      <c r="CK4" s="136" t="s">
        <v>68</v>
      </c>
      <c r="CL4" s="661" t="s">
        <v>69</v>
      </c>
      <c r="CM4" s="136" t="s">
        <v>70</v>
      </c>
      <c r="CN4" s="566" t="s">
        <v>200</v>
      </c>
      <c r="CO4" s="132"/>
      <c r="CP4" s="132"/>
      <c r="CQ4" s="132"/>
      <c r="CR4" s="132"/>
      <c r="CS4" s="132"/>
      <c r="CT4" s="1012"/>
      <c r="CU4" s="1012"/>
      <c r="CV4" s="1012"/>
      <c r="CW4" s="1012"/>
      <c r="CX4" s="1013"/>
      <c r="CY4" s="1013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</row>
    <row r="5" spans="1:183" s="593" customFormat="1">
      <c r="A5" s="558">
        <v>200</v>
      </c>
      <c r="B5" s="1035" t="s">
        <v>201</v>
      </c>
      <c r="C5" s="1036"/>
      <c r="D5" s="1037"/>
      <c r="E5" s="549">
        <f>E7+E9+E10+E49+E6</f>
        <v>129</v>
      </c>
      <c r="F5" s="550">
        <f>F7+F10+F49</f>
        <v>78.211160000000007</v>
      </c>
      <c r="G5" s="549">
        <f>F5/E5*100</f>
        <v>60.62880620155039</v>
      </c>
      <c r="H5" s="549">
        <f t="shared" ref="H5:H50" si="0">F5-E5</f>
        <v>-50.788839999999993</v>
      </c>
      <c r="I5" s="549">
        <f>I7+I9+I10+I49</f>
        <v>181</v>
      </c>
      <c r="J5" s="550">
        <f>J7+J9+J10+J49</f>
        <v>71.550740000000005</v>
      </c>
      <c r="K5" s="549">
        <f>J5/I5*100</f>
        <v>39.5307955801105</v>
      </c>
      <c r="L5" s="558"/>
      <c r="M5" s="549">
        <f>M7+M9+M10+M49</f>
        <v>227</v>
      </c>
      <c r="N5" s="550">
        <f>N7+N9+N10+N49</f>
        <v>192.85890000000001</v>
      </c>
      <c r="O5" s="549">
        <f>N5/M5*100</f>
        <v>84.959867841409704</v>
      </c>
      <c r="P5" s="558">
        <f>N5-M5</f>
        <v>-34.141099999999994</v>
      </c>
      <c r="Q5" s="549">
        <f>Q7+Q9+Q10+Q49+Q6</f>
        <v>199</v>
      </c>
      <c r="R5" s="550">
        <f>R7+R9+R10+R49+R6</f>
        <v>129.02449000000001</v>
      </c>
      <c r="S5" s="549">
        <f>R5/Q5*100</f>
        <v>64.836427135678392</v>
      </c>
      <c r="T5" s="549">
        <f>R5-Q5</f>
        <v>-69.975509999999986</v>
      </c>
      <c r="U5" s="549">
        <f>U7+U9+U10+U49</f>
        <v>204</v>
      </c>
      <c r="V5" s="550">
        <f>V7+V9+V10+V49</f>
        <v>96.547569999999993</v>
      </c>
      <c r="W5" s="549">
        <f>V5/U5*100</f>
        <v>47.327240196078428</v>
      </c>
      <c r="X5" s="558">
        <f>V5-U5</f>
        <v>-107.45243000000001</v>
      </c>
      <c r="Y5" s="549">
        <f>Y7+Y9+Y10+Y49</f>
        <v>182</v>
      </c>
      <c r="Z5" s="550">
        <f>Z7+Z9+Z10+Z49</f>
        <v>222.91588999999999</v>
      </c>
      <c r="AA5" s="549">
        <f>Z5/Y5*100</f>
        <v>122.48125824175824</v>
      </c>
      <c r="AB5" s="558">
        <f t="shared" ref="AB5:AB19" si="1">Z5-Y5</f>
        <v>40.91588999999999</v>
      </c>
      <c r="AC5" s="549">
        <f>AC7+AC9+AC10+AC49</f>
        <v>177</v>
      </c>
      <c r="AD5" s="550">
        <f>AD7+AD9+AD10+AD49</f>
        <v>80.04634999999999</v>
      </c>
      <c r="AE5" s="549">
        <f>AD5/AC5*100</f>
        <v>45.223926553672314</v>
      </c>
      <c r="AF5" s="558">
        <f t="shared" ref="AF5:AF19" si="2">AD5-AC5</f>
        <v>-96.95365000000001</v>
      </c>
      <c r="AG5" s="549">
        <f t="shared" ref="AG5:AH75" si="3">E5+I5+M5+Q5+U5+Y5+AC5</f>
        <v>1299</v>
      </c>
      <c r="AH5" s="550">
        <f>AH7+AH9+AH10+AH49</f>
        <v>870.15510000000017</v>
      </c>
      <c r="AI5" s="549">
        <f>AH5/AG5*100</f>
        <v>66.986535796766759</v>
      </c>
      <c r="AJ5" s="549">
        <f>AH5-AG5</f>
        <v>-428.84489999999983</v>
      </c>
      <c r="AK5" s="549">
        <f>AK7+AK9+AK10+AK49</f>
        <v>43</v>
      </c>
      <c r="AL5" s="550">
        <f>AL7+AL9+AL10+AL49</f>
        <v>20.45504</v>
      </c>
      <c r="AM5" s="549">
        <f>AL5/AK5*100</f>
        <v>47.569860465116278</v>
      </c>
      <c r="AN5" s="549">
        <f t="shared" ref="AN5:AN17" si="4">AL5-AK5</f>
        <v>-22.54496</v>
      </c>
      <c r="AO5" s="549">
        <f>AO7+AO9+AO10+AO49</f>
        <v>13</v>
      </c>
      <c r="AP5" s="549">
        <f>AP7+AP9+AP10+AP49</f>
        <v>2.0499999999999998</v>
      </c>
      <c r="AQ5" s="549">
        <f>AP5/AO5*100</f>
        <v>15.769230769230768</v>
      </c>
      <c r="AR5" s="549">
        <f t="shared" ref="AR5:AR13" si="5">AP5-AO5</f>
        <v>-10.95</v>
      </c>
      <c r="AS5" s="549">
        <f>AS7+AS9+AS10+AS49+AS6</f>
        <v>43</v>
      </c>
      <c r="AT5" s="550">
        <f>AT7+AT9+AT10+AT49+AT6</f>
        <v>45.038399999999996</v>
      </c>
      <c r="AU5" s="549">
        <f>AT5/AS5*100</f>
        <v>104.74046511627905</v>
      </c>
      <c r="AV5" s="549">
        <f t="shared" ref="AV5:AV13" si="6">AT5-AS5</f>
        <v>2.0383999999999958</v>
      </c>
      <c r="AW5" s="549">
        <f>AW7+AW9+AW10+AW49</f>
        <v>48</v>
      </c>
      <c r="AX5" s="550">
        <f>AX7+AX9+AX10+AX49</f>
        <v>9.1959999999999997</v>
      </c>
      <c r="AY5" s="549">
        <f>AX5/AW5*100</f>
        <v>19.158333333333331</v>
      </c>
      <c r="AZ5" s="549">
        <f t="shared" ref="AZ5:AZ13" si="7">AX5-AW5</f>
        <v>-38.804000000000002</v>
      </c>
      <c r="BA5" s="549">
        <f t="shared" ref="BA5:BA75" si="8">AK5+AO5+AS5+AW5</f>
        <v>147</v>
      </c>
      <c r="BB5" s="550">
        <f t="shared" ref="BB5:BB25" si="9">+AL5+AP5+AT5+AX5</f>
        <v>76.739440000000002</v>
      </c>
      <c r="BC5" s="549">
        <f>BB5/BA5*100</f>
        <v>52.203700680272114</v>
      </c>
      <c r="BD5" s="549">
        <f t="shared" ref="BD5:BD13" si="10">BB5-BA5</f>
        <v>-70.260559999999998</v>
      </c>
      <c r="BE5" s="549">
        <f>BE7+BE9+BE10+BE49</f>
        <v>7</v>
      </c>
      <c r="BF5" s="549">
        <f>BF7+BF9+BF10+BF49</f>
        <v>10.398999999999999</v>
      </c>
      <c r="BG5" s="549">
        <f>BF5/BE5*100</f>
        <v>148.55714285714285</v>
      </c>
      <c r="BH5" s="549">
        <f t="shared" ref="BH5:BH13" si="11">BF5-BE5</f>
        <v>3.3989999999999991</v>
      </c>
      <c r="BI5" s="549">
        <f>BI7+BI9+BI10+BI49</f>
        <v>7</v>
      </c>
      <c r="BJ5" s="549">
        <f>BJ7+BJ9+BJ10+BJ49</f>
        <v>0</v>
      </c>
      <c r="BK5" s="549">
        <f>BJ5/BI5*100</f>
        <v>0</v>
      </c>
      <c r="BL5" s="549">
        <f>BJ5-BI5</f>
        <v>-7</v>
      </c>
      <c r="BM5" s="549">
        <f>BM7+BM9+BM10+BM49</f>
        <v>7</v>
      </c>
      <c r="BN5" s="549">
        <f>BN7+BN9+BN10+BN49</f>
        <v>34.880000000000003</v>
      </c>
      <c r="BO5" s="549">
        <f>BN5/BM5*100</f>
        <v>498.28571428571433</v>
      </c>
      <c r="BP5" s="549">
        <f>BN5-BM5</f>
        <v>27.880000000000003</v>
      </c>
      <c r="BQ5" s="549">
        <f>BQ7+BQ9+BQ10+BQ49</f>
        <v>20</v>
      </c>
      <c r="BR5" s="549">
        <f>BR7+BR9+BR10+BR49</f>
        <v>0</v>
      </c>
      <c r="BS5" s="549">
        <f>BR5/BQ5*100</f>
        <v>0</v>
      </c>
      <c r="BT5" s="549">
        <f>BR5-BQ5</f>
        <v>-20</v>
      </c>
      <c r="BU5" s="549">
        <f>BU7+BU9+BU10+BU49</f>
        <v>34.299999999999997</v>
      </c>
      <c r="BV5" s="549">
        <f>BV7+BV9+BV10+BV49</f>
        <v>7.2669999999999995</v>
      </c>
      <c r="BW5" s="549">
        <f t="shared" ref="BW5:BW8" si="12">BV5/BU5*100</f>
        <v>21.186588921282798</v>
      </c>
      <c r="BX5" s="558">
        <f>BV5-BU5</f>
        <v>-27.032999999999998</v>
      </c>
      <c r="BY5" s="549">
        <f>BY7+BY9+BY10+BY49</f>
        <v>1695</v>
      </c>
      <c r="BZ5" s="550">
        <f>BZ7+BZ9+BZ10+BZ49</f>
        <v>459.55849999999998</v>
      </c>
      <c r="CA5" s="559">
        <f>BZ5/BY5*100</f>
        <v>27.112595870206491</v>
      </c>
      <c r="CB5" s="558">
        <f>BZ5-BY5</f>
        <v>-1235.4414999999999</v>
      </c>
      <c r="CC5" s="550">
        <f>CC7+CC9+CC10+CC49</f>
        <v>20.5</v>
      </c>
      <c r="CD5" s="550">
        <f>CD7+CD9+CD10+CD49</f>
        <v>6.8</v>
      </c>
      <c r="CE5" s="559">
        <f>CD5/CC5*100</f>
        <v>33.170731707317074</v>
      </c>
      <c r="CF5" s="558">
        <f>CD5-CC5</f>
        <v>-13.7</v>
      </c>
      <c r="CG5" s="550">
        <f>CG7+CG9+CG10+CG49</f>
        <v>138</v>
      </c>
      <c r="CH5" s="550">
        <f>CH7+CH9+CH10+CH49</f>
        <v>80.94756000000001</v>
      </c>
      <c r="CI5" s="559">
        <f>CH5/CG5*100</f>
        <v>58.657652173913057</v>
      </c>
      <c r="CJ5" s="558">
        <f>CH5-CG5</f>
        <v>-57.05243999999999</v>
      </c>
      <c r="CK5" s="550">
        <f>CK7+CK9+CK10+CK49</f>
        <v>3374.8</v>
      </c>
      <c r="CL5" s="662">
        <f>CL7+CL9+CL10+CL49+CL6</f>
        <v>1547.7466000000002</v>
      </c>
      <c r="CM5" s="549">
        <f t="shared" ref="CM5:CM76" si="13">CL5/CK5*100</f>
        <v>45.86187625933389</v>
      </c>
      <c r="CN5" s="549">
        <f t="shared" ref="CN5:CN76" si="14">CL5-CK5</f>
        <v>-1827.0534</v>
      </c>
      <c r="CP5" s="593">
        <f t="shared" ref="CP5:CP39" si="15">F5+J5+N5+R5+V5+Z5+AD5+AL5+AP5+AT5+AX5+BF5+BJ5+BN5+BV5+BZ5+CD5</f>
        <v>1466.7990400000001</v>
      </c>
      <c r="CQ5" s="593">
        <f t="shared" ref="CQ5:CQ39" si="16">E5+I5+M5+Q5+U5+Y5+AC5+AG5+AK5+AO5+AS5+AW5+BE5+BI5+BM5+BU5+BY5+CC5-AG5</f>
        <v>3216.8</v>
      </c>
      <c r="CS5" s="593">
        <f t="shared" ref="CS5:CS39" si="17">F5+J5+N5+R5+V5+Z5+AD5+AL5+AP5+AT5+AX5+BF5+BJ5+BN5+BV5+BZ5+CD5</f>
        <v>1466.7990400000001</v>
      </c>
      <c r="CT5" s="593">
        <f>F5+J5+N5+R5+V5+Z5+AD5+AL5+AP5+AT5+AX5+BF5+BJ5+BN5+BR5+BV5+BZ5+CD5+CH5</f>
        <v>1547.7466000000002</v>
      </c>
      <c r="CU5" s="593">
        <f>F5+J5+N5+R5+V5+Z5+AD5+AL5+AP5+AT5+AX5+BF5+BJ5+BN5+BV5+BZ5+CD5+CH5</f>
        <v>1547.7466000000002</v>
      </c>
      <c r="CV5" s="593">
        <f>F5+J5+N5+R5+V5+Z5+AD5+AL5+AP5+AT5+AX5+BF5+BJ5+BN5</f>
        <v>993.17354</v>
      </c>
      <c r="CW5" s="593">
        <f>E5+I5+M5+Q5+U5+Y5+AC5+AK5+AO5+AS5+AW5+BE5+BI5+BM5+BQ5+BU5+BY5+CC5+CG5</f>
        <v>3374.8</v>
      </c>
    </row>
    <row r="6" spans="1:183" s="137" customFormat="1" hidden="1">
      <c r="A6" s="114">
        <v>211</v>
      </c>
      <c r="B6" s="361" t="s">
        <v>420</v>
      </c>
      <c r="C6" s="362"/>
      <c r="D6" s="363"/>
      <c r="E6" s="113">
        <v>0</v>
      </c>
      <c r="F6" s="15">
        <v>0</v>
      </c>
      <c r="G6" s="113" t="e">
        <f>F6/E6*100</f>
        <v>#DIV/0!</v>
      </c>
      <c r="H6" s="113">
        <f t="shared" si="0"/>
        <v>0</v>
      </c>
      <c r="I6" s="113"/>
      <c r="J6" s="15"/>
      <c r="K6" s="113"/>
      <c r="L6" s="114"/>
      <c r="M6" s="113"/>
      <c r="N6" s="15"/>
      <c r="O6" s="113"/>
      <c r="P6" s="114"/>
      <c r="Q6" s="113"/>
      <c r="R6" s="15"/>
      <c r="S6" s="113"/>
      <c r="T6" s="113"/>
      <c r="U6" s="113"/>
      <c r="V6" s="15"/>
      <c r="W6" s="113"/>
      <c r="X6" s="114"/>
      <c r="Y6" s="113"/>
      <c r="Z6" s="15"/>
      <c r="AA6" s="113"/>
      <c r="AB6" s="114"/>
      <c r="AC6" s="113"/>
      <c r="AD6" s="15"/>
      <c r="AE6" s="113"/>
      <c r="AF6" s="114"/>
      <c r="AG6" s="113">
        <f t="shared" si="3"/>
        <v>0</v>
      </c>
      <c r="AH6" s="451">
        <f>F6+R6</f>
        <v>0</v>
      </c>
      <c r="AI6" s="113" t="e">
        <f>AH6/AG6*100</f>
        <v>#DIV/0!</v>
      </c>
      <c r="AJ6" s="113">
        <f>AH6-AG6</f>
        <v>0</v>
      </c>
      <c r="AK6" s="113"/>
      <c r="AL6" s="15"/>
      <c r="AM6" s="113"/>
      <c r="AN6" s="113"/>
      <c r="AO6" s="113"/>
      <c r="AP6" s="451"/>
      <c r="AQ6" s="113"/>
      <c r="AR6" s="113"/>
      <c r="AS6" s="113"/>
      <c r="AT6" s="451"/>
      <c r="AU6" s="113" t="e">
        <f>AT6/AS6*100</f>
        <v>#DIV/0!</v>
      </c>
      <c r="AV6" s="113">
        <f t="shared" si="6"/>
        <v>0</v>
      </c>
      <c r="AW6" s="113"/>
      <c r="AX6" s="15"/>
      <c r="AY6" s="113"/>
      <c r="AZ6" s="113"/>
      <c r="BA6" s="113">
        <f t="shared" si="8"/>
        <v>0</v>
      </c>
      <c r="BB6" s="15">
        <f t="shared" si="9"/>
        <v>0</v>
      </c>
      <c r="BC6" s="113"/>
      <c r="BD6" s="113"/>
      <c r="BE6" s="113"/>
      <c r="BF6" s="451"/>
      <c r="BG6" s="113"/>
      <c r="BH6" s="113"/>
      <c r="BI6" s="113"/>
      <c r="BJ6" s="451"/>
      <c r="BK6" s="113"/>
      <c r="BL6" s="113"/>
      <c r="BM6" s="113"/>
      <c r="BN6" s="451"/>
      <c r="BO6" s="113"/>
      <c r="BP6" s="113"/>
      <c r="BQ6" s="113"/>
      <c r="BR6" s="451"/>
      <c r="BS6" s="113" t="e">
        <f t="shared" ref="BS6:BS76" si="18">BR6/BQ6*100</f>
        <v>#DIV/0!</v>
      </c>
      <c r="BT6" s="113">
        <f t="shared" ref="BT6:BT76" si="19">BR6-BQ6</f>
        <v>0</v>
      </c>
      <c r="BU6" s="113"/>
      <c r="BV6" s="451"/>
      <c r="BW6" s="113"/>
      <c r="BX6" s="114"/>
      <c r="BY6" s="113"/>
      <c r="BZ6" s="15"/>
      <c r="CA6" s="115"/>
      <c r="CB6" s="114"/>
      <c r="CC6" s="113"/>
      <c r="CD6" s="451"/>
      <c r="CE6" s="115"/>
      <c r="CF6" s="114"/>
      <c r="CG6" s="113"/>
      <c r="CH6" s="451"/>
      <c r="CI6" s="115"/>
      <c r="CJ6" s="114"/>
      <c r="CK6" s="113">
        <f t="shared" ref="CK6:CK26" si="20">AG6+BA6+BE6+BI6+BM6+BU6+BY6+CC6+BQ6</f>
        <v>0</v>
      </c>
      <c r="CL6" s="663">
        <f>F6+R6+AT6</f>
        <v>0</v>
      </c>
      <c r="CM6" s="113" t="e">
        <f t="shared" si="13"/>
        <v>#DIV/0!</v>
      </c>
      <c r="CN6" s="113">
        <f t="shared" si="14"/>
        <v>0</v>
      </c>
      <c r="CP6" s="137">
        <f t="shared" si="15"/>
        <v>0</v>
      </c>
      <c r="CQ6" s="137">
        <f t="shared" si="16"/>
        <v>0</v>
      </c>
      <c r="CS6" s="137">
        <f t="shared" si="17"/>
        <v>0</v>
      </c>
      <c r="CT6" s="137">
        <f t="shared" ref="CT6:CT76" si="21">F6+J6+N6+R6+V6+Z6+AD6+AL6+AP6+AT6+AX6+BF6+BJ6+BN6+BR6+BV6+BZ6+CD6+CH6</f>
        <v>0</v>
      </c>
      <c r="CU6" s="137">
        <f t="shared" ref="CU6:CU76" si="22">F6+J6+N6+R6+V6+Z6+AD6+AL6+AP6+AT6+AX6+BF6+BJ6+BN6+BV6+BZ6+CD6+CH6</f>
        <v>0</v>
      </c>
      <c r="CV6" s="137">
        <f t="shared" ref="CV6:CV76" si="23">F6+J6+N6+R6+V6+Z6+AD6+AL6+AP6+AT6+AX6+BF6+BJ6+BN6</f>
        <v>0</v>
      </c>
      <c r="CW6" s="137">
        <f t="shared" ref="CW6:CW76" si="24">E6+I6+M6+Q6+U6+Y6+AC6+AK6+AO6+AS6+AW6+BE6+BI6+BM6+BQ6+BU6+BY6+CC6+CG6</f>
        <v>0</v>
      </c>
      <c r="CX6" s="458"/>
      <c r="CY6" s="458"/>
      <c r="CZ6" s="458"/>
      <c r="DA6" s="458"/>
      <c r="DB6" s="458"/>
      <c r="DC6" s="458"/>
      <c r="DD6" s="458"/>
      <c r="DE6" s="458"/>
      <c r="DF6" s="458"/>
      <c r="DG6" s="458"/>
      <c r="DH6" s="458"/>
      <c r="DI6" s="458"/>
      <c r="DJ6" s="458"/>
      <c r="DK6" s="458"/>
      <c r="DL6" s="458"/>
      <c r="DM6" s="458"/>
      <c r="DN6" s="458"/>
      <c r="DO6" s="458"/>
      <c r="DP6" s="458"/>
      <c r="DQ6" s="458"/>
      <c r="DR6" s="458"/>
      <c r="DS6" s="458"/>
      <c r="DT6" s="458"/>
      <c r="DU6" s="458"/>
      <c r="DV6" s="458"/>
      <c r="DW6" s="458"/>
      <c r="DX6" s="458"/>
      <c r="DY6" s="458"/>
      <c r="DZ6" s="458"/>
      <c r="EA6" s="458"/>
      <c r="EB6" s="458"/>
      <c r="EC6" s="458"/>
      <c r="ED6" s="458"/>
      <c r="EE6" s="458"/>
      <c r="EF6" s="458"/>
      <c r="EG6" s="458"/>
      <c r="EH6" s="458"/>
      <c r="EI6" s="458"/>
      <c r="EJ6" s="458"/>
      <c r="EK6" s="458"/>
      <c r="EL6" s="458"/>
      <c r="EM6" s="458"/>
      <c r="EN6" s="458"/>
      <c r="EO6" s="458"/>
      <c r="EP6" s="458"/>
      <c r="EQ6" s="458"/>
      <c r="ER6" s="458"/>
      <c r="ES6" s="458"/>
      <c r="ET6" s="458"/>
      <c r="EU6" s="458"/>
      <c r="EV6" s="458"/>
      <c r="EW6" s="458"/>
      <c r="EX6" s="458"/>
      <c r="EY6" s="458"/>
      <c r="EZ6" s="458"/>
      <c r="FA6" s="458"/>
      <c r="FB6" s="458"/>
      <c r="FC6" s="458"/>
      <c r="FD6" s="458"/>
      <c r="FE6" s="458"/>
      <c r="FF6" s="458"/>
      <c r="FG6" s="458"/>
      <c r="FH6" s="458"/>
      <c r="FI6" s="458"/>
      <c r="FJ6" s="458"/>
      <c r="FK6" s="458"/>
      <c r="FL6" s="458"/>
      <c r="FM6" s="458"/>
      <c r="FN6" s="458"/>
      <c r="FO6" s="458"/>
      <c r="FP6" s="458"/>
      <c r="FQ6" s="458"/>
      <c r="FR6" s="458"/>
      <c r="FS6" s="458"/>
      <c r="FT6" s="458"/>
      <c r="FU6" s="458"/>
      <c r="FV6" s="458"/>
      <c r="FW6" s="458"/>
      <c r="FX6" s="458"/>
      <c r="FY6" s="458"/>
      <c r="FZ6" s="458"/>
      <c r="GA6" s="458"/>
    </row>
    <row r="7" spans="1:183" s="141" customFormat="1" ht="13.5">
      <c r="A7" s="123">
        <v>212</v>
      </c>
      <c r="B7" s="887" t="s">
        <v>102</v>
      </c>
      <c r="C7" s="888"/>
      <c r="D7" s="889"/>
      <c r="E7" s="116">
        <f>E8</f>
        <v>0</v>
      </c>
      <c r="F7" s="154">
        <f>F8</f>
        <v>0</v>
      </c>
      <c r="G7" s="113"/>
      <c r="H7" s="113">
        <f t="shared" si="0"/>
        <v>0</v>
      </c>
      <c r="I7" s="116">
        <f>I8</f>
        <v>0</v>
      </c>
      <c r="J7" s="154">
        <f>J8</f>
        <v>0</v>
      </c>
      <c r="K7" s="123"/>
      <c r="L7" s="123"/>
      <c r="M7" s="116">
        <f>M8</f>
        <v>0</v>
      </c>
      <c r="N7" s="154">
        <f>N8</f>
        <v>0</v>
      </c>
      <c r="O7" s="116"/>
      <c r="P7" s="123">
        <f>N7-M7</f>
        <v>0</v>
      </c>
      <c r="Q7" s="116">
        <f>Q8</f>
        <v>0</v>
      </c>
      <c r="R7" s="154">
        <f>R8</f>
        <v>0</v>
      </c>
      <c r="S7" s="116"/>
      <c r="T7" s="123"/>
      <c r="U7" s="116">
        <f>U8</f>
        <v>0</v>
      </c>
      <c r="V7" s="154">
        <f>V8</f>
        <v>0</v>
      </c>
      <c r="W7" s="123"/>
      <c r="X7" s="123">
        <f>V7-U7</f>
        <v>0</v>
      </c>
      <c r="Y7" s="116">
        <f>Y8</f>
        <v>0</v>
      </c>
      <c r="Z7" s="154">
        <f>Z8</f>
        <v>0</v>
      </c>
      <c r="AA7" s="116"/>
      <c r="AB7" s="123">
        <f t="shared" si="1"/>
        <v>0</v>
      </c>
      <c r="AC7" s="116">
        <f>AC8</f>
        <v>0</v>
      </c>
      <c r="AD7" s="154">
        <f>AD8</f>
        <v>0</v>
      </c>
      <c r="AE7" s="116"/>
      <c r="AF7" s="123"/>
      <c r="AG7" s="113">
        <f t="shared" si="3"/>
        <v>0</v>
      </c>
      <c r="AH7" s="116">
        <f>AH8</f>
        <v>0</v>
      </c>
      <c r="AI7" s="113"/>
      <c r="AJ7" s="113">
        <f>AH7-AG7</f>
        <v>0</v>
      </c>
      <c r="AK7" s="116">
        <f>AK8</f>
        <v>0</v>
      </c>
      <c r="AL7" s="154">
        <f>AL8</f>
        <v>0</v>
      </c>
      <c r="AM7" s="113"/>
      <c r="AN7" s="113">
        <f t="shared" si="4"/>
        <v>0</v>
      </c>
      <c r="AO7" s="116">
        <f>AO8</f>
        <v>0</v>
      </c>
      <c r="AP7" s="116">
        <f>AP8</f>
        <v>0</v>
      </c>
      <c r="AQ7" s="113"/>
      <c r="AR7" s="113">
        <f t="shared" si="5"/>
        <v>0</v>
      </c>
      <c r="AS7" s="116">
        <f>AS8</f>
        <v>0</v>
      </c>
      <c r="AT7" s="116">
        <f>AT8</f>
        <v>0</v>
      </c>
      <c r="AU7" s="113"/>
      <c r="AV7" s="113">
        <f t="shared" si="6"/>
        <v>0</v>
      </c>
      <c r="AW7" s="116">
        <f>AW8</f>
        <v>0</v>
      </c>
      <c r="AX7" s="154">
        <f>AX8</f>
        <v>0</v>
      </c>
      <c r="AY7" s="113"/>
      <c r="AZ7" s="113">
        <f t="shared" si="7"/>
        <v>0</v>
      </c>
      <c r="BA7" s="113">
        <f t="shared" si="8"/>
        <v>0</v>
      </c>
      <c r="BB7" s="78">
        <f t="shared" si="9"/>
        <v>0</v>
      </c>
      <c r="BC7" s="113"/>
      <c r="BD7" s="113">
        <f>BB7-BA7</f>
        <v>0</v>
      </c>
      <c r="BE7" s="116">
        <f>BE8</f>
        <v>0</v>
      </c>
      <c r="BF7" s="116">
        <f>BF8</f>
        <v>0</v>
      </c>
      <c r="BG7" s="113"/>
      <c r="BH7" s="113">
        <f t="shared" si="11"/>
        <v>0</v>
      </c>
      <c r="BI7" s="116">
        <f>BI8</f>
        <v>0</v>
      </c>
      <c r="BJ7" s="116">
        <f>BJ8</f>
        <v>0</v>
      </c>
      <c r="BK7" s="113"/>
      <c r="BL7" s="113">
        <f t="shared" ref="BL7:BL13" si="25">BJ7-BI7</f>
        <v>0</v>
      </c>
      <c r="BM7" s="116">
        <f>BM8</f>
        <v>0</v>
      </c>
      <c r="BN7" s="116">
        <f>BN8</f>
        <v>0</v>
      </c>
      <c r="BO7" s="113"/>
      <c r="BP7" s="113">
        <f t="shared" ref="BP7:BP13" si="26">BN7-BM7</f>
        <v>0</v>
      </c>
      <c r="BQ7" s="116">
        <f>BQ8</f>
        <v>0</v>
      </c>
      <c r="BR7" s="116">
        <f>BR8</f>
        <v>0</v>
      </c>
      <c r="BS7" s="113">
        <v>0</v>
      </c>
      <c r="BT7" s="113">
        <f t="shared" si="19"/>
        <v>0</v>
      </c>
      <c r="BU7" s="116">
        <f>BU8</f>
        <v>1</v>
      </c>
      <c r="BV7" s="470">
        <f>BV8</f>
        <v>0</v>
      </c>
      <c r="BW7" s="470">
        <f t="shared" si="12"/>
        <v>0</v>
      </c>
      <c r="BX7" s="481">
        <f>BV7-BU7</f>
        <v>-1</v>
      </c>
      <c r="BY7" s="470">
        <f>BY8</f>
        <v>30</v>
      </c>
      <c r="BZ7" s="471">
        <f>BZ8</f>
        <v>0</v>
      </c>
      <c r="CA7" s="480">
        <f>BZ7/BY7*100</f>
        <v>0</v>
      </c>
      <c r="CB7" s="481">
        <f t="shared" ref="CB7:CB76" si="27">BZ7-BY7</f>
        <v>-30</v>
      </c>
      <c r="CC7" s="471">
        <f>CC8</f>
        <v>2.5</v>
      </c>
      <c r="CD7" s="471">
        <f>CD8</f>
        <v>0</v>
      </c>
      <c r="CE7" s="480">
        <f>CD7/CC7*100</f>
        <v>0</v>
      </c>
      <c r="CF7" s="481">
        <f>CD7-CC7</f>
        <v>-2.5</v>
      </c>
      <c r="CG7" s="154">
        <f>CG8</f>
        <v>0</v>
      </c>
      <c r="CH7" s="154">
        <f>CH8</f>
        <v>0</v>
      </c>
      <c r="CI7" s="117"/>
      <c r="CJ7" s="123">
        <f>CH7-CG7</f>
        <v>0</v>
      </c>
      <c r="CK7" s="113">
        <f t="shared" si="20"/>
        <v>33.5</v>
      </c>
      <c r="CL7" s="664">
        <f>CL8</f>
        <v>0</v>
      </c>
      <c r="CM7" s="116">
        <f t="shared" si="13"/>
        <v>0</v>
      </c>
      <c r="CN7" s="116">
        <f t="shared" si="14"/>
        <v>-33.5</v>
      </c>
      <c r="CP7" s="137">
        <f t="shared" si="15"/>
        <v>0</v>
      </c>
      <c r="CQ7" s="137">
        <f t="shared" si="16"/>
        <v>33.5</v>
      </c>
      <c r="CS7" s="137">
        <f t="shared" si="17"/>
        <v>0</v>
      </c>
      <c r="CT7" s="137">
        <f t="shared" si="21"/>
        <v>0</v>
      </c>
      <c r="CU7" s="137">
        <f t="shared" si="22"/>
        <v>0</v>
      </c>
      <c r="CV7" s="137">
        <f t="shared" si="23"/>
        <v>0</v>
      </c>
      <c r="CW7" s="137">
        <f t="shared" si="24"/>
        <v>33.5</v>
      </c>
      <c r="CX7" s="137"/>
      <c r="CY7" s="137"/>
    </row>
    <row r="8" spans="1:183">
      <c r="A8" s="122"/>
      <c r="B8" s="875" t="s">
        <v>202</v>
      </c>
      <c r="C8" s="876"/>
      <c r="D8" s="877"/>
      <c r="E8" s="108"/>
      <c r="F8" s="16"/>
      <c r="G8" s="108"/>
      <c r="H8" s="109">
        <f t="shared" si="0"/>
        <v>0</v>
      </c>
      <c r="I8" s="108"/>
      <c r="J8" s="16"/>
      <c r="K8" s="122"/>
      <c r="L8" s="122"/>
      <c r="M8" s="108"/>
      <c r="N8" s="16"/>
      <c r="O8" s="108"/>
      <c r="P8" s="463">
        <f>N8-M8</f>
        <v>0</v>
      </c>
      <c r="Q8" s="462"/>
      <c r="R8" s="216"/>
      <c r="S8" s="108"/>
      <c r="T8" s="122"/>
      <c r="U8" s="108"/>
      <c r="V8" s="16"/>
      <c r="W8" s="122"/>
      <c r="X8" s="122">
        <f>V8-U8</f>
        <v>0</v>
      </c>
      <c r="Y8" s="108"/>
      <c r="Z8" s="16"/>
      <c r="AA8" s="108"/>
      <c r="AB8" s="122">
        <f t="shared" si="1"/>
        <v>0</v>
      </c>
      <c r="AC8" s="108"/>
      <c r="AD8" s="16"/>
      <c r="AE8" s="108"/>
      <c r="AF8" s="122"/>
      <c r="AG8" s="451">
        <f t="shared" si="3"/>
        <v>0</v>
      </c>
      <c r="AH8" s="452">
        <f>F8+J8+N8+R8+V8+Z8+AD8</f>
        <v>0</v>
      </c>
      <c r="AI8" s="451"/>
      <c r="AJ8" s="452">
        <f>AH8-AG8</f>
        <v>0</v>
      </c>
      <c r="AK8" s="108"/>
      <c r="AL8" s="16"/>
      <c r="AM8" s="108"/>
      <c r="AN8" s="109">
        <f t="shared" si="4"/>
        <v>0</v>
      </c>
      <c r="AO8" s="108"/>
      <c r="AP8" s="452"/>
      <c r="AQ8" s="108"/>
      <c r="AR8" s="109">
        <f t="shared" si="5"/>
        <v>0</v>
      </c>
      <c r="AS8" s="108"/>
      <c r="AT8" s="465"/>
      <c r="AU8" s="108"/>
      <c r="AV8" s="109">
        <f t="shared" si="6"/>
        <v>0</v>
      </c>
      <c r="AW8" s="108"/>
      <c r="AX8" s="16"/>
      <c r="AY8" s="108"/>
      <c r="AZ8" s="109">
        <f t="shared" si="7"/>
        <v>0</v>
      </c>
      <c r="BA8" s="451">
        <f t="shared" si="8"/>
        <v>0</v>
      </c>
      <c r="BB8" s="15">
        <f t="shared" si="9"/>
        <v>0</v>
      </c>
      <c r="BC8" s="452"/>
      <c r="BD8" s="452">
        <f>BB8-BA8</f>
        <v>0</v>
      </c>
      <c r="BE8" s="108"/>
      <c r="BF8" s="452"/>
      <c r="BG8" s="108"/>
      <c r="BH8" s="109">
        <f t="shared" si="11"/>
        <v>0</v>
      </c>
      <c r="BI8" s="108"/>
      <c r="BJ8" s="452"/>
      <c r="BK8" s="108"/>
      <c r="BL8" s="109">
        <f t="shared" si="25"/>
        <v>0</v>
      </c>
      <c r="BM8" s="108"/>
      <c r="BN8" s="452"/>
      <c r="BO8" s="108"/>
      <c r="BP8" s="109">
        <f t="shared" si="26"/>
        <v>0</v>
      </c>
      <c r="BQ8" s="108"/>
      <c r="BR8" s="452"/>
      <c r="BS8" s="106">
        <v>0</v>
      </c>
      <c r="BT8" s="106">
        <f t="shared" si="19"/>
        <v>0</v>
      </c>
      <c r="BU8" s="108">
        <v>1</v>
      </c>
      <c r="BV8" s="465"/>
      <c r="BW8" s="462">
        <f t="shared" si="12"/>
        <v>0</v>
      </c>
      <c r="BX8" s="463">
        <f>BV8-BU8</f>
        <v>-1</v>
      </c>
      <c r="BY8" s="462">
        <v>30</v>
      </c>
      <c r="BZ8" s="216"/>
      <c r="CA8" s="474">
        <f>BZ8/BY8*100</f>
        <v>0</v>
      </c>
      <c r="CB8" s="463">
        <f t="shared" si="27"/>
        <v>-30</v>
      </c>
      <c r="CC8" s="219">
        <v>2.5</v>
      </c>
      <c r="CD8" s="220"/>
      <c r="CE8" s="463"/>
      <c r="CF8" s="463"/>
      <c r="CG8" s="156"/>
      <c r="CH8" s="222"/>
      <c r="CI8" s="122"/>
      <c r="CJ8" s="122"/>
      <c r="CK8" s="451">
        <f t="shared" si="20"/>
        <v>33.5</v>
      </c>
      <c r="CL8" s="614">
        <f>AH8+BB8+BF8+BJ8+BN8+BR8+BV8+BZ8+CD8+CH8</f>
        <v>0</v>
      </c>
      <c r="CM8" s="452">
        <f t="shared" si="13"/>
        <v>0</v>
      </c>
      <c r="CN8" s="452">
        <f t="shared" si="14"/>
        <v>-33.5</v>
      </c>
      <c r="CP8" s="142">
        <f t="shared" si="15"/>
        <v>0</v>
      </c>
      <c r="CQ8" s="137">
        <f t="shared" si="16"/>
        <v>33.5</v>
      </c>
      <c r="CS8" s="146">
        <f t="shared" si="17"/>
        <v>0</v>
      </c>
      <c r="CT8" s="137">
        <f t="shared" si="21"/>
        <v>0</v>
      </c>
      <c r="CU8" s="137">
        <f t="shared" si="22"/>
        <v>0</v>
      </c>
      <c r="CV8" s="137">
        <f t="shared" si="23"/>
        <v>0</v>
      </c>
      <c r="CW8" s="137">
        <f t="shared" si="24"/>
        <v>33.5</v>
      </c>
      <c r="CX8" s="458"/>
      <c r="CY8" s="458"/>
    </row>
    <row r="9" spans="1:183" hidden="1">
      <c r="A9" s="122">
        <v>213</v>
      </c>
      <c r="B9" s="890" t="s">
        <v>203</v>
      </c>
      <c r="C9" s="891"/>
      <c r="D9" s="892"/>
      <c r="E9" s="108"/>
      <c r="F9" s="16"/>
      <c r="G9" s="106"/>
      <c r="H9" s="108">
        <f t="shared" si="0"/>
        <v>0</v>
      </c>
      <c r="I9" s="108"/>
      <c r="J9" s="16"/>
      <c r="K9" s="108"/>
      <c r="L9" s="122">
        <f t="shared" ref="L9:L19" si="28">J9-I9</f>
        <v>0</v>
      </c>
      <c r="M9" s="108"/>
      <c r="N9" s="16"/>
      <c r="O9" s="106"/>
      <c r="P9" s="463">
        <f>N9-M9</f>
        <v>0</v>
      </c>
      <c r="Q9" s="462"/>
      <c r="R9" s="216"/>
      <c r="S9" s="108"/>
      <c r="T9" s="122"/>
      <c r="U9" s="108"/>
      <c r="V9" s="16"/>
      <c r="W9" s="122"/>
      <c r="X9" s="122"/>
      <c r="Y9" s="108"/>
      <c r="Z9" s="16"/>
      <c r="AA9" s="108"/>
      <c r="AB9" s="122">
        <f t="shared" si="1"/>
        <v>0</v>
      </c>
      <c r="AC9" s="108"/>
      <c r="AD9" s="16"/>
      <c r="AE9" s="108"/>
      <c r="AF9" s="122"/>
      <c r="AG9" s="283">
        <f t="shared" si="3"/>
        <v>0</v>
      </c>
      <c r="AH9" s="452"/>
      <c r="AI9" s="285"/>
      <c r="AJ9" s="285"/>
      <c r="AK9" s="108"/>
      <c r="AL9" s="16"/>
      <c r="AM9" s="106"/>
      <c r="AN9" s="108">
        <f t="shared" si="4"/>
        <v>0</v>
      </c>
      <c r="AO9" s="108"/>
      <c r="AP9" s="452"/>
      <c r="AQ9" s="106"/>
      <c r="AR9" s="108">
        <f t="shared" si="5"/>
        <v>0</v>
      </c>
      <c r="AS9" s="108"/>
      <c r="AT9" s="452"/>
      <c r="AU9" s="106"/>
      <c r="AV9" s="108">
        <f t="shared" si="6"/>
        <v>0</v>
      </c>
      <c r="AW9" s="108"/>
      <c r="AX9" s="16"/>
      <c r="AY9" s="106"/>
      <c r="AZ9" s="108">
        <f t="shared" si="7"/>
        <v>0</v>
      </c>
      <c r="BA9" s="451">
        <f t="shared" si="8"/>
        <v>0</v>
      </c>
      <c r="BB9" s="15">
        <f t="shared" si="9"/>
        <v>0</v>
      </c>
      <c r="BC9" s="451"/>
      <c r="BD9" s="452">
        <f t="shared" si="10"/>
        <v>0</v>
      </c>
      <c r="BE9" s="108"/>
      <c r="BF9" s="452"/>
      <c r="BG9" s="106"/>
      <c r="BH9" s="108">
        <f t="shared" si="11"/>
        <v>0</v>
      </c>
      <c r="BI9" s="108"/>
      <c r="BJ9" s="452"/>
      <c r="BK9" s="106"/>
      <c r="BL9" s="108">
        <f t="shared" si="25"/>
        <v>0</v>
      </c>
      <c r="BM9" s="108"/>
      <c r="BN9" s="452"/>
      <c r="BO9" s="106"/>
      <c r="BP9" s="108">
        <f t="shared" si="26"/>
        <v>0</v>
      </c>
      <c r="BQ9" s="108"/>
      <c r="BR9" s="452"/>
      <c r="BS9" s="106" t="e">
        <f t="shared" si="18"/>
        <v>#DIV/0!</v>
      </c>
      <c r="BT9" s="106">
        <f t="shared" si="19"/>
        <v>0</v>
      </c>
      <c r="BU9" s="108"/>
      <c r="BV9" s="465"/>
      <c r="BW9" s="462"/>
      <c r="BX9" s="463"/>
      <c r="BY9" s="462"/>
      <c r="BZ9" s="216"/>
      <c r="CA9" s="474"/>
      <c r="CB9" s="463"/>
      <c r="CC9" s="463"/>
      <c r="CD9" s="475"/>
      <c r="CE9" s="463"/>
      <c r="CF9" s="463"/>
      <c r="CG9" s="122"/>
      <c r="CH9" s="461"/>
      <c r="CI9" s="122"/>
      <c r="CJ9" s="122"/>
      <c r="CK9" s="283">
        <f t="shared" si="20"/>
        <v>0</v>
      </c>
      <c r="CL9" s="665">
        <f>R9+V9+Z9+AD9+BV9+BZ9+F9+J9+N9+AL9+CD9+AP9+AT9+AX9+BF9</f>
        <v>0</v>
      </c>
      <c r="CM9" s="285"/>
      <c r="CN9" s="285"/>
      <c r="CP9" s="142">
        <f t="shared" si="15"/>
        <v>0</v>
      </c>
      <c r="CQ9" s="137">
        <f t="shared" si="16"/>
        <v>0</v>
      </c>
      <c r="CS9" s="146">
        <f t="shared" si="17"/>
        <v>0</v>
      </c>
      <c r="CT9" s="137">
        <f t="shared" si="21"/>
        <v>0</v>
      </c>
      <c r="CU9" s="137">
        <f t="shared" si="22"/>
        <v>0</v>
      </c>
      <c r="CV9" s="137">
        <f t="shared" si="23"/>
        <v>0</v>
      </c>
      <c r="CW9" s="137">
        <f t="shared" si="24"/>
        <v>0</v>
      </c>
      <c r="CX9" s="458"/>
      <c r="CY9" s="458"/>
    </row>
    <row r="10" spans="1:183" s="137" customFormat="1">
      <c r="A10" s="114">
        <v>220</v>
      </c>
      <c r="B10" s="869" t="s">
        <v>106</v>
      </c>
      <c r="C10" s="870"/>
      <c r="D10" s="871"/>
      <c r="E10" s="113">
        <f>E11+E12+E16+E27+E14</f>
        <v>126</v>
      </c>
      <c r="F10" s="78">
        <f>F11+F12+F16+F27</f>
        <v>78.211160000000007</v>
      </c>
      <c r="G10" s="113">
        <f>F10/E10*100</f>
        <v>62.072349206349209</v>
      </c>
      <c r="H10" s="113">
        <f t="shared" si="0"/>
        <v>-47.788839999999993</v>
      </c>
      <c r="I10" s="113">
        <f>I11+I12+I16+I27+I14</f>
        <v>178</v>
      </c>
      <c r="J10" s="78">
        <f>J11+J12+J16+J27+J14</f>
        <v>71.550740000000005</v>
      </c>
      <c r="K10" s="113">
        <f>J10/I10*100</f>
        <v>40.197044943820224</v>
      </c>
      <c r="L10" s="114"/>
      <c r="M10" s="113">
        <f>M11+M12+M16+M27+M14</f>
        <v>224</v>
      </c>
      <c r="N10" s="78">
        <f>N11+N12+N16+N27+N14</f>
        <v>191.85890000000001</v>
      </c>
      <c r="O10" s="113">
        <f>N10/M10*100</f>
        <v>85.651294642857152</v>
      </c>
      <c r="P10" s="477">
        <f t="shared" ref="P10:P76" si="29">N10-M10</f>
        <v>-32.141099999999994</v>
      </c>
      <c r="Q10" s="466">
        <f>Q11+Q12+Q16+Q27+Q14</f>
        <v>193</v>
      </c>
      <c r="R10" s="248">
        <f>R11+R12+R16+R27+R14</f>
        <v>129.02449000000001</v>
      </c>
      <c r="S10" s="113">
        <f t="shared" ref="S10:S17" si="30">R10/Q10*100</f>
        <v>66.852067357512951</v>
      </c>
      <c r="T10" s="113">
        <f>R10-Q10</f>
        <v>-63.975509999999986</v>
      </c>
      <c r="U10" s="466">
        <f>U11+U12+U16+U27+U14</f>
        <v>201</v>
      </c>
      <c r="V10" s="248">
        <f>V11+V12+V16+V27+V14</f>
        <v>96.547569999999993</v>
      </c>
      <c r="W10" s="466">
        <f>V10/U10*100</f>
        <v>48.033616915422883</v>
      </c>
      <c r="X10" s="477">
        <f t="shared" ref="X10:X17" si="31">V10-U10</f>
        <v>-104.45243000000001</v>
      </c>
      <c r="Y10" s="466">
        <f>Y11+Y12+Y16+Y27+Y14</f>
        <v>179</v>
      </c>
      <c r="Z10" s="248">
        <f>Z11+Z12+Z16+Z27+Z14</f>
        <v>222.91588999999999</v>
      </c>
      <c r="AA10" s="466">
        <f>Z10/Y10*100</f>
        <v>124.53401675977653</v>
      </c>
      <c r="AB10" s="477">
        <f t="shared" si="1"/>
        <v>43.91588999999999</v>
      </c>
      <c r="AC10" s="466">
        <f>AC11+AC12+AC16+AC27+AC14</f>
        <v>174</v>
      </c>
      <c r="AD10" s="248">
        <f>AD11+AD12+AD16+AD27</f>
        <v>80.04634999999999</v>
      </c>
      <c r="AE10" s="466">
        <f>AD10/AC10*100</f>
        <v>46.00364942528735</v>
      </c>
      <c r="AF10" s="477">
        <f t="shared" si="2"/>
        <v>-93.95365000000001</v>
      </c>
      <c r="AG10" s="466">
        <f t="shared" si="3"/>
        <v>1275</v>
      </c>
      <c r="AH10" s="248">
        <f>AH11+AH12+AH16+AH27</f>
        <v>870.15510000000017</v>
      </c>
      <c r="AI10" s="466">
        <f>AH10/AG10*100</f>
        <v>68.247458823529428</v>
      </c>
      <c r="AJ10" s="466">
        <f t="shared" ref="AJ10:AJ76" si="32">AH10-AG10</f>
        <v>-404.84489999999983</v>
      </c>
      <c r="AK10" s="466">
        <f>AK11+AK12+AK16+AK27+AK14</f>
        <v>40</v>
      </c>
      <c r="AL10" s="248">
        <f>AL11+AL12+AL16+AL27+AL14+AL48</f>
        <v>20.45504</v>
      </c>
      <c r="AM10" s="466">
        <f t="shared" ref="AM10:AM17" si="33">AL10/AK10*100</f>
        <v>51.137600000000006</v>
      </c>
      <c r="AN10" s="113">
        <f t="shared" si="4"/>
        <v>-19.54496</v>
      </c>
      <c r="AO10" s="113">
        <f>AO11+AO12+AO16+AO27+AO14</f>
        <v>10</v>
      </c>
      <c r="AP10" s="248">
        <f>AP11+AP12+AP16+AP27+AP14+AP48</f>
        <v>2.0499999999999998</v>
      </c>
      <c r="AQ10" s="113">
        <f>AP10/AO10*100</f>
        <v>20.5</v>
      </c>
      <c r="AR10" s="113">
        <f t="shared" si="5"/>
        <v>-7.95</v>
      </c>
      <c r="AS10" s="113">
        <f>AS11+AS12+AS16+AS27+AS14</f>
        <v>40</v>
      </c>
      <c r="AT10" s="248">
        <f>AT11+AT12+AT16+AT27+AT14+AT48</f>
        <v>45.038399999999996</v>
      </c>
      <c r="AU10" s="113">
        <f>AT10/AS10*100</f>
        <v>112.59599999999999</v>
      </c>
      <c r="AV10" s="113">
        <f t="shared" si="6"/>
        <v>5.0383999999999958</v>
      </c>
      <c r="AW10" s="113">
        <f>AW11+AW12+AW16+AW27+AW14</f>
        <v>45</v>
      </c>
      <c r="AX10" s="248">
        <f>AX11+AX12+AX16+AX27+AX14+AX48</f>
        <v>9.1959999999999997</v>
      </c>
      <c r="AY10" s="113">
        <f>AX10/AW10*100</f>
        <v>20.435555555555553</v>
      </c>
      <c r="AZ10" s="113">
        <f t="shared" si="7"/>
        <v>-35.804000000000002</v>
      </c>
      <c r="BA10" s="113">
        <f t="shared" si="8"/>
        <v>135</v>
      </c>
      <c r="BB10" s="78">
        <f t="shared" si="9"/>
        <v>76.739440000000002</v>
      </c>
      <c r="BC10" s="113">
        <f>BB10/BA10*100</f>
        <v>56.844029629629631</v>
      </c>
      <c r="BD10" s="113">
        <f t="shared" si="10"/>
        <v>-58.260559999999998</v>
      </c>
      <c r="BE10" s="113">
        <f>BE11+BE12+BE16+BE27+BE14</f>
        <v>4</v>
      </c>
      <c r="BF10" s="113">
        <f>BF11+BF12+BF16+BF27+BF14</f>
        <v>10.398999999999999</v>
      </c>
      <c r="BG10" s="113">
        <f>BF10/BE10*100</f>
        <v>259.97499999999997</v>
      </c>
      <c r="BH10" s="113">
        <f t="shared" si="11"/>
        <v>6.3989999999999991</v>
      </c>
      <c r="BI10" s="113">
        <f>BI11+BI12+BI16+BI27+BI14</f>
        <v>4</v>
      </c>
      <c r="BJ10" s="113">
        <f>BJ11+BJ12+BJ16+BJ27+BJ14</f>
        <v>0</v>
      </c>
      <c r="BK10" s="113">
        <f>BJ10/BI10*100</f>
        <v>0</v>
      </c>
      <c r="BL10" s="113">
        <f t="shared" si="25"/>
        <v>-4</v>
      </c>
      <c r="BM10" s="113">
        <f>BM11+BM12+BM16+BM27+BM14</f>
        <v>4</v>
      </c>
      <c r="BN10" s="113">
        <f>BN11+BN12+BN16+BN27+BN14</f>
        <v>34.880000000000003</v>
      </c>
      <c r="BO10" s="113">
        <f>BN10/BM10*100</f>
        <v>872.00000000000011</v>
      </c>
      <c r="BP10" s="113">
        <f t="shared" si="26"/>
        <v>30.880000000000003</v>
      </c>
      <c r="BQ10" s="113">
        <f>BQ11+BQ12+BQ16+BQ27</f>
        <v>20</v>
      </c>
      <c r="BR10" s="113">
        <f>BR11+BR12+BR16+BR27</f>
        <v>0</v>
      </c>
      <c r="BS10" s="113">
        <f t="shared" si="18"/>
        <v>0</v>
      </c>
      <c r="BT10" s="113">
        <f t="shared" si="19"/>
        <v>-20</v>
      </c>
      <c r="BU10" s="113">
        <f>BU11+BU12+BU16+BU27</f>
        <v>19.3</v>
      </c>
      <c r="BV10" s="466">
        <f>BV11+BV12+BV16+BV27</f>
        <v>7.2669999999999995</v>
      </c>
      <c r="BW10" s="466">
        <v>0</v>
      </c>
      <c r="BX10" s="477">
        <f t="shared" ref="BX10:BX17" si="34">BV10-BU10</f>
        <v>-12.033000000000001</v>
      </c>
      <c r="BY10" s="466">
        <f>BY11+BY12+BY16+BY27+BY15</f>
        <v>1315</v>
      </c>
      <c r="BZ10" s="248">
        <f>BZ11+BZ12+BZ16+BZ27</f>
        <v>459.55849999999998</v>
      </c>
      <c r="CA10" s="476">
        <f>BZ10/BY10*100</f>
        <v>34.9474144486692</v>
      </c>
      <c r="CB10" s="477">
        <f t="shared" si="27"/>
        <v>-855.44150000000002</v>
      </c>
      <c r="CC10" s="466">
        <f>CC11+CC12+CC16+CC27</f>
        <v>18</v>
      </c>
      <c r="CD10" s="248">
        <f>CD11+CD12+CD16+CD27</f>
        <v>6.8</v>
      </c>
      <c r="CE10" s="476">
        <f>CD10/CC10*100</f>
        <v>37.777777777777779</v>
      </c>
      <c r="CF10" s="477">
        <f>CD10-CC10</f>
        <v>-11.2</v>
      </c>
      <c r="CG10" s="113">
        <f>CG11+CG12+CG16+CG27+CG14</f>
        <v>63</v>
      </c>
      <c r="CH10" s="113">
        <f>CH11+CH12+CH16+CH27+CH14</f>
        <v>78.545560000000009</v>
      </c>
      <c r="CI10" s="115">
        <f>CH10/CG10*100</f>
        <v>124.67549206349209</v>
      </c>
      <c r="CJ10" s="114">
        <f>CH10-CG10</f>
        <v>15.545560000000009</v>
      </c>
      <c r="CK10" s="113">
        <f>CK11+CK12+CK16+CK27+CK14</f>
        <v>2857.3</v>
      </c>
      <c r="CL10" s="663">
        <f>CL11+CL12+CL16+CL27+CL48</f>
        <v>1544.3446000000001</v>
      </c>
      <c r="CM10" s="113">
        <f t="shared" si="13"/>
        <v>54.049088300143488</v>
      </c>
      <c r="CN10" s="113">
        <f t="shared" si="14"/>
        <v>-1312.9554000000001</v>
      </c>
      <c r="CP10" s="137">
        <f t="shared" si="15"/>
        <v>1465.7990400000001</v>
      </c>
      <c r="CQ10" s="137">
        <f t="shared" si="16"/>
        <v>2774.3</v>
      </c>
      <c r="CS10" s="137">
        <f t="shared" si="17"/>
        <v>1465.7990400000001</v>
      </c>
      <c r="CT10" s="137">
        <f t="shared" si="21"/>
        <v>1544.3446000000001</v>
      </c>
      <c r="CU10" s="137">
        <f t="shared" si="22"/>
        <v>1544.3446000000001</v>
      </c>
      <c r="CV10" s="137">
        <f t="shared" si="23"/>
        <v>992.17354</v>
      </c>
      <c r="CW10" s="137">
        <f t="shared" si="24"/>
        <v>2857.3</v>
      </c>
    </row>
    <row r="11" spans="1:183" s="142" customFormat="1" ht="13.5">
      <c r="A11" s="143">
        <v>221</v>
      </c>
      <c r="B11" s="1029" t="s">
        <v>107</v>
      </c>
      <c r="C11" s="1030"/>
      <c r="D11" s="1031"/>
      <c r="E11" s="15">
        <v>32</v>
      </c>
      <c r="F11" s="15">
        <v>41.789520000000003</v>
      </c>
      <c r="G11" s="106">
        <f>F11/E11*100</f>
        <v>130.59225000000001</v>
      </c>
      <c r="H11" s="106">
        <f t="shared" si="0"/>
        <v>9.7895200000000031</v>
      </c>
      <c r="I11" s="106">
        <v>32</v>
      </c>
      <c r="J11" s="15">
        <v>27.207190000000001</v>
      </c>
      <c r="K11" s="106">
        <f>J11/I11*100</f>
        <v>85.022468750000002</v>
      </c>
      <c r="L11" s="143">
        <f t="shared" si="28"/>
        <v>-4.7928099999999993</v>
      </c>
      <c r="M11" s="106">
        <v>37</v>
      </c>
      <c r="N11" s="15">
        <v>4.7005800000000004</v>
      </c>
      <c r="O11" s="106">
        <f>N11/M11*100</f>
        <v>12.704270270270271</v>
      </c>
      <c r="P11" s="483">
        <f t="shared" si="29"/>
        <v>-32.299419999999998</v>
      </c>
      <c r="Q11" s="469">
        <v>37</v>
      </c>
      <c r="R11" s="588">
        <v>23.889600000000002</v>
      </c>
      <c r="S11" s="111">
        <f t="shared" si="30"/>
        <v>64.566486486486482</v>
      </c>
      <c r="T11" s="143">
        <f>R11-Q11</f>
        <v>-13.110399999999998</v>
      </c>
      <c r="U11" s="469">
        <v>32</v>
      </c>
      <c r="V11" s="588">
        <v>19.717890000000001</v>
      </c>
      <c r="W11" s="469">
        <f>V11/U11*100</f>
        <v>61.61840625</v>
      </c>
      <c r="X11" s="469">
        <f t="shared" si="31"/>
        <v>-12.282109999999999</v>
      </c>
      <c r="Y11" s="469">
        <v>32</v>
      </c>
      <c r="Z11" s="588">
        <v>19.494</v>
      </c>
      <c r="AA11" s="469">
        <f>Z11/Y11*100</f>
        <v>60.918750000000003</v>
      </c>
      <c r="AB11" s="483">
        <f t="shared" si="1"/>
        <v>-12.506</v>
      </c>
      <c r="AC11" s="469">
        <v>32</v>
      </c>
      <c r="AD11" s="588">
        <v>15.1488</v>
      </c>
      <c r="AE11" s="469">
        <f>AD11/AC11*100</f>
        <v>47.339999999999996</v>
      </c>
      <c r="AF11" s="483">
        <f t="shared" si="2"/>
        <v>-16.851199999999999</v>
      </c>
      <c r="AG11" s="468">
        <f t="shared" si="3"/>
        <v>234</v>
      </c>
      <c r="AH11" s="468">
        <f>F11+J11+N11+R11+V11+Z11+AD11</f>
        <v>151.94758000000002</v>
      </c>
      <c r="AI11" s="468">
        <f>AH11/AG11*100</f>
        <v>64.934863247863248</v>
      </c>
      <c r="AJ11" s="468">
        <f t="shared" si="32"/>
        <v>-82.052419999999984</v>
      </c>
      <c r="AK11" s="469"/>
      <c r="AL11" s="588"/>
      <c r="AM11" s="469">
        <v>0</v>
      </c>
      <c r="AN11" s="106">
        <f t="shared" si="4"/>
        <v>0</v>
      </c>
      <c r="AO11" s="106"/>
      <c r="AP11" s="451"/>
      <c r="AQ11" s="106"/>
      <c r="AR11" s="106">
        <f t="shared" si="5"/>
        <v>0</v>
      </c>
      <c r="AS11" s="106"/>
      <c r="AT11" s="468">
        <v>0</v>
      </c>
      <c r="AU11" s="469">
        <v>0</v>
      </c>
      <c r="AV11" s="469">
        <f t="shared" si="6"/>
        <v>0</v>
      </c>
      <c r="AW11" s="469"/>
      <c r="AX11" s="588"/>
      <c r="AY11" s="106">
        <v>0</v>
      </c>
      <c r="AZ11" s="106">
        <f t="shared" si="7"/>
        <v>0</v>
      </c>
      <c r="BA11" s="451">
        <f t="shared" si="8"/>
        <v>0</v>
      </c>
      <c r="BB11" s="15">
        <f t="shared" si="9"/>
        <v>0</v>
      </c>
      <c r="BC11" s="451"/>
      <c r="BD11" s="451">
        <f t="shared" si="10"/>
        <v>0</v>
      </c>
      <c r="BE11" s="106">
        <v>4</v>
      </c>
      <c r="BF11" s="468"/>
      <c r="BG11" s="106"/>
      <c r="BH11" s="106">
        <f t="shared" si="11"/>
        <v>-4</v>
      </c>
      <c r="BI11" s="106">
        <v>4</v>
      </c>
      <c r="BJ11" s="468"/>
      <c r="BK11" s="106"/>
      <c r="BL11" s="106">
        <f t="shared" si="25"/>
        <v>-4</v>
      </c>
      <c r="BM11" s="106">
        <v>4</v>
      </c>
      <c r="BN11" s="468"/>
      <c r="BO11" s="106">
        <f>BN11/BM11*100</f>
        <v>0</v>
      </c>
      <c r="BP11" s="106">
        <f t="shared" si="26"/>
        <v>-4</v>
      </c>
      <c r="BQ11" s="106"/>
      <c r="BR11" s="451"/>
      <c r="BS11" s="106">
        <v>0</v>
      </c>
      <c r="BT11" s="106">
        <f t="shared" si="19"/>
        <v>0</v>
      </c>
      <c r="BU11" s="106"/>
      <c r="BV11" s="468"/>
      <c r="BW11" s="469"/>
      <c r="BX11" s="483">
        <f t="shared" si="34"/>
        <v>0</v>
      </c>
      <c r="BY11" s="469">
        <v>353</v>
      </c>
      <c r="BZ11" s="588">
        <v>141.42954</v>
      </c>
      <c r="CA11" s="484">
        <f>BZ11/BY11*100</f>
        <v>40.06502549575071</v>
      </c>
      <c r="CB11" s="483">
        <f t="shared" si="27"/>
        <v>-211.57046</v>
      </c>
      <c r="CC11" s="483"/>
      <c r="CD11" s="591"/>
      <c r="CE11" s="483"/>
      <c r="CF11" s="483"/>
      <c r="CG11" s="143"/>
      <c r="CH11" s="587"/>
      <c r="CI11" s="143"/>
      <c r="CJ11" s="143"/>
      <c r="CK11" s="451">
        <f t="shared" si="20"/>
        <v>599</v>
      </c>
      <c r="CL11" s="666">
        <f>AH11+BB11+BF11+BJ11+BN11+BR11+BV11+BZ11+CD11+CH11</f>
        <v>293.37711999999999</v>
      </c>
      <c r="CM11" s="451">
        <f t="shared" si="13"/>
        <v>48.977816360601004</v>
      </c>
      <c r="CN11" s="451">
        <f t="shared" si="14"/>
        <v>-305.62288000000001</v>
      </c>
      <c r="CO11" s="142">
        <v>54.6</v>
      </c>
      <c r="CP11" s="142">
        <f t="shared" si="15"/>
        <v>293.37711999999999</v>
      </c>
      <c r="CQ11" s="137">
        <f t="shared" si="16"/>
        <v>599</v>
      </c>
      <c r="CS11" s="146">
        <f t="shared" si="17"/>
        <v>293.37711999999999</v>
      </c>
      <c r="CT11" s="137">
        <f t="shared" si="21"/>
        <v>293.37711999999999</v>
      </c>
      <c r="CU11" s="137">
        <f t="shared" si="22"/>
        <v>293.37711999999999</v>
      </c>
      <c r="CV11" s="137">
        <f t="shared" si="23"/>
        <v>151.94758000000002</v>
      </c>
      <c r="CW11" s="137">
        <f t="shared" si="24"/>
        <v>599</v>
      </c>
      <c r="CX11" s="458"/>
      <c r="CY11" s="458"/>
      <c r="CZ11" s="458"/>
      <c r="DA11" s="458"/>
      <c r="DB11" s="458"/>
      <c r="DC11" s="458"/>
      <c r="DD11" s="458"/>
      <c r="DE11" s="458"/>
      <c r="DF11" s="458"/>
      <c r="DG11" s="458"/>
      <c r="DH11" s="458"/>
      <c r="DI11" s="458"/>
      <c r="DJ11" s="458"/>
      <c r="DK11" s="458"/>
      <c r="DL11" s="458"/>
      <c r="DM11" s="458"/>
      <c r="DN11" s="458"/>
      <c r="DO11" s="458"/>
      <c r="DP11" s="458"/>
      <c r="DQ11" s="458"/>
      <c r="DR11" s="458"/>
      <c r="DS11" s="458"/>
      <c r="DT11" s="458"/>
      <c r="DU11" s="458"/>
      <c r="DV11" s="458"/>
      <c r="DW11" s="458"/>
      <c r="DX11" s="458"/>
      <c r="DY11" s="458"/>
      <c r="DZ11" s="458"/>
      <c r="EA11" s="458"/>
      <c r="EB11" s="458"/>
      <c r="EC11" s="458"/>
      <c r="ED11" s="458"/>
      <c r="EE11" s="458"/>
      <c r="EF11" s="458"/>
      <c r="EG11" s="458"/>
      <c r="EH11" s="458"/>
      <c r="EI11" s="458"/>
      <c r="EJ11" s="458"/>
      <c r="EK11" s="458"/>
      <c r="EL11" s="458"/>
      <c r="EM11" s="458"/>
      <c r="EN11" s="458"/>
      <c r="EO11" s="458"/>
      <c r="EP11" s="458"/>
      <c r="EQ11" s="458"/>
      <c r="ER11" s="458"/>
      <c r="ES11" s="458"/>
      <c r="ET11" s="458"/>
      <c r="EU11" s="458"/>
      <c r="EV11" s="458"/>
      <c r="EW11" s="458"/>
      <c r="EX11" s="458"/>
      <c r="EY11" s="458"/>
      <c r="EZ11" s="458"/>
      <c r="FA11" s="458"/>
      <c r="FB11" s="458"/>
      <c r="FC11" s="458"/>
      <c r="FD11" s="458"/>
      <c r="FE11" s="458"/>
      <c r="FF11" s="458"/>
      <c r="FG11" s="458"/>
      <c r="FH11" s="458"/>
      <c r="FI11" s="458"/>
      <c r="FJ11" s="458"/>
      <c r="FK11" s="458"/>
      <c r="FL11" s="458"/>
      <c r="FM11" s="458"/>
      <c r="FN11" s="458"/>
      <c r="FO11" s="458"/>
      <c r="FP11" s="458"/>
      <c r="FQ11" s="458"/>
      <c r="FR11" s="458"/>
      <c r="FS11" s="458"/>
      <c r="FT11" s="458"/>
      <c r="FU11" s="458"/>
      <c r="FV11" s="458"/>
      <c r="FW11" s="458"/>
      <c r="FX11" s="458"/>
      <c r="FY11" s="458"/>
      <c r="FZ11" s="458"/>
      <c r="GA11" s="458"/>
    </row>
    <row r="12" spans="1:183" s="459" customFormat="1" ht="13.5">
      <c r="A12" s="587">
        <v>222</v>
      </c>
      <c r="B12" s="1014" t="s">
        <v>204</v>
      </c>
      <c r="C12" s="1015"/>
      <c r="D12" s="1016"/>
      <c r="E12" s="541">
        <f>E13</f>
        <v>0</v>
      </c>
      <c r="F12" s="542">
        <f>F13</f>
        <v>0</v>
      </c>
      <c r="G12" s="451"/>
      <c r="H12" s="541">
        <f t="shared" si="0"/>
        <v>0</v>
      </c>
      <c r="I12" s="541">
        <f>I13</f>
        <v>0</v>
      </c>
      <c r="J12" s="542"/>
      <c r="K12" s="541"/>
      <c r="L12" s="540">
        <f t="shared" si="28"/>
        <v>0</v>
      </c>
      <c r="M12" s="541">
        <f>M13</f>
        <v>0</v>
      </c>
      <c r="N12" s="541">
        <f>N13</f>
        <v>0</v>
      </c>
      <c r="O12" s="541"/>
      <c r="P12" s="543">
        <f t="shared" si="29"/>
        <v>0</v>
      </c>
      <c r="Q12" s="473">
        <f>Q13</f>
        <v>0</v>
      </c>
      <c r="R12" s="544">
        <f>R13</f>
        <v>0</v>
      </c>
      <c r="S12" s="541"/>
      <c r="T12" s="541">
        <f>R12-Q12</f>
        <v>0</v>
      </c>
      <c r="U12" s="473">
        <f>U13</f>
        <v>0</v>
      </c>
      <c r="V12" s="544"/>
      <c r="W12" s="473"/>
      <c r="X12" s="543">
        <f t="shared" si="31"/>
        <v>0</v>
      </c>
      <c r="Y12" s="473">
        <f>Y13</f>
        <v>0</v>
      </c>
      <c r="Z12" s="544">
        <f>Z13</f>
        <v>0</v>
      </c>
      <c r="AA12" s="473"/>
      <c r="AB12" s="543">
        <f t="shared" si="1"/>
        <v>0</v>
      </c>
      <c r="AC12" s="473">
        <f>AC13</f>
        <v>0</v>
      </c>
      <c r="AD12" s="544">
        <f>AD13</f>
        <v>0</v>
      </c>
      <c r="AE12" s="473"/>
      <c r="AF12" s="543">
        <f t="shared" si="2"/>
        <v>0</v>
      </c>
      <c r="AG12" s="468">
        <f t="shared" si="3"/>
        <v>0</v>
      </c>
      <c r="AH12" s="544">
        <f>AH13</f>
        <v>0</v>
      </c>
      <c r="AI12" s="473"/>
      <c r="AJ12" s="543">
        <f t="shared" si="32"/>
        <v>0</v>
      </c>
      <c r="AK12" s="473">
        <f>AK13</f>
        <v>0</v>
      </c>
      <c r="AL12" s="544"/>
      <c r="AM12" s="468"/>
      <c r="AN12" s="541">
        <f t="shared" si="4"/>
        <v>0</v>
      </c>
      <c r="AO12" s="541">
        <f>AO13</f>
        <v>0</v>
      </c>
      <c r="AP12" s="541"/>
      <c r="AQ12" s="451"/>
      <c r="AR12" s="541">
        <f t="shared" si="5"/>
        <v>0</v>
      </c>
      <c r="AS12" s="541">
        <f>AS13</f>
        <v>0</v>
      </c>
      <c r="AT12" s="541">
        <f>AT13</f>
        <v>0</v>
      </c>
      <c r="AU12" s="451"/>
      <c r="AV12" s="541">
        <f t="shared" si="6"/>
        <v>0</v>
      </c>
      <c r="AW12" s="541">
        <f>AW13</f>
        <v>0</v>
      </c>
      <c r="AX12" s="542"/>
      <c r="AY12" s="451"/>
      <c r="AZ12" s="541">
        <f t="shared" si="7"/>
        <v>0</v>
      </c>
      <c r="BA12" s="451">
        <f t="shared" si="8"/>
        <v>0</v>
      </c>
      <c r="BB12" s="15">
        <f t="shared" si="9"/>
        <v>0</v>
      </c>
      <c r="BC12" s="451"/>
      <c r="BD12" s="541">
        <f t="shared" si="10"/>
        <v>0</v>
      </c>
      <c r="BE12" s="541">
        <f>BE13</f>
        <v>0</v>
      </c>
      <c r="BF12" s="541">
        <f>BF13</f>
        <v>0</v>
      </c>
      <c r="BG12" s="451"/>
      <c r="BH12" s="541">
        <f t="shared" si="11"/>
        <v>0</v>
      </c>
      <c r="BI12" s="541">
        <f>BI13</f>
        <v>0</v>
      </c>
      <c r="BJ12" s="541">
        <f>BJ13</f>
        <v>0</v>
      </c>
      <c r="BK12" s="451"/>
      <c r="BL12" s="541">
        <f t="shared" si="25"/>
        <v>0</v>
      </c>
      <c r="BM12" s="541">
        <f>BM13</f>
        <v>0</v>
      </c>
      <c r="BN12" s="541">
        <f>BN13</f>
        <v>0</v>
      </c>
      <c r="BO12" s="451"/>
      <c r="BP12" s="541">
        <f t="shared" si="26"/>
        <v>0</v>
      </c>
      <c r="BQ12" s="541">
        <f>BQ13</f>
        <v>20</v>
      </c>
      <c r="BR12" s="541">
        <f>BR13</f>
        <v>0</v>
      </c>
      <c r="BS12" s="451">
        <f t="shared" si="18"/>
        <v>0</v>
      </c>
      <c r="BT12" s="451">
        <f t="shared" si="19"/>
        <v>-20</v>
      </c>
      <c r="BU12" s="541">
        <f>BU13</f>
        <v>11.1</v>
      </c>
      <c r="BV12" s="544">
        <f>BV13</f>
        <v>0</v>
      </c>
      <c r="BW12" s="473">
        <v>0</v>
      </c>
      <c r="BX12" s="543">
        <f>BV12-BU12</f>
        <v>-11.1</v>
      </c>
      <c r="BY12" s="473">
        <f>BY13</f>
        <v>35</v>
      </c>
      <c r="BZ12" s="588">
        <f>BZ13</f>
        <v>22.375</v>
      </c>
      <c r="CA12" s="545">
        <f>BZ12/BY12*100</f>
        <v>63.928571428571423</v>
      </c>
      <c r="CB12" s="543">
        <f t="shared" si="27"/>
        <v>-12.625</v>
      </c>
      <c r="CC12" s="473">
        <f>CC13</f>
        <v>7</v>
      </c>
      <c r="CD12" s="544">
        <f>CD13</f>
        <v>0</v>
      </c>
      <c r="CE12" s="545">
        <f>CD12/CC12*100</f>
        <v>0</v>
      </c>
      <c r="CF12" s="543">
        <f>CD12-CC12</f>
        <v>-7</v>
      </c>
      <c r="CG12" s="541">
        <f>CG13</f>
        <v>0</v>
      </c>
      <c r="CH12" s="542">
        <f>CH13</f>
        <v>14.27</v>
      </c>
      <c r="CI12" s="546"/>
      <c r="CJ12" s="540">
        <f>CH12-CG12</f>
        <v>14.27</v>
      </c>
      <c r="CK12" s="451">
        <f t="shared" si="20"/>
        <v>73.099999999999994</v>
      </c>
      <c r="CL12" s="667">
        <f>CL13</f>
        <v>36.644999999999996</v>
      </c>
      <c r="CM12" s="541">
        <f t="shared" si="13"/>
        <v>50.129958960328317</v>
      </c>
      <c r="CN12" s="541">
        <f t="shared" si="14"/>
        <v>-36.454999999999998</v>
      </c>
      <c r="CP12" s="458">
        <f t="shared" si="15"/>
        <v>22.375</v>
      </c>
      <c r="CQ12" s="458">
        <f t="shared" si="16"/>
        <v>53.1</v>
      </c>
      <c r="CS12" s="458">
        <f t="shared" si="17"/>
        <v>22.375</v>
      </c>
      <c r="CT12" s="458">
        <f t="shared" si="21"/>
        <v>36.644999999999996</v>
      </c>
      <c r="CU12" s="458">
        <f t="shared" si="22"/>
        <v>36.644999999999996</v>
      </c>
      <c r="CV12" s="458">
        <f t="shared" si="23"/>
        <v>0</v>
      </c>
      <c r="CW12" s="458">
        <f t="shared" si="24"/>
        <v>73.099999999999994</v>
      </c>
      <c r="CX12" s="458"/>
      <c r="CY12" s="458"/>
    </row>
    <row r="13" spans="1:183" ht="24" customHeight="1">
      <c r="A13" s="122"/>
      <c r="B13" s="893" t="s">
        <v>205</v>
      </c>
      <c r="C13" s="894"/>
      <c r="D13" s="895"/>
      <c r="E13" s="108"/>
      <c r="F13" s="16"/>
      <c r="G13" s="108"/>
      <c r="H13" s="108">
        <f t="shared" si="0"/>
        <v>0</v>
      </c>
      <c r="I13" s="108"/>
      <c r="J13" s="16"/>
      <c r="K13" s="108"/>
      <c r="L13" s="122">
        <f t="shared" si="28"/>
        <v>0</v>
      </c>
      <c r="M13" s="108"/>
      <c r="N13" s="16"/>
      <c r="O13" s="108"/>
      <c r="P13" s="463">
        <f t="shared" si="29"/>
        <v>0</v>
      </c>
      <c r="Q13" s="462">
        <v>0</v>
      </c>
      <c r="R13" s="216"/>
      <c r="S13" s="109"/>
      <c r="T13" s="108">
        <f>R13-Q13</f>
        <v>0</v>
      </c>
      <c r="U13" s="462"/>
      <c r="V13" s="216"/>
      <c r="W13" s="462"/>
      <c r="X13" s="463">
        <f t="shared" si="31"/>
        <v>0</v>
      </c>
      <c r="Y13" s="462"/>
      <c r="Z13" s="216"/>
      <c r="AA13" s="462"/>
      <c r="AB13" s="463">
        <f t="shared" si="1"/>
        <v>0</v>
      </c>
      <c r="AC13" s="462"/>
      <c r="AD13" s="216"/>
      <c r="AE13" s="462"/>
      <c r="AF13" s="463">
        <f t="shared" si="2"/>
        <v>0</v>
      </c>
      <c r="AG13" s="468">
        <f t="shared" si="3"/>
        <v>0</v>
      </c>
      <c r="AH13" s="465">
        <f>F13+J13+N13+R13+V13+Z13+AD13</f>
        <v>0</v>
      </c>
      <c r="AI13" s="465"/>
      <c r="AJ13" s="475">
        <f t="shared" si="32"/>
        <v>0</v>
      </c>
      <c r="AK13" s="462"/>
      <c r="AL13" s="216"/>
      <c r="AM13" s="462"/>
      <c r="AN13" s="108">
        <f t="shared" si="4"/>
        <v>0</v>
      </c>
      <c r="AO13" s="108"/>
      <c r="AP13" s="452"/>
      <c r="AQ13" s="108"/>
      <c r="AR13" s="108">
        <f t="shared" si="5"/>
        <v>0</v>
      </c>
      <c r="AS13" s="108"/>
      <c r="AT13" s="465"/>
      <c r="AU13" s="108"/>
      <c r="AV13" s="108">
        <f t="shared" si="6"/>
        <v>0</v>
      </c>
      <c r="AW13" s="108"/>
      <c r="AX13" s="16"/>
      <c r="AY13" s="108"/>
      <c r="AZ13" s="108">
        <f t="shared" si="7"/>
        <v>0</v>
      </c>
      <c r="BA13" s="451">
        <f t="shared" si="8"/>
        <v>0</v>
      </c>
      <c r="BB13" s="15">
        <f t="shared" si="9"/>
        <v>0</v>
      </c>
      <c r="BC13" s="452"/>
      <c r="BD13" s="452">
        <f t="shared" si="10"/>
        <v>0</v>
      </c>
      <c r="BE13" s="108"/>
      <c r="BF13" s="452"/>
      <c r="BG13" s="108"/>
      <c r="BH13" s="108">
        <f t="shared" si="11"/>
        <v>0</v>
      </c>
      <c r="BI13" s="108"/>
      <c r="BJ13" s="452"/>
      <c r="BK13" s="108"/>
      <c r="BL13" s="108">
        <f t="shared" si="25"/>
        <v>0</v>
      </c>
      <c r="BM13" s="108"/>
      <c r="BN13" s="452"/>
      <c r="BO13" s="108"/>
      <c r="BP13" s="108">
        <f t="shared" si="26"/>
        <v>0</v>
      </c>
      <c r="BQ13" s="108">
        <v>20</v>
      </c>
      <c r="BR13" s="452"/>
      <c r="BS13" s="106">
        <f t="shared" si="18"/>
        <v>0</v>
      </c>
      <c r="BT13" s="106">
        <f t="shared" si="19"/>
        <v>-20</v>
      </c>
      <c r="BU13" s="108">
        <v>11.1</v>
      </c>
      <c r="BV13" s="216"/>
      <c r="BW13" s="462">
        <v>0</v>
      </c>
      <c r="BX13" s="463">
        <f t="shared" si="34"/>
        <v>-11.1</v>
      </c>
      <c r="BY13" s="462">
        <v>35</v>
      </c>
      <c r="BZ13" s="817">
        <v>22.375</v>
      </c>
      <c r="CA13" s="474">
        <f>BZ13/BY13*100</f>
        <v>63.928571428571423</v>
      </c>
      <c r="CB13" s="463">
        <f t="shared" si="27"/>
        <v>-12.625</v>
      </c>
      <c r="CC13" s="463">
        <v>7</v>
      </c>
      <c r="CD13" s="220"/>
      <c r="CE13" s="463"/>
      <c r="CF13" s="463"/>
      <c r="CG13" s="122"/>
      <c r="CH13" s="16">
        <v>14.27</v>
      </c>
      <c r="CI13" s="122"/>
      <c r="CJ13" s="122"/>
      <c r="CK13" s="451">
        <f t="shared" si="20"/>
        <v>73.099999999999994</v>
      </c>
      <c r="CL13" s="614">
        <f>AH13+BB13+BF13+BJ13+BN13+BR13+BV13+BZ13+CD13+CH13</f>
        <v>36.644999999999996</v>
      </c>
      <c r="CM13" s="452">
        <f t="shared" si="13"/>
        <v>50.129958960328317</v>
      </c>
      <c r="CN13" s="452">
        <f t="shared" si="14"/>
        <v>-36.454999999999998</v>
      </c>
      <c r="CP13" s="142">
        <f t="shared" si="15"/>
        <v>22.375</v>
      </c>
      <c r="CQ13" s="137">
        <f t="shared" si="16"/>
        <v>53.1</v>
      </c>
      <c r="CS13" s="146">
        <f t="shared" si="17"/>
        <v>22.375</v>
      </c>
      <c r="CT13" s="137">
        <f t="shared" si="21"/>
        <v>36.644999999999996</v>
      </c>
      <c r="CU13" s="137">
        <f t="shared" si="22"/>
        <v>36.644999999999996</v>
      </c>
      <c r="CV13" s="137">
        <f t="shared" si="23"/>
        <v>0</v>
      </c>
      <c r="CW13" s="137">
        <f t="shared" si="24"/>
        <v>73.099999999999994</v>
      </c>
      <c r="CX13" s="458"/>
      <c r="CY13" s="458"/>
    </row>
    <row r="14" spans="1:183" s="142" customFormat="1" ht="13.5" hidden="1">
      <c r="A14" s="124">
        <v>223</v>
      </c>
      <c r="B14" s="902" t="s">
        <v>622</v>
      </c>
      <c r="C14" s="903"/>
      <c r="D14" s="904"/>
      <c r="E14" s="106"/>
      <c r="F14" s="15"/>
      <c r="G14" s="106"/>
      <c r="H14" s="106"/>
      <c r="I14" s="106"/>
      <c r="J14" s="15"/>
      <c r="K14" s="106"/>
      <c r="L14" s="143"/>
      <c r="M14" s="106"/>
      <c r="N14" s="15"/>
      <c r="O14" s="106"/>
      <c r="P14" s="483"/>
      <c r="Q14" s="469"/>
      <c r="R14" s="588"/>
      <c r="S14" s="111"/>
      <c r="T14" s="106"/>
      <c r="U14" s="469"/>
      <c r="V14" s="588"/>
      <c r="W14" s="469"/>
      <c r="X14" s="483"/>
      <c r="Y14" s="469"/>
      <c r="Z14" s="588"/>
      <c r="AA14" s="469"/>
      <c r="AB14" s="483"/>
      <c r="AC14" s="469"/>
      <c r="AD14" s="588"/>
      <c r="AE14" s="469"/>
      <c r="AF14" s="483"/>
      <c r="AG14" s="467">
        <f t="shared" si="3"/>
        <v>0</v>
      </c>
      <c r="AH14" s="468">
        <f>F14+J14+N14+R14+V14+Z14+AD14</f>
        <v>0</v>
      </c>
      <c r="AI14" s="467"/>
      <c r="AJ14" s="486">
        <f t="shared" si="32"/>
        <v>0</v>
      </c>
      <c r="AK14" s="469"/>
      <c r="AL14" s="588"/>
      <c r="AM14" s="469"/>
      <c r="AN14" s="106"/>
      <c r="AO14" s="106"/>
      <c r="AP14" s="451"/>
      <c r="AQ14" s="106"/>
      <c r="AR14" s="106"/>
      <c r="AS14" s="106"/>
      <c r="AT14" s="451"/>
      <c r="AU14" s="106"/>
      <c r="AV14" s="106"/>
      <c r="AW14" s="106"/>
      <c r="AX14" s="15"/>
      <c r="AY14" s="106"/>
      <c r="AZ14" s="106"/>
      <c r="BA14" s="451">
        <f t="shared" si="8"/>
        <v>0</v>
      </c>
      <c r="BB14" s="15">
        <f t="shared" si="9"/>
        <v>0</v>
      </c>
      <c r="BC14" s="451"/>
      <c r="BD14" s="451"/>
      <c r="BE14" s="106"/>
      <c r="BF14" s="451"/>
      <c r="BG14" s="106"/>
      <c r="BH14" s="106"/>
      <c r="BI14" s="106"/>
      <c r="BJ14" s="451"/>
      <c r="BK14" s="106"/>
      <c r="BL14" s="106"/>
      <c r="BM14" s="106"/>
      <c r="BN14" s="451"/>
      <c r="BO14" s="108"/>
      <c r="BP14" s="106"/>
      <c r="BQ14" s="106"/>
      <c r="BR14" s="451"/>
      <c r="BS14" s="106" t="e">
        <f t="shared" si="18"/>
        <v>#DIV/0!</v>
      </c>
      <c r="BT14" s="106">
        <f t="shared" si="19"/>
        <v>0</v>
      </c>
      <c r="BU14" s="106"/>
      <c r="BV14" s="468"/>
      <c r="BW14" s="469"/>
      <c r="BX14" s="483"/>
      <c r="BY14" s="469"/>
      <c r="BZ14" s="588"/>
      <c r="CA14" s="484"/>
      <c r="CB14" s="483"/>
      <c r="CC14" s="483"/>
      <c r="CD14" s="591"/>
      <c r="CE14" s="483"/>
      <c r="CF14" s="483"/>
      <c r="CG14" s="143"/>
      <c r="CH14" s="587"/>
      <c r="CI14" s="143"/>
      <c r="CJ14" s="143"/>
      <c r="CK14" s="451">
        <f t="shared" si="20"/>
        <v>0</v>
      </c>
      <c r="CL14" s="666">
        <f>R14+V14+Z14+AD14+BV14+BZ14+F14+J14+N14+AL14+CD14+AP14+AT14+AX14+BF14</f>
        <v>0</v>
      </c>
      <c r="CM14" s="283" t="e">
        <f>CL14/CK14*100</f>
        <v>#DIV/0!</v>
      </c>
      <c r="CN14" s="283">
        <f>CL14-CK14</f>
        <v>0</v>
      </c>
      <c r="CP14" s="142">
        <f t="shared" si="15"/>
        <v>0</v>
      </c>
      <c r="CQ14" s="137">
        <f t="shared" si="16"/>
        <v>0</v>
      </c>
      <c r="CS14" s="146">
        <f t="shared" si="17"/>
        <v>0</v>
      </c>
      <c r="CT14" s="137">
        <f t="shared" si="21"/>
        <v>0</v>
      </c>
      <c r="CU14" s="137">
        <f t="shared" si="22"/>
        <v>0</v>
      </c>
      <c r="CV14" s="137">
        <f t="shared" si="23"/>
        <v>0</v>
      </c>
      <c r="CW14" s="137">
        <f t="shared" si="24"/>
        <v>0</v>
      </c>
      <c r="CX14" s="458"/>
      <c r="CY14" s="458"/>
      <c r="CZ14" s="458"/>
      <c r="DA14" s="458"/>
      <c r="DB14" s="458"/>
      <c r="DC14" s="458"/>
      <c r="DD14" s="458"/>
      <c r="DE14" s="458"/>
      <c r="DF14" s="458"/>
      <c r="DG14" s="458"/>
      <c r="DH14" s="458"/>
      <c r="DI14" s="458"/>
      <c r="DJ14" s="458"/>
      <c r="DK14" s="458"/>
      <c r="DL14" s="458"/>
      <c r="DM14" s="458"/>
      <c r="DN14" s="458"/>
      <c r="DO14" s="458"/>
      <c r="DP14" s="458"/>
      <c r="DQ14" s="458"/>
      <c r="DR14" s="458"/>
      <c r="DS14" s="458"/>
      <c r="DT14" s="458"/>
      <c r="DU14" s="458"/>
      <c r="DV14" s="458"/>
      <c r="DW14" s="458"/>
      <c r="DX14" s="458"/>
      <c r="DY14" s="458"/>
      <c r="DZ14" s="458"/>
      <c r="EA14" s="458"/>
      <c r="EB14" s="458"/>
      <c r="EC14" s="458"/>
      <c r="ED14" s="458"/>
      <c r="EE14" s="458"/>
      <c r="EF14" s="458"/>
      <c r="EG14" s="458"/>
      <c r="EH14" s="458"/>
      <c r="EI14" s="458"/>
      <c r="EJ14" s="458"/>
      <c r="EK14" s="458"/>
      <c r="EL14" s="458"/>
      <c r="EM14" s="458"/>
      <c r="EN14" s="458"/>
      <c r="EO14" s="458"/>
      <c r="EP14" s="458"/>
      <c r="EQ14" s="458"/>
      <c r="ER14" s="458"/>
      <c r="ES14" s="458"/>
      <c r="ET14" s="458"/>
      <c r="EU14" s="458"/>
      <c r="EV14" s="458"/>
      <c r="EW14" s="458"/>
      <c r="EX14" s="458"/>
      <c r="EY14" s="458"/>
      <c r="EZ14" s="458"/>
      <c r="FA14" s="458"/>
      <c r="FB14" s="458"/>
      <c r="FC14" s="458"/>
      <c r="FD14" s="458"/>
      <c r="FE14" s="458"/>
      <c r="FF14" s="458"/>
      <c r="FG14" s="458"/>
      <c r="FH14" s="458"/>
      <c r="FI14" s="458"/>
      <c r="FJ14" s="458"/>
      <c r="FK14" s="458"/>
      <c r="FL14" s="458"/>
      <c r="FM14" s="458"/>
      <c r="FN14" s="458"/>
      <c r="FO14" s="458"/>
      <c r="FP14" s="458"/>
      <c r="FQ14" s="458"/>
      <c r="FR14" s="458"/>
      <c r="FS14" s="458"/>
      <c r="FT14" s="458"/>
      <c r="FU14" s="458"/>
      <c r="FV14" s="458"/>
      <c r="FW14" s="458"/>
      <c r="FX14" s="458"/>
      <c r="FY14" s="458"/>
      <c r="FZ14" s="458"/>
      <c r="GA14" s="458"/>
    </row>
    <row r="15" spans="1:183" hidden="1">
      <c r="A15" s="125">
        <v>224</v>
      </c>
      <c r="B15" s="905" t="s">
        <v>401</v>
      </c>
      <c r="C15" s="906"/>
      <c r="D15" s="907"/>
      <c r="E15" s="108"/>
      <c r="F15" s="16"/>
      <c r="G15" s="108"/>
      <c r="H15" s="108"/>
      <c r="I15" s="108"/>
      <c r="J15" s="16"/>
      <c r="K15" s="108"/>
      <c r="L15" s="122"/>
      <c r="M15" s="108"/>
      <c r="N15" s="16"/>
      <c r="O15" s="108"/>
      <c r="P15" s="463"/>
      <c r="Q15" s="462"/>
      <c r="R15" s="216"/>
      <c r="S15" s="109"/>
      <c r="T15" s="108"/>
      <c r="U15" s="462"/>
      <c r="V15" s="216"/>
      <c r="W15" s="462"/>
      <c r="X15" s="463"/>
      <c r="Y15" s="462"/>
      <c r="Z15" s="216"/>
      <c r="AA15" s="462"/>
      <c r="AB15" s="463"/>
      <c r="AC15" s="462"/>
      <c r="AD15" s="216"/>
      <c r="AE15" s="462"/>
      <c r="AF15" s="463"/>
      <c r="AG15" s="467">
        <f t="shared" si="3"/>
        <v>0</v>
      </c>
      <c r="AH15" s="465"/>
      <c r="AI15" s="487"/>
      <c r="AJ15" s="488"/>
      <c r="AK15" s="462"/>
      <c r="AL15" s="216"/>
      <c r="AM15" s="462"/>
      <c r="AN15" s="108"/>
      <c r="AO15" s="108"/>
      <c r="AP15" s="452"/>
      <c r="AQ15" s="108"/>
      <c r="AR15" s="108"/>
      <c r="AS15" s="108"/>
      <c r="AT15" s="452"/>
      <c r="AU15" s="108"/>
      <c r="AV15" s="108"/>
      <c r="AW15" s="108"/>
      <c r="AX15" s="16"/>
      <c r="AY15" s="108"/>
      <c r="AZ15" s="108"/>
      <c r="BA15" s="451">
        <f t="shared" si="8"/>
        <v>0</v>
      </c>
      <c r="BB15" s="15">
        <f t="shared" si="9"/>
        <v>0</v>
      </c>
      <c r="BC15" s="452"/>
      <c r="BD15" s="452"/>
      <c r="BE15" s="108"/>
      <c r="BF15" s="452"/>
      <c r="BG15" s="108"/>
      <c r="BH15" s="108"/>
      <c r="BI15" s="108"/>
      <c r="BJ15" s="452"/>
      <c r="BK15" s="108"/>
      <c r="BL15" s="108"/>
      <c r="BM15" s="108"/>
      <c r="BN15" s="452"/>
      <c r="BO15" s="108"/>
      <c r="BP15" s="108"/>
      <c r="BQ15" s="108"/>
      <c r="BR15" s="452"/>
      <c r="BS15" s="106" t="e">
        <f t="shared" si="18"/>
        <v>#DIV/0!</v>
      </c>
      <c r="BT15" s="106">
        <f t="shared" si="19"/>
        <v>0</v>
      </c>
      <c r="BU15" s="108"/>
      <c r="BV15" s="465"/>
      <c r="BW15" s="462"/>
      <c r="BX15" s="463"/>
      <c r="BY15" s="462"/>
      <c r="BZ15" s="216"/>
      <c r="CA15" s="474"/>
      <c r="CB15" s="463"/>
      <c r="CC15" s="463"/>
      <c r="CD15" s="475"/>
      <c r="CE15" s="485"/>
      <c r="CF15" s="463"/>
      <c r="CG15" s="122"/>
      <c r="CH15" s="461"/>
      <c r="CI15" s="144"/>
      <c r="CJ15" s="122"/>
      <c r="CK15" s="451">
        <f t="shared" si="20"/>
        <v>0</v>
      </c>
      <c r="CL15" s="614">
        <f>R15+V15+Z15+AD15+BV15+BZ15+F15+J15+N15+AL15+CD15+AP15+AT15+AX15+BF15</f>
        <v>0</v>
      </c>
      <c r="CM15" s="285"/>
      <c r="CN15" s="285"/>
      <c r="CP15" s="142">
        <f t="shared" si="15"/>
        <v>0</v>
      </c>
      <c r="CQ15" s="137">
        <f t="shared" si="16"/>
        <v>0</v>
      </c>
      <c r="CS15" s="146">
        <f t="shared" si="17"/>
        <v>0</v>
      </c>
      <c r="CT15" s="137">
        <f t="shared" si="21"/>
        <v>0</v>
      </c>
      <c r="CU15" s="137">
        <f t="shared" si="22"/>
        <v>0</v>
      </c>
      <c r="CV15" s="137">
        <f t="shared" si="23"/>
        <v>0</v>
      </c>
      <c r="CW15" s="137">
        <f t="shared" si="24"/>
        <v>0</v>
      </c>
      <c r="CX15" s="458"/>
      <c r="CY15" s="458"/>
    </row>
    <row r="16" spans="1:183" s="459" customFormat="1" ht="13.5">
      <c r="A16" s="461">
        <v>225</v>
      </c>
      <c r="B16" s="1017" t="s">
        <v>206</v>
      </c>
      <c r="C16" s="1018"/>
      <c r="D16" s="1019"/>
      <c r="E16" s="541">
        <f>SUM(E17:E26)</f>
        <v>11</v>
      </c>
      <c r="F16" s="542">
        <f>SUM(F17:F26)</f>
        <v>0</v>
      </c>
      <c r="G16" s="451">
        <f>F16/E16*100</f>
        <v>0</v>
      </c>
      <c r="H16" s="541">
        <f t="shared" si="0"/>
        <v>-11</v>
      </c>
      <c r="I16" s="541">
        <f>SUM(I17:I26)</f>
        <v>15</v>
      </c>
      <c r="J16" s="542">
        <f>SUM(J17:J26)</f>
        <v>6.9</v>
      </c>
      <c r="K16" s="541">
        <f>J16/I16*100</f>
        <v>46</v>
      </c>
      <c r="L16" s="540">
        <f t="shared" si="28"/>
        <v>-8.1</v>
      </c>
      <c r="M16" s="541">
        <f>SUM(M17:M26)</f>
        <v>26</v>
      </c>
      <c r="N16" s="542">
        <f>SUM(N17:N26)</f>
        <v>22.011499999999998</v>
      </c>
      <c r="O16" s="541">
        <f>N16/M16*100</f>
        <v>84.659615384615378</v>
      </c>
      <c r="P16" s="543">
        <f t="shared" si="29"/>
        <v>-3.9885000000000019</v>
      </c>
      <c r="Q16" s="473">
        <f>SUM(Q17:Q26)</f>
        <v>22</v>
      </c>
      <c r="R16" s="544">
        <f>SUM(R17:R26)</f>
        <v>0</v>
      </c>
      <c r="S16" s="541">
        <f t="shared" si="30"/>
        <v>0</v>
      </c>
      <c r="T16" s="541">
        <f>R16-Q16</f>
        <v>-22</v>
      </c>
      <c r="U16" s="473">
        <f>SUM(U17:U26)</f>
        <v>27</v>
      </c>
      <c r="V16" s="544">
        <f>SUM(V17:V26)</f>
        <v>0</v>
      </c>
      <c r="W16" s="473">
        <f>V16/U16*100</f>
        <v>0</v>
      </c>
      <c r="X16" s="543">
        <f t="shared" si="31"/>
        <v>-27</v>
      </c>
      <c r="Y16" s="473">
        <f>SUM(Y17:Y26)</f>
        <v>19</v>
      </c>
      <c r="Z16" s="544">
        <f>SUM(Z17:Z26)</f>
        <v>11.7049</v>
      </c>
      <c r="AA16" s="473"/>
      <c r="AB16" s="543">
        <f t="shared" si="1"/>
        <v>-7.2950999999999997</v>
      </c>
      <c r="AC16" s="473">
        <f>SUM(AC17:AC26)</f>
        <v>14</v>
      </c>
      <c r="AD16" s="544">
        <f>SUM(AD17:AD26)</f>
        <v>0</v>
      </c>
      <c r="AE16" s="473">
        <f>AD16/AC16*100</f>
        <v>0</v>
      </c>
      <c r="AF16" s="543">
        <f t="shared" si="2"/>
        <v>-14</v>
      </c>
      <c r="AG16" s="468">
        <f t="shared" si="3"/>
        <v>134</v>
      </c>
      <c r="AH16" s="544">
        <f>SUM(AH17:AH26)</f>
        <v>40.616399999999999</v>
      </c>
      <c r="AI16" s="473">
        <f t="shared" ref="AI16:AI42" si="35">AH16/AG16*100</f>
        <v>30.310746268656715</v>
      </c>
      <c r="AJ16" s="543">
        <f t="shared" si="32"/>
        <v>-93.383600000000001</v>
      </c>
      <c r="AK16" s="473">
        <f>SUM(AK17:AK25)</f>
        <v>20</v>
      </c>
      <c r="AL16" s="544">
        <f>SUM(AL17:AL25)</f>
        <v>0</v>
      </c>
      <c r="AM16" s="468">
        <f t="shared" si="33"/>
        <v>0</v>
      </c>
      <c r="AN16" s="541">
        <f t="shared" si="4"/>
        <v>-20</v>
      </c>
      <c r="AO16" s="541">
        <f>SUM(AO17:AO25)</f>
        <v>10</v>
      </c>
      <c r="AP16" s="542">
        <f>SUM(AP17:AP26)</f>
        <v>1</v>
      </c>
      <c r="AQ16" s="451">
        <f>AP16/AO16*100</f>
        <v>10</v>
      </c>
      <c r="AR16" s="541">
        <f>AP16-AO16</f>
        <v>-9</v>
      </c>
      <c r="AS16" s="541">
        <f>SUM(AS17:AS25)</f>
        <v>20</v>
      </c>
      <c r="AT16" s="541">
        <f>SUM(AT17:AT25)</f>
        <v>6</v>
      </c>
      <c r="AU16" s="451">
        <f>AT16/AS16*100</f>
        <v>30</v>
      </c>
      <c r="AV16" s="541">
        <f>AT16-AS16</f>
        <v>-14</v>
      </c>
      <c r="AW16" s="541">
        <f>SUM(AW17:AW25)</f>
        <v>20</v>
      </c>
      <c r="AX16" s="541">
        <f>SUM(AX17:AX26)</f>
        <v>0</v>
      </c>
      <c r="AY16" s="451">
        <f>AX16/AW16*100</f>
        <v>0</v>
      </c>
      <c r="AZ16" s="541">
        <f>AX16-AW16</f>
        <v>-20</v>
      </c>
      <c r="BA16" s="451">
        <f t="shared" si="8"/>
        <v>70</v>
      </c>
      <c r="BB16" s="15">
        <f t="shared" si="9"/>
        <v>7</v>
      </c>
      <c r="BC16" s="451">
        <f>BB16/BA16*100</f>
        <v>10</v>
      </c>
      <c r="BD16" s="541">
        <f>BB16-BA16</f>
        <v>-63</v>
      </c>
      <c r="BE16" s="541">
        <f>SUM(BE17:BE25)</f>
        <v>0</v>
      </c>
      <c r="BF16" s="541">
        <f>SUM(BF17:BF25)</f>
        <v>0</v>
      </c>
      <c r="BG16" s="451"/>
      <c r="BH16" s="541">
        <f>BF16-BE16</f>
        <v>0</v>
      </c>
      <c r="BI16" s="541">
        <f>SUM(BI17:BI25)</f>
        <v>0</v>
      </c>
      <c r="BJ16" s="541">
        <f>SUM(BJ17:BJ25)</f>
        <v>0</v>
      </c>
      <c r="BK16" s="451"/>
      <c r="BL16" s="541">
        <f>BJ16-BI16</f>
        <v>0</v>
      </c>
      <c r="BM16" s="541">
        <f>SUM(BM17:BM25)</f>
        <v>0</v>
      </c>
      <c r="BN16" s="541">
        <f>SUM(BN17:BN25)</f>
        <v>0</v>
      </c>
      <c r="BO16" s="452"/>
      <c r="BP16" s="541">
        <f t="shared" ref="BP16:BP25" si="36">BN16-BM16</f>
        <v>0</v>
      </c>
      <c r="BQ16" s="541">
        <f>SUM(BQ17:BQ25)</f>
        <v>0</v>
      </c>
      <c r="BR16" s="541">
        <f>SUM(BR17:BR25)</f>
        <v>0</v>
      </c>
      <c r="BS16" s="451"/>
      <c r="BT16" s="451">
        <f t="shared" si="19"/>
        <v>0</v>
      </c>
      <c r="BU16" s="541">
        <f>SUM(BU17:BU25)</f>
        <v>2.2000000000000002</v>
      </c>
      <c r="BV16" s="473">
        <f>SUM(BV17:BV25)</f>
        <v>0</v>
      </c>
      <c r="BW16" s="473">
        <v>0</v>
      </c>
      <c r="BX16" s="543">
        <f t="shared" si="34"/>
        <v>-2.2000000000000002</v>
      </c>
      <c r="BY16" s="473">
        <f>SUM(BY19:BY26)</f>
        <v>140</v>
      </c>
      <c r="BZ16" s="544">
        <f>SUM(BZ17:BZ25)</f>
        <v>1.2</v>
      </c>
      <c r="CA16" s="545">
        <f>BZ16/BY16*100</f>
        <v>0.85714285714285721</v>
      </c>
      <c r="CB16" s="543">
        <f t="shared" si="27"/>
        <v>-138.80000000000001</v>
      </c>
      <c r="CC16" s="473">
        <f>SUM(CC17:CC25)</f>
        <v>1.5</v>
      </c>
      <c r="CD16" s="473">
        <f>SUM(CD17:CD25)</f>
        <v>0</v>
      </c>
      <c r="CE16" s="545">
        <f>CD16/CC16*100</f>
        <v>0</v>
      </c>
      <c r="CF16" s="543">
        <f>CD16-CC16</f>
        <v>-1.5</v>
      </c>
      <c r="CG16" s="542">
        <f>SUM(CG17:CG25)</f>
        <v>0</v>
      </c>
      <c r="CH16" s="541">
        <f>SUM(CH17:CH25)</f>
        <v>0</v>
      </c>
      <c r="CI16" s="546"/>
      <c r="CJ16" s="540">
        <f>CH16-CG16</f>
        <v>0</v>
      </c>
      <c r="CK16" s="451">
        <f t="shared" si="20"/>
        <v>347.7</v>
      </c>
      <c r="CL16" s="667">
        <f>SUM(CL17:CL26)</f>
        <v>48.816400000000002</v>
      </c>
      <c r="CM16" s="541">
        <f t="shared" si="13"/>
        <v>14.039804429105551</v>
      </c>
      <c r="CN16" s="541">
        <f t="shared" si="14"/>
        <v>-298.8836</v>
      </c>
      <c r="CO16" s="459">
        <v>66.5</v>
      </c>
      <c r="CP16" s="458">
        <f t="shared" si="15"/>
        <v>48.816400000000002</v>
      </c>
      <c r="CQ16" s="458">
        <f t="shared" si="16"/>
        <v>347.7</v>
      </c>
      <c r="CS16" s="458">
        <f t="shared" si="17"/>
        <v>48.816400000000002</v>
      </c>
      <c r="CT16" s="458">
        <f t="shared" si="21"/>
        <v>48.816400000000002</v>
      </c>
      <c r="CU16" s="458">
        <f t="shared" si="22"/>
        <v>48.816400000000002</v>
      </c>
      <c r="CV16" s="458">
        <f t="shared" si="23"/>
        <v>47.616399999999999</v>
      </c>
      <c r="CW16" s="458">
        <f t="shared" si="24"/>
        <v>347.7</v>
      </c>
      <c r="CX16" s="458"/>
      <c r="CY16" s="458"/>
    </row>
    <row r="17" spans="1:103" ht="12.75" hidden="1" customHeight="1">
      <c r="A17" s="122"/>
      <c r="B17" s="893" t="s">
        <v>266</v>
      </c>
      <c r="C17" s="894"/>
      <c r="D17" s="895"/>
      <c r="E17" s="108"/>
      <c r="F17" s="16"/>
      <c r="G17" s="113" t="e">
        <f>F17/E17*100</f>
        <v>#DIV/0!</v>
      </c>
      <c r="H17" s="108">
        <f t="shared" si="0"/>
        <v>0</v>
      </c>
      <c r="I17" s="108"/>
      <c r="J17" s="16"/>
      <c r="K17" s="108"/>
      <c r="L17" s="122">
        <f t="shared" si="28"/>
        <v>0</v>
      </c>
      <c r="M17" s="108"/>
      <c r="N17" s="16"/>
      <c r="O17" s="108"/>
      <c r="P17" s="463">
        <f t="shared" si="29"/>
        <v>0</v>
      </c>
      <c r="Q17" s="462"/>
      <c r="R17" s="216"/>
      <c r="S17" s="109" t="e">
        <f t="shared" si="30"/>
        <v>#DIV/0!</v>
      </c>
      <c r="T17" s="109">
        <f t="shared" ref="T17:T30" si="37">R17-Q17</f>
        <v>0</v>
      </c>
      <c r="U17" s="462"/>
      <c r="V17" s="216"/>
      <c r="W17" s="462"/>
      <c r="X17" s="463">
        <f t="shared" si="31"/>
        <v>0</v>
      </c>
      <c r="Y17" s="462"/>
      <c r="Z17" s="216"/>
      <c r="AA17" s="462"/>
      <c r="AB17" s="463">
        <f t="shared" si="1"/>
        <v>0</v>
      </c>
      <c r="AC17" s="462"/>
      <c r="AD17" s="216"/>
      <c r="AE17" s="462"/>
      <c r="AF17" s="463">
        <f t="shared" si="2"/>
        <v>0</v>
      </c>
      <c r="AG17" s="467">
        <f t="shared" si="3"/>
        <v>0</v>
      </c>
      <c r="AH17" s="465">
        <f t="shared" si="3"/>
        <v>0</v>
      </c>
      <c r="AI17" s="487" t="e">
        <f t="shared" si="35"/>
        <v>#DIV/0!</v>
      </c>
      <c r="AJ17" s="488">
        <f t="shared" si="32"/>
        <v>0</v>
      </c>
      <c r="AK17" s="462"/>
      <c r="AL17" s="216"/>
      <c r="AM17" s="462" t="e">
        <f t="shared" si="33"/>
        <v>#DIV/0!</v>
      </c>
      <c r="AN17" s="108">
        <f t="shared" si="4"/>
        <v>0</v>
      </c>
      <c r="AO17" s="108"/>
      <c r="AP17" s="452"/>
      <c r="AQ17" s="108" t="e">
        <f>AP17/AO17*100</f>
        <v>#DIV/0!</v>
      </c>
      <c r="AR17" s="108">
        <f>AP17-AO17</f>
        <v>0</v>
      </c>
      <c r="AS17" s="108"/>
      <c r="AT17" s="452"/>
      <c r="AU17" s="108" t="e">
        <f>AT17/AS17*100</f>
        <v>#DIV/0!</v>
      </c>
      <c r="AV17" s="108">
        <f>AT17-AS17</f>
        <v>0</v>
      </c>
      <c r="AW17" s="108"/>
      <c r="AX17" s="16"/>
      <c r="AY17" s="108" t="e">
        <f>AX17/AW17*100</f>
        <v>#DIV/0!</v>
      </c>
      <c r="AZ17" s="108">
        <f>AX17-AW17</f>
        <v>0</v>
      </c>
      <c r="BA17" s="451">
        <f t="shared" si="8"/>
        <v>0</v>
      </c>
      <c r="BB17" s="15">
        <f t="shared" si="9"/>
        <v>0</v>
      </c>
      <c r="BC17" s="452" t="e">
        <f>BB17/BA17*100</f>
        <v>#DIV/0!</v>
      </c>
      <c r="BD17" s="452">
        <f>BB17-BA17</f>
        <v>0</v>
      </c>
      <c r="BE17" s="108"/>
      <c r="BF17" s="452"/>
      <c r="BG17" s="108" t="e">
        <f>BF17/BE17*100</f>
        <v>#DIV/0!</v>
      </c>
      <c r="BH17" s="108">
        <f>BF17-BE17</f>
        <v>0</v>
      </c>
      <c r="BI17" s="108"/>
      <c r="BJ17" s="452"/>
      <c r="BK17" s="108" t="e">
        <f>BJ17/BI17*100</f>
        <v>#DIV/0!</v>
      </c>
      <c r="BL17" s="108">
        <f>BJ17-BI17</f>
        <v>0</v>
      </c>
      <c r="BM17" s="108"/>
      <c r="BN17" s="452"/>
      <c r="BO17" s="108"/>
      <c r="BP17" s="108">
        <f t="shared" si="36"/>
        <v>0</v>
      </c>
      <c r="BQ17" s="108"/>
      <c r="BR17" s="452"/>
      <c r="BS17" s="106" t="e">
        <f t="shared" si="18"/>
        <v>#DIV/0!</v>
      </c>
      <c r="BT17" s="106">
        <f t="shared" si="19"/>
        <v>0</v>
      </c>
      <c r="BU17" s="108"/>
      <c r="BV17" s="465"/>
      <c r="BW17" s="462"/>
      <c r="BX17" s="463">
        <f t="shared" si="34"/>
        <v>0</v>
      </c>
      <c r="BY17" s="462"/>
      <c r="BZ17" s="216"/>
      <c r="CA17" s="474"/>
      <c r="CB17" s="463">
        <f t="shared" si="27"/>
        <v>0</v>
      </c>
      <c r="CC17" s="463"/>
      <c r="CD17" s="475"/>
      <c r="CE17" s="463"/>
      <c r="CF17" s="463"/>
      <c r="CG17" s="122"/>
      <c r="CH17" s="461"/>
      <c r="CI17" s="122"/>
      <c r="CJ17" s="122"/>
      <c r="CK17" s="451">
        <f t="shared" si="20"/>
        <v>0</v>
      </c>
      <c r="CL17" s="614">
        <f t="shared" ref="CL17:CL18" si="38">R17+V17+Z17+AD17+BV17+BZ17+F17+J17+N17+AL17+CD17+AP17+AT17+AX17+BF17+CH17</f>
        <v>0</v>
      </c>
      <c r="CM17" s="290" t="e">
        <f t="shared" si="13"/>
        <v>#DIV/0!</v>
      </c>
      <c r="CN17" s="285">
        <f t="shared" si="14"/>
        <v>0</v>
      </c>
      <c r="CP17" s="142">
        <f t="shared" si="15"/>
        <v>0</v>
      </c>
      <c r="CQ17" s="137">
        <f t="shared" si="16"/>
        <v>0</v>
      </c>
      <c r="CS17" s="146">
        <f t="shared" si="17"/>
        <v>0</v>
      </c>
      <c r="CT17" s="137">
        <f t="shared" si="21"/>
        <v>0</v>
      </c>
      <c r="CU17" s="137">
        <f t="shared" si="22"/>
        <v>0</v>
      </c>
      <c r="CV17" s="137">
        <f t="shared" si="23"/>
        <v>0</v>
      </c>
      <c r="CW17" s="137">
        <f t="shared" si="24"/>
        <v>0</v>
      </c>
      <c r="CX17" s="458"/>
      <c r="CY17" s="458"/>
    </row>
    <row r="18" spans="1:103" ht="13.5" hidden="1" customHeight="1">
      <c r="A18" s="122"/>
      <c r="B18" s="893" t="s">
        <v>407</v>
      </c>
      <c r="C18" s="894"/>
      <c r="D18" s="895"/>
      <c r="E18" s="108"/>
      <c r="F18" s="16"/>
      <c r="G18" s="113" t="e">
        <f>F18/E18*100</f>
        <v>#DIV/0!</v>
      </c>
      <c r="H18" s="108"/>
      <c r="I18" s="108"/>
      <c r="J18" s="16"/>
      <c r="K18" s="108"/>
      <c r="L18" s="122"/>
      <c r="M18" s="108"/>
      <c r="N18" s="16"/>
      <c r="O18" s="108"/>
      <c r="P18" s="463"/>
      <c r="Q18" s="462"/>
      <c r="R18" s="216"/>
      <c r="S18" s="109"/>
      <c r="T18" s="109"/>
      <c r="U18" s="462"/>
      <c r="V18" s="216"/>
      <c r="W18" s="462"/>
      <c r="X18" s="463"/>
      <c r="Y18" s="462"/>
      <c r="Z18" s="216"/>
      <c r="AA18" s="462"/>
      <c r="AB18" s="463"/>
      <c r="AC18" s="462"/>
      <c r="AD18" s="216"/>
      <c r="AE18" s="462"/>
      <c r="AF18" s="463"/>
      <c r="AG18" s="467">
        <f t="shared" si="3"/>
        <v>0</v>
      </c>
      <c r="AH18" s="465">
        <f t="shared" si="3"/>
        <v>0</v>
      </c>
      <c r="AI18" s="487" t="e">
        <f t="shared" si="35"/>
        <v>#DIV/0!</v>
      </c>
      <c r="AJ18" s="488">
        <f t="shared" si="32"/>
        <v>0</v>
      </c>
      <c r="AK18" s="462"/>
      <c r="AL18" s="216"/>
      <c r="AM18" s="462"/>
      <c r="AN18" s="108"/>
      <c r="AO18" s="108"/>
      <c r="AP18" s="452"/>
      <c r="AQ18" s="108"/>
      <c r="AR18" s="108"/>
      <c r="AS18" s="108"/>
      <c r="AT18" s="452"/>
      <c r="AU18" s="108"/>
      <c r="AV18" s="108"/>
      <c r="AW18" s="108"/>
      <c r="AX18" s="16"/>
      <c r="AY18" s="108"/>
      <c r="AZ18" s="108"/>
      <c r="BA18" s="451">
        <f t="shared" si="8"/>
        <v>0</v>
      </c>
      <c r="BB18" s="15">
        <f t="shared" si="9"/>
        <v>0</v>
      </c>
      <c r="BC18" s="452"/>
      <c r="BD18" s="452"/>
      <c r="BE18" s="108"/>
      <c r="BF18" s="452"/>
      <c r="BG18" s="108"/>
      <c r="BH18" s="108"/>
      <c r="BI18" s="108"/>
      <c r="BJ18" s="452"/>
      <c r="BK18" s="108"/>
      <c r="BL18" s="108"/>
      <c r="BM18" s="108"/>
      <c r="BN18" s="452"/>
      <c r="BO18" s="108"/>
      <c r="BP18" s="108">
        <f t="shared" si="36"/>
        <v>0</v>
      </c>
      <c r="BQ18" s="108"/>
      <c r="BR18" s="452"/>
      <c r="BS18" s="106" t="e">
        <f t="shared" si="18"/>
        <v>#DIV/0!</v>
      </c>
      <c r="BT18" s="106">
        <f t="shared" si="19"/>
        <v>0</v>
      </c>
      <c r="BU18" s="108"/>
      <c r="BV18" s="465"/>
      <c r="BW18" s="462"/>
      <c r="BX18" s="463"/>
      <c r="BY18" s="462"/>
      <c r="BZ18" s="216"/>
      <c r="CA18" s="474"/>
      <c r="CB18" s="463"/>
      <c r="CC18" s="463"/>
      <c r="CD18" s="220"/>
      <c r="CE18" s="463"/>
      <c r="CF18" s="463"/>
      <c r="CG18" s="122"/>
      <c r="CH18" s="461"/>
      <c r="CI18" s="122"/>
      <c r="CJ18" s="122"/>
      <c r="CK18" s="451">
        <f t="shared" si="20"/>
        <v>0</v>
      </c>
      <c r="CL18" s="614">
        <f t="shared" si="38"/>
        <v>0</v>
      </c>
      <c r="CM18" s="290" t="e">
        <f t="shared" si="13"/>
        <v>#DIV/0!</v>
      </c>
      <c r="CN18" s="285">
        <f>CL18-CK18</f>
        <v>0</v>
      </c>
      <c r="CP18" s="142">
        <f t="shared" si="15"/>
        <v>0</v>
      </c>
      <c r="CQ18" s="137">
        <f t="shared" si="16"/>
        <v>0</v>
      </c>
      <c r="CS18" s="146">
        <f t="shared" si="17"/>
        <v>0</v>
      </c>
      <c r="CT18" s="137">
        <f t="shared" si="21"/>
        <v>0</v>
      </c>
      <c r="CU18" s="137">
        <f t="shared" si="22"/>
        <v>0</v>
      </c>
      <c r="CV18" s="137">
        <f t="shared" si="23"/>
        <v>0</v>
      </c>
      <c r="CW18" s="137">
        <f t="shared" si="24"/>
        <v>0</v>
      </c>
      <c r="CX18" s="458"/>
      <c r="CY18" s="458"/>
    </row>
    <row r="19" spans="1:103" ht="13.5" customHeight="1">
      <c r="A19" s="122"/>
      <c r="B19" s="893" t="s">
        <v>869</v>
      </c>
      <c r="C19" s="894"/>
      <c r="D19" s="895"/>
      <c r="E19" s="108">
        <v>0</v>
      </c>
      <c r="F19" s="16"/>
      <c r="G19" s="451"/>
      <c r="H19" s="108"/>
      <c r="I19" s="108">
        <v>0</v>
      </c>
      <c r="J19" s="16">
        <v>6.9</v>
      </c>
      <c r="K19" s="108"/>
      <c r="L19" s="122">
        <f t="shared" si="28"/>
        <v>6.9</v>
      </c>
      <c r="M19" s="108"/>
      <c r="N19" s="16">
        <v>9</v>
      </c>
      <c r="O19" s="108"/>
      <c r="P19" s="463">
        <f t="shared" si="29"/>
        <v>9</v>
      </c>
      <c r="Q19" s="462">
        <f>R19</f>
        <v>0</v>
      </c>
      <c r="R19" s="216"/>
      <c r="S19" s="109"/>
      <c r="T19" s="109">
        <f t="shared" si="37"/>
        <v>0</v>
      </c>
      <c r="U19" s="462"/>
      <c r="V19" s="216"/>
      <c r="W19" s="462"/>
      <c r="X19" s="463"/>
      <c r="Y19" s="462"/>
      <c r="Z19" s="216">
        <v>5</v>
      </c>
      <c r="AA19" s="462"/>
      <c r="AB19" s="463">
        <f t="shared" si="1"/>
        <v>5</v>
      </c>
      <c r="AC19" s="462"/>
      <c r="AD19" s="216"/>
      <c r="AE19" s="462"/>
      <c r="AF19" s="463">
        <f t="shared" si="2"/>
        <v>0</v>
      </c>
      <c r="AG19" s="468">
        <f t="shared" si="3"/>
        <v>0</v>
      </c>
      <c r="AH19" s="465">
        <f>F19+J19+N19+R19+V19+Z19+AD19</f>
        <v>20.9</v>
      </c>
      <c r="AI19" s="465"/>
      <c r="AJ19" s="475">
        <f t="shared" si="32"/>
        <v>20.9</v>
      </c>
      <c r="AK19" s="462"/>
      <c r="AL19" s="216"/>
      <c r="AM19" s="462"/>
      <c r="AN19" s="108"/>
      <c r="AO19" s="108"/>
      <c r="AP19" s="452">
        <v>1</v>
      </c>
      <c r="AQ19" s="108"/>
      <c r="AR19" s="108"/>
      <c r="AS19" s="108"/>
      <c r="AT19" s="452">
        <v>6</v>
      </c>
      <c r="AU19" s="108"/>
      <c r="AV19" s="108"/>
      <c r="AW19" s="108"/>
      <c r="AX19" s="16"/>
      <c r="AY19" s="108"/>
      <c r="AZ19" s="108"/>
      <c r="BA19" s="451">
        <f t="shared" si="8"/>
        <v>0</v>
      </c>
      <c r="BB19" s="15">
        <f t="shared" si="9"/>
        <v>7</v>
      </c>
      <c r="BC19" s="452"/>
      <c r="BD19" s="452"/>
      <c r="BE19" s="108"/>
      <c r="BF19" s="452"/>
      <c r="BG19" s="108"/>
      <c r="BH19" s="108"/>
      <c r="BI19" s="108"/>
      <c r="BJ19" s="452"/>
      <c r="BK19" s="108"/>
      <c r="BL19" s="108"/>
      <c r="BM19" s="108"/>
      <c r="BN19" s="452"/>
      <c r="BO19" s="108"/>
      <c r="BP19" s="108">
        <f t="shared" si="36"/>
        <v>0</v>
      </c>
      <c r="BQ19" s="108"/>
      <c r="BR19" s="452"/>
      <c r="BS19" s="106">
        <v>0</v>
      </c>
      <c r="BT19" s="106">
        <f t="shared" si="19"/>
        <v>0</v>
      </c>
      <c r="BU19" s="108"/>
      <c r="BV19" s="465"/>
      <c r="BW19" s="462"/>
      <c r="BX19" s="463"/>
      <c r="BY19" s="462">
        <v>20</v>
      </c>
      <c r="BZ19" s="817">
        <v>1.2</v>
      </c>
      <c r="CA19" s="474"/>
      <c r="CB19" s="463">
        <f t="shared" si="27"/>
        <v>-18.8</v>
      </c>
      <c r="CC19" s="463"/>
      <c r="CD19" s="220"/>
      <c r="CE19" s="463"/>
      <c r="CF19" s="463"/>
      <c r="CG19" s="122"/>
      <c r="CH19" s="461"/>
      <c r="CI19" s="122"/>
      <c r="CJ19" s="122"/>
      <c r="CK19" s="451">
        <f t="shared" si="20"/>
        <v>20</v>
      </c>
      <c r="CL19" s="614">
        <f>+AH19+BB19+BF19+BJ19+BN19+BR19+BV19+BZ19+CD19+CH19</f>
        <v>29.099999999999998</v>
      </c>
      <c r="CM19" s="453">
        <f t="shared" si="13"/>
        <v>145.49999999999997</v>
      </c>
      <c r="CN19" s="452">
        <f>CL19-CK19</f>
        <v>9.0999999999999979</v>
      </c>
      <c r="CP19" s="142">
        <f t="shared" si="15"/>
        <v>29.099999999999998</v>
      </c>
      <c r="CQ19" s="137">
        <f t="shared" si="16"/>
        <v>20</v>
      </c>
      <c r="CS19" s="146">
        <f t="shared" si="17"/>
        <v>29.099999999999998</v>
      </c>
      <c r="CT19" s="137">
        <f t="shared" si="21"/>
        <v>29.099999999999998</v>
      </c>
      <c r="CU19" s="137">
        <f t="shared" si="22"/>
        <v>29.099999999999998</v>
      </c>
      <c r="CV19" s="137">
        <f t="shared" si="23"/>
        <v>27.9</v>
      </c>
      <c r="CW19" s="137">
        <f t="shared" si="24"/>
        <v>20</v>
      </c>
      <c r="CX19" s="458"/>
      <c r="CY19" s="458"/>
    </row>
    <row r="20" spans="1:103" ht="13.5" customHeight="1">
      <c r="A20" s="122"/>
      <c r="B20" s="893" t="s">
        <v>872</v>
      </c>
      <c r="C20" s="894"/>
      <c r="D20" s="895"/>
      <c r="E20" s="108">
        <f t="shared" ref="E20:E25" si="39">F20</f>
        <v>0</v>
      </c>
      <c r="F20" s="16"/>
      <c r="G20" s="108"/>
      <c r="H20" s="108"/>
      <c r="I20" s="108">
        <f t="shared" ref="I20:I25" si="40">J20</f>
        <v>0</v>
      </c>
      <c r="J20" s="16"/>
      <c r="K20" s="108"/>
      <c r="L20" s="122"/>
      <c r="M20" s="108">
        <v>0</v>
      </c>
      <c r="N20" s="16">
        <v>13.0115</v>
      </c>
      <c r="O20" s="108"/>
      <c r="P20" s="463"/>
      <c r="Q20" s="462">
        <v>0</v>
      </c>
      <c r="R20" s="216"/>
      <c r="S20" s="109"/>
      <c r="T20" s="109">
        <f t="shared" si="37"/>
        <v>0</v>
      </c>
      <c r="U20" s="462"/>
      <c r="V20" s="216"/>
      <c r="W20" s="462"/>
      <c r="X20" s="463"/>
      <c r="Y20" s="462"/>
      <c r="Z20" s="216">
        <v>6.7049000000000003</v>
      </c>
      <c r="AA20" s="462"/>
      <c r="AB20" s="463"/>
      <c r="AC20" s="462"/>
      <c r="AD20" s="216"/>
      <c r="AE20" s="462"/>
      <c r="AF20" s="463"/>
      <c r="AG20" s="468">
        <f t="shared" si="3"/>
        <v>0</v>
      </c>
      <c r="AH20" s="465">
        <f t="shared" ref="AH20:AH46" si="41">F20+J20+N20+R20+V20+Z20+AD20</f>
        <v>19.7164</v>
      </c>
      <c r="AI20" s="465"/>
      <c r="AJ20" s="475">
        <f t="shared" si="32"/>
        <v>19.7164</v>
      </c>
      <c r="AK20" s="462"/>
      <c r="AL20" s="216"/>
      <c r="AM20" s="462"/>
      <c r="AN20" s="108"/>
      <c r="AO20" s="108"/>
      <c r="AP20" s="452"/>
      <c r="AQ20" s="108"/>
      <c r="AR20" s="108"/>
      <c r="AS20" s="108"/>
      <c r="AT20" s="452"/>
      <c r="AU20" s="108"/>
      <c r="AV20" s="108"/>
      <c r="AW20" s="108"/>
      <c r="AX20" s="16"/>
      <c r="AY20" s="108"/>
      <c r="AZ20" s="108"/>
      <c r="BA20" s="451">
        <f t="shared" si="8"/>
        <v>0</v>
      </c>
      <c r="BB20" s="15">
        <f t="shared" si="9"/>
        <v>0</v>
      </c>
      <c r="BC20" s="452"/>
      <c r="BD20" s="452"/>
      <c r="BE20" s="108"/>
      <c r="BF20" s="452"/>
      <c r="BG20" s="108"/>
      <c r="BH20" s="108"/>
      <c r="BI20" s="108"/>
      <c r="BJ20" s="452"/>
      <c r="BK20" s="108"/>
      <c r="BL20" s="108"/>
      <c r="BM20" s="108"/>
      <c r="BN20" s="452"/>
      <c r="BO20" s="108"/>
      <c r="BP20" s="108">
        <f t="shared" si="36"/>
        <v>0</v>
      </c>
      <c r="BQ20" s="108"/>
      <c r="BR20" s="452"/>
      <c r="BS20" s="106"/>
      <c r="BT20" s="106">
        <f t="shared" si="19"/>
        <v>0</v>
      </c>
      <c r="BU20" s="108"/>
      <c r="BV20" s="465"/>
      <c r="BW20" s="462"/>
      <c r="BX20" s="463"/>
      <c r="BY20" s="462"/>
      <c r="BZ20" s="216"/>
      <c r="CA20" s="474"/>
      <c r="CB20" s="463">
        <f t="shared" si="27"/>
        <v>0</v>
      </c>
      <c r="CC20" s="463"/>
      <c r="CD20" s="220"/>
      <c r="CE20" s="463"/>
      <c r="CF20" s="463"/>
      <c r="CG20" s="122"/>
      <c r="CH20" s="461"/>
      <c r="CI20" s="122"/>
      <c r="CJ20" s="122"/>
      <c r="CK20" s="451">
        <f t="shared" si="20"/>
        <v>0</v>
      </c>
      <c r="CL20" s="614">
        <f t="shared" ref="CL20:CL26" si="42">+AH20+BB20+BF20+BJ20+BN20+BR20+BV20+BZ20+CD20+CH20</f>
        <v>19.7164</v>
      </c>
      <c r="CM20" s="453">
        <v>0</v>
      </c>
      <c r="CN20" s="452">
        <f>CL20-CK20</f>
        <v>19.7164</v>
      </c>
      <c r="CP20" s="142">
        <f t="shared" si="15"/>
        <v>19.7164</v>
      </c>
      <c r="CQ20" s="137">
        <f t="shared" si="16"/>
        <v>0</v>
      </c>
      <c r="CS20" s="146">
        <f t="shared" si="17"/>
        <v>19.7164</v>
      </c>
      <c r="CT20" s="137">
        <f t="shared" si="21"/>
        <v>19.7164</v>
      </c>
      <c r="CU20" s="137">
        <f t="shared" si="22"/>
        <v>19.7164</v>
      </c>
      <c r="CV20" s="137">
        <f t="shared" si="23"/>
        <v>19.7164</v>
      </c>
      <c r="CW20" s="137">
        <f t="shared" si="24"/>
        <v>0</v>
      </c>
      <c r="CX20" s="458"/>
      <c r="CY20" s="458"/>
    </row>
    <row r="21" spans="1:103" ht="13.5" customHeight="1">
      <c r="A21" s="122"/>
      <c r="B21" s="893" t="s">
        <v>290</v>
      </c>
      <c r="C21" s="894"/>
      <c r="D21" s="895"/>
      <c r="E21" s="108">
        <f t="shared" si="39"/>
        <v>0</v>
      </c>
      <c r="F21" s="16"/>
      <c r="G21" s="108"/>
      <c r="H21" s="108"/>
      <c r="I21" s="108">
        <f t="shared" si="40"/>
        <v>0</v>
      </c>
      <c r="J21" s="16"/>
      <c r="K21" s="108"/>
      <c r="L21" s="122"/>
      <c r="M21" s="108">
        <f t="shared" ref="M21:M25" si="43">N21</f>
        <v>0</v>
      </c>
      <c r="N21" s="16"/>
      <c r="O21" s="108"/>
      <c r="P21" s="463"/>
      <c r="Q21" s="462">
        <f t="shared" ref="Q21:Q25" si="44">R21</f>
        <v>0</v>
      </c>
      <c r="R21" s="216"/>
      <c r="S21" s="109"/>
      <c r="T21" s="109"/>
      <c r="U21" s="462"/>
      <c r="V21" s="216"/>
      <c r="W21" s="462"/>
      <c r="X21" s="463"/>
      <c r="Y21" s="462"/>
      <c r="Z21" s="216"/>
      <c r="AA21" s="462"/>
      <c r="AB21" s="463"/>
      <c r="AC21" s="462"/>
      <c r="AD21" s="216"/>
      <c r="AE21" s="462"/>
      <c r="AF21" s="463"/>
      <c r="AG21" s="468">
        <f t="shared" si="3"/>
        <v>0</v>
      </c>
      <c r="AH21" s="465">
        <f t="shared" si="41"/>
        <v>0</v>
      </c>
      <c r="AI21" s="465"/>
      <c r="AJ21" s="475">
        <f t="shared" si="32"/>
        <v>0</v>
      </c>
      <c r="AK21" s="462">
        <v>20</v>
      </c>
      <c r="AL21" s="216"/>
      <c r="AM21" s="462"/>
      <c r="AN21" s="108"/>
      <c r="AO21" s="108">
        <v>10</v>
      </c>
      <c r="AP21" s="452"/>
      <c r="AQ21" s="108"/>
      <c r="AR21" s="108"/>
      <c r="AS21" s="108">
        <v>20</v>
      </c>
      <c r="AT21" s="452"/>
      <c r="AU21" s="108"/>
      <c r="AV21" s="108"/>
      <c r="AW21" s="108">
        <v>20</v>
      </c>
      <c r="AX21" s="16"/>
      <c r="AY21" s="108"/>
      <c r="AZ21" s="108"/>
      <c r="BA21" s="451">
        <f t="shared" si="8"/>
        <v>70</v>
      </c>
      <c r="BB21" s="15">
        <f t="shared" si="9"/>
        <v>0</v>
      </c>
      <c r="BC21" s="452"/>
      <c r="BD21" s="452"/>
      <c r="BE21" s="108"/>
      <c r="BF21" s="452"/>
      <c r="BG21" s="108"/>
      <c r="BH21" s="108"/>
      <c r="BI21" s="108"/>
      <c r="BJ21" s="452"/>
      <c r="BK21" s="108"/>
      <c r="BL21" s="108"/>
      <c r="BM21" s="108"/>
      <c r="BN21" s="452"/>
      <c r="BO21" s="108"/>
      <c r="BP21" s="108">
        <f t="shared" si="36"/>
        <v>0</v>
      </c>
      <c r="BQ21" s="153"/>
      <c r="BR21" s="16"/>
      <c r="BS21" s="106">
        <v>0</v>
      </c>
      <c r="BT21" s="106">
        <f t="shared" si="19"/>
        <v>0</v>
      </c>
      <c r="BU21" s="153">
        <v>2.2000000000000002</v>
      </c>
      <c r="BV21" s="216"/>
      <c r="BW21" s="462"/>
      <c r="BX21" s="463"/>
      <c r="BY21" s="462">
        <v>20</v>
      </c>
      <c r="BZ21" s="216"/>
      <c r="CA21" s="474"/>
      <c r="CB21" s="463"/>
      <c r="CC21" s="463">
        <v>1.5</v>
      </c>
      <c r="CD21" s="220"/>
      <c r="CE21" s="463"/>
      <c r="CF21" s="463"/>
      <c r="CG21" s="122"/>
      <c r="CH21" s="461"/>
      <c r="CI21" s="122"/>
      <c r="CJ21" s="122"/>
      <c r="CK21" s="451">
        <f t="shared" si="20"/>
        <v>93.7</v>
      </c>
      <c r="CL21" s="614">
        <f t="shared" si="42"/>
        <v>0</v>
      </c>
      <c r="CM21" s="453">
        <f t="shared" si="13"/>
        <v>0</v>
      </c>
      <c r="CN21" s="452">
        <f>CL21-CK21</f>
        <v>-93.7</v>
      </c>
      <c r="CP21" s="142">
        <f t="shared" si="15"/>
        <v>0</v>
      </c>
      <c r="CQ21" s="137">
        <f t="shared" si="16"/>
        <v>93.7</v>
      </c>
      <c r="CS21" s="146">
        <f t="shared" si="17"/>
        <v>0</v>
      </c>
      <c r="CT21" s="137">
        <f t="shared" si="21"/>
        <v>0</v>
      </c>
      <c r="CU21" s="137">
        <f t="shared" si="22"/>
        <v>0</v>
      </c>
      <c r="CV21" s="137">
        <f t="shared" si="23"/>
        <v>0</v>
      </c>
      <c r="CW21" s="137">
        <f t="shared" si="24"/>
        <v>93.7</v>
      </c>
      <c r="CX21" s="458"/>
      <c r="CY21" s="458"/>
    </row>
    <row r="22" spans="1:103" ht="13.5" hidden="1" customHeight="1">
      <c r="A22" s="122"/>
      <c r="B22" s="893" t="s">
        <v>792</v>
      </c>
      <c r="C22" s="894"/>
      <c r="D22" s="895"/>
      <c r="E22" s="108">
        <f t="shared" si="39"/>
        <v>0</v>
      </c>
      <c r="F22" s="16"/>
      <c r="G22" s="108"/>
      <c r="H22" s="108"/>
      <c r="I22" s="108">
        <v>0</v>
      </c>
      <c r="J22" s="16"/>
      <c r="K22" s="108"/>
      <c r="L22" s="122"/>
      <c r="M22" s="108">
        <f t="shared" si="43"/>
        <v>0</v>
      </c>
      <c r="N22" s="16"/>
      <c r="O22" s="108"/>
      <c r="P22" s="463"/>
      <c r="Q22" s="462">
        <v>0</v>
      </c>
      <c r="R22" s="216"/>
      <c r="S22" s="109"/>
      <c r="T22" s="109"/>
      <c r="U22" s="462"/>
      <c r="V22" s="216"/>
      <c r="W22" s="462"/>
      <c r="X22" s="463"/>
      <c r="Y22" s="462"/>
      <c r="Z22" s="216"/>
      <c r="AA22" s="462"/>
      <c r="AB22" s="463"/>
      <c r="AC22" s="462"/>
      <c r="AD22" s="216"/>
      <c r="AE22" s="462"/>
      <c r="AF22" s="463"/>
      <c r="AG22" s="468"/>
      <c r="AH22" s="465">
        <f t="shared" si="41"/>
        <v>0</v>
      </c>
      <c r="AI22" s="465"/>
      <c r="AJ22" s="475"/>
      <c r="AK22" s="462"/>
      <c r="AL22" s="216"/>
      <c r="AM22" s="462"/>
      <c r="AN22" s="108"/>
      <c r="AO22" s="108"/>
      <c r="AP22" s="452"/>
      <c r="AQ22" s="108"/>
      <c r="AR22" s="108"/>
      <c r="AS22" s="108"/>
      <c r="AT22" s="452"/>
      <c r="AU22" s="108"/>
      <c r="AV22" s="108"/>
      <c r="AW22" s="108"/>
      <c r="AX22" s="16"/>
      <c r="AY22" s="108"/>
      <c r="AZ22" s="108"/>
      <c r="BA22" s="451"/>
      <c r="BB22" s="15">
        <f t="shared" si="9"/>
        <v>0</v>
      </c>
      <c r="BC22" s="452"/>
      <c r="BD22" s="452"/>
      <c r="BE22" s="108"/>
      <c r="BF22" s="452"/>
      <c r="BG22" s="108"/>
      <c r="BH22" s="108"/>
      <c r="BI22" s="108"/>
      <c r="BJ22" s="452"/>
      <c r="BK22" s="108"/>
      <c r="BL22" s="108"/>
      <c r="BM22" s="108"/>
      <c r="BN22" s="452"/>
      <c r="BO22" s="108"/>
      <c r="BP22" s="108"/>
      <c r="BQ22" s="153"/>
      <c r="BR22" s="16"/>
      <c r="BS22" s="106"/>
      <c r="BT22" s="106"/>
      <c r="BU22" s="153"/>
      <c r="BV22" s="216"/>
      <c r="BW22" s="462"/>
      <c r="BX22" s="463"/>
      <c r="BY22" s="462"/>
      <c r="BZ22" s="216"/>
      <c r="CA22" s="474"/>
      <c r="CB22" s="463"/>
      <c r="CC22" s="463"/>
      <c r="CD22" s="220"/>
      <c r="CE22" s="463"/>
      <c r="CF22" s="463"/>
      <c r="CG22" s="122"/>
      <c r="CH22" s="461"/>
      <c r="CI22" s="122"/>
      <c r="CJ22" s="122"/>
      <c r="CK22" s="451"/>
      <c r="CL22" s="614">
        <f t="shared" si="42"/>
        <v>0</v>
      </c>
      <c r="CM22" s="453"/>
      <c r="CN22" s="452"/>
      <c r="CP22" s="142"/>
      <c r="CQ22" s="137"/>
      <c r="CS22" s="146"/>
      <c r="CT22" s="137"/>
      <c r="CU22" s="137"/>
      <c r="CV22" s="137"/>
      <c r="CW22" s="137"/>
      <c r="CX22" s="458"/>
      <c r="CY22" s="458"/>
    </row>
    <row r="23" spans="1:103" ht="13.5" hidden="1" customHeight="1">
      <c r="A23" s="122"/>
      <c r="B23" s="893" t="s">
        <v>782</v>
      </c>
      <c r="C23" s="894"/>
      <c r="D23" s="895"/>
      <c r="E23" s="452">
        <v>0</v>
      </c>
      <c r="F23" s="16"/>
      <c r="G23" s="108"/>
      <c r="H23" s="108"/>
      <c r="I23" s="108">
        <v>0</v>
      </c>
      <c r="J23" s="16"/>
      <c r="K23" s="108"/>
      <c r="L23" s="122"/>
      <c r="M23" s="108">
        <f t="shared" si="43"/>
        <v>0</v>
      </c>
      <c r="N23" s="16"/>
      <c r="O23" s="108"/>
      <c r="P23" s="463"/>
      <c r="Q23" s="462">
        <f t="shared" si="44"/>
        <v>0</v>
      </c>
      <c r="R23" s="216"/>
      <c r="S23" s="109"/>
      <c r="T23" s="109"/>
      <c r="U23" s="462"/>
      <c r="V23" s="216"/>
      <c r="W23" s="462"/>
      <c r="X23" s="463"/>
      <c r="Y23" s="462"/>
      <c r="Z23" s="216"/>
      <c r="AA23" s="462"/>
      <c r="AB23" s="463"/>
      <c r="AC23" s="462"/>
      <c r="AD23" s="216"/>
      <c r="AE23" s="462"/>
      <c r="AF23" s="463"/>
      <c r="AG23" s="468"/>
      <c r="AH23" s="465">
        <f t="shared" si="41"/>
        <v>0</v>
      </c>
      <c r="AI23" s="465"/>
      <c r="AJ23" s="475"/>
      <c r="AK23" s="462"/>
      <c r="AL23" s="216"/>
      <c r="AM23" s="462"/>
      <c r="AN23" s="108"/>
      <c r="AO23" s="108"/>
      <c r="AP23" s="452"/>
      <c r="AQ23" s="108"/>
      <c r="AR23" s="108"/>
      <c r="AS23" s="108"/>
      <c r="AT23" s="452"/>
      <c r="AU23" s="108"/>
      <c r="AV23" s="108"/>
      <c r="AW23" s="108"/>
      <c r="AX23" s="16"/>
      <c r="AY23" s="108"/>
      <c r="AZ23" s="108"/>
      <c r="BA23" s="451"/>
      <c r="BB23" s="15">
        <f t="shared" si="9"/>
        <v>0</v>
      </c>
      <c r="BC23" s="452"/>
      <c r="BD23" s="452"/>
      <c r="BE23" s="108"/>
      <c r="BF23" s="452"/>
      <c r="BG23" s="108"/>
      <c r="BH23" s="108"/>
      <c r="BI23" s="108"/>
      <c r="BJ23" s="452"/>
      <c r="BK23" s="108"/>
      <c r="BL23" s="108"/>
      <c r="BM23" s="108"/>
      <c r="BN23" s="452"/>
      <c r="BO23" s="108"/>
      <c r="BP23" s="108"/>
      <c r="BQ23" s="153"/>
      <c r="BR23" s="16"/>
      <c r="BS23" s="106"/>
      <c r="BT23" s="106"/>
      <c r="BU23" s="153"/>
      <c r="BV23" s="16"/>
      <c r="BW23" s="108"/>
      <c r="BX23" s="122"/>
      <c r="BY23" s="108"/>
      <c r="BZ23" s="16"/>
      <c r="CA23" s="110"/>
      <c r="CB23" s="122"/>
      <c r="CC23" s="122"/>
      <c r="CD23" s="222"/>
      <c r="CE23" s="122"/>
      <c r="CF23" s="122"/>
      <c r="CG23" s="122"/>
      <c r="CH23" s="461"/>
      <c r="CI23" s="122"/>
      <c r="CJ23" s="122"/>
      <c r="CK23" s="451"/>
      <c r="CL23" s="614">
        <f t="shared" si="42"/>
        <v>0</v>
      </c>
      <c r="CM23" s="453"/>
      <c r="CN23" s="452"/>
      <c r="CP23" s="142"/>
      <c r="CQ23" s="137"/>
      <c r="CS23" s="146"/>
      <c r="CT23" s="137"/>
      <c r="CU23" s="137"/>
      <c r="CV23" s="137"/>
      <c r="CW23" s="137"/>
      <c r="CX23" s="458"/>
      <c r="CY23" s="458"/>
    </row>
    <row r="24" spans="1:103" ht="12.6" customHeight="1">
      <c r="A24" s="122"/>
      <c r="B24" s="893" t="s">
        <v>890</v>
      </c>
      <c r="C24" s="894"/>
      <c r="D24" s="895"/>
      <c r="E24" s="452">
        <f t="shared" si="39"/>
        <v>0</v>
      </c>
      <c r="F24" s="16"/>
      <c r="G24" s="108"/>
      <c r="H24" s="108"/>
      <c r="I24" s="108">
        <v>0</v>
      </c>
      <c r="J24" s="16"/>
      <c r="K24" s="108"/>
      <c r="L24" s="122">
        <f t="shared" ref="L24:L30" si="45">J24-I24</f>
        <v>0</v>
      </c>
      <c r="M24" s="108">
        <v>0</v>
      </c>
      <c r="N24" s="16"/>
      <c r="O24" s="108"/>
      <c r="P24" s="463">
        <f t="shared" si="29"/>
        <v>0</v>
      </c>
      <c r="Q24" s="462">
        <f t="shared" si="44"/>
        <v>0</v>
      </c>
      <c r="R24" s="216"/>
      <c r="S24" s="108"/>
      <c r="T24" s="108">
        <f t="shared" si="37"/>
        <v>0</v>
      </c>
      <c r="U24" s="462"/>
      <c r="V24" s="216"/>
      <c r="W24" s="462"/>
      <c r="X24" s="463">
        <f>V24-U24</f>
        <v>0</v>
      </c>
      <c r="Y24" s="462"/>
      <c r="Z24" s="216"/>
      <c r="AA24" s="462"/>
      <c r="AB24" s="463">
        <f>Z24-Y24</f>
        <v>0</v>
      </c>
      <c r="AC24" s="462"/>
      <c r="AD24" s="216"/>
      <c r="AE24" s="462"/>
      <c r="AF24" s="463"/>
      <c r="AG24" s="468">
        <f t="shared" si="3"/>
        <v>0</v>
      </c>
      <c r="AH24" s="465">
        <f t="shared" si="41"/>
        <v>0</v>
      </c>
      <c r="AI24" s="465"/>
      <c r="AJ24" s="475">
        <f t="shared" si="32"/>
        <v>0</v>
      </c>
      <c r="AK24" s="462"/>
      <c r="AL24" s="216"/>
      <c r="AM24" s="462"/>
      <c r="AN24" s="108"/>
      <c r="AO24" s="108"/>
      <c r="AP24" s="465"/>
      <c r="AQ24" s="462"/>
      <c r="AR24" s="462"/>
      <c r="AS24" s="462"/>
      <c r="AT24" s="465"/>
      <c r="AU24" s="462"/>
      <c r="AV24" s="462"/>
      <c r="AW24" s="462"/>
      <c r="AX24" s="216"/>
      <c r="AY24" s="462"/>
      <c r="AZ24" s="108"/>
      <c r="BA24" s="451">
        <f t="shared" si="8"/>
        <v>0</v>
      </c>
      <c r="BB24" s="15">
        <f t="shared" si="9"/>
        <v>0</v>
      </c>
      <c r="BC24" s="452"/>
      <c r="BD24" s="452"/>
      <c r="BE24" s="108"/>
      <c r="BF24" s="452"/>
      <c r="BG24" s="108"/>
      <c r="BH24" s="108"/>
      <c r="BI24" s="108"/>
      <c r="BJ24" s="452"/>
      <c r="BK24" s="108"/>
      <c r="BL24" s="108"/>
      <c r="BM24" s="108"/>
      <c r="BN24" s="452"/>
      <c r="BO24" s="108"/>
      <c r="BP24" s="108">
        <f t="shared" si="36"/>
        <v>0</v>
      </c>
      <c r="BQ24" s="108"/>
      <c r="BR24" s="452"/>
      <c r="BS24" s="106">
        <v>0</v>
      </c>
      <c r="BT24" s="106">
        <f t="shared" si="19"/>
        <v>0</v>
      </c>
      <c r="BU24" s="108"/>
      <c r="BV24" s="452"/>
      <c r="BW24" s="108"/>
      <c r="BX24" s="122">
        <f>BV24-BU24</f>
        <v>0</v>
      </c>
      <c r="BY24" s="108">
        <v>100</v>
      </c>
      <c r="BZ24" s="16"/>
      <c r="CA24" s="110">
        <v>0</v>
      </c>
      <c r="CB24" s="122">
        <f t="shared" si="27"/>
        <v>-100</v>
      </c>
      <c r="CC24" s="156"/>
      <c r="CD24" s="222"/>
      <c r="CE24" s="122"/>
      <c r="CF24" s="122"/>
      <c r="CG24" s="156"/>
      <c r="CH24" s="461"/>
      <c r="CI24" s="122"/>
      <c r="CJ24" s="122"/>
      <c r="CK24" s="451">
        <f t="shared" si="20"/>
        <v>100</v>
      </c>
      <c r="CL24" s="614">
        <f t="shared" si="42"/>
        <v>0</v>
      </c>
      <c r="CM24" s="453">
        <f t="shared" si="13"/>
        <v>0</v>
      </c>
      <c r="CN24" s="452">
        <f>CL24-CK24</f>
        <v>-100</v>
      </c>
      <c r="CP24" s="142">
        <f t="shared" si="15"/>
        <v>0</v>
      </c>
      <c r="CQ24" s="137">
        <f t="shared" si="16"/>
        <v>100</v>
      </c>
      <c r="CS24" s="146">
        <f t="shared" si="17"/>
        <v>0</v>
      </c>
      <c r="CT24" s="137">
        <f t="shared" si="21"/>
        <v>0</v>
      </c>
      <c r="CU24" s="137">
        <f t="shared" si="22"/>
        <v>0</v>
      </c>
      <c r="CV24" s="137">
        <f t="shared" si="23"/>
        <v>0</v>
      </c>
      <c r="CW24" s="137">
        <f t="shared" si="24"/>
        <v>100</v>
      </c>
      <c r="CX24" s="458"/>
      <c r="CY24" s="458"/>
    </row>
    <row r="25" spans="1:103" ht="12.75" hidden="1" customHeight="1">
      <c r="A25" s="122"/>
      <c r="B25" s="893" t="s">
        <v>208</v>
      </c>
      <c r="C25" s="894"/>
      <c r="D25" s="895"/>
      <c r="E25" s="452">
        <f t="shared" si="39"/>
        <v>0</v>
      </c>
      <c r="F25" s="16"/>
      <c r="G25" s="108"/>
      <c r="H25" s="108">
        <f t="shared" si="0"/>
        <v>0</v>
      </c>
      <c r="I25" s="108">
        <f t="shared" si="40"/>
        <v>0</v>
      </c>
      <c r="J25" s="16"/>
      <c r="K25" s="108"/>
      <c r="L25" s="122">
        <f t="shared" si="45"/>
        <v>0</v>
      </c>
      <c r="M25" s="108">
        <f t="shared" si="43"/>
        <v>0</v>
      </c>
      <c r="N25" s="16"/>
      <c r="O25" s="108"/>
      <c r="P25" s="463">
        <f t="shared" si="29"/>
        <v>0</v>
      </c>
      <c r="Q25" s="462">
        <f t="shared" si="44"/>
        <v>0</v>
      </c>
      <c r="R25" s="216"/>
      <c r="S25" s="108"/>
      <c r="T25" s="108">
        <f t="shared" si="37"/>
        <v>0</v>
      </c>
      <c r="U25" s="462"/>
      <c r="V25" s="216"/>
      <c r="W25" s="462"/>
      <c r="X25" s="463"/>
      <c r="Y25" s="462"/>
      <c r="Z25" s="216"/>
      <c r="AA25" s="462"/>
      <c r="AB25" s="463">
        <f>Z25-Y25</f>
        <v>0</v>
      </c>
      <c r="AC25" s="462"/>
      <c r="AD25" s="216"/>
      <c r="AE25" s="462"/>
      <c r="AF25" s="463">
        <f>AD25-AC25</f>
        <v>0</v>
      </c>
      <c r="AG25" s="468">
        <f t="shared" si="3"/>
        <v>0</v>
      </c>
      <c r="AH25" s="465">
        <f t="shared" si="41"/>
        <v>0</v>
      </c>
      <c r="AI25" s="465"/>
      <c r="AJ25" s="475">
        <f t="shared" si="32"/>
        <v>0</v>
      </c>
      <c r="AK25" s="462"/>
      <c r="AL25" s="216"/>
      <c r="AM25" s="462"/>
      <c r="AN25" s="108">
        <f>AL25-AK25</f>
        <v>0</v>
      </c>
      <c r="AO25" s="108"/>
      <c r="AP25" s="465"/>
      <c r="AQ25" s="462"/>
      <c r="AR25" s="462">
        <f>AP25-AO25</f>
        <v>0</v>
      </c>
      <c r="AS25" s="462"/>
      <c r="AT25" s="465"/>
      <c r="AU25" s="462"/>
      <c r="AV25" s="462">
        <f>AT25-AS25</f>
        <v>0</v>
      </c>
      <c r="AW25" s="462"/>
      <c r="AX25" s="216"/>
      <c r="AY25" s="462"/>
      <c r="AZ25" s="108">
        <f>AX25-AW25</f>
        <v>0</v>
      </c>
      <c r="BA25" s="451">
        <f t="shared" si="8"/>
        <v>0</v>
      </c>
      <c r="BB25" s="15">
        <f t="shared" si="9"/>
        <v>0</v>
      </c>
      <c r="BC25" s="452"/>
      <c r="BD25" s="452">
        <f>BB25-BA25</f>
        <v>0</v>
      </c>
      <c r="BE25" s="108"/>
      <c r="BF25" s="452"/>
      <c r="BG25" s="108"/>
      <c r="BH25" s="108">
        <f>BF25-BE25</f>
        <v>0</v>
      </c>
      <c r="BI25" s="108"/>
      <c r="BJ25" s="452"/>
      <c r="BK25" s="108"/>
      <c r="BL25" s="108">
        <f>BJ25-BI25</f>
        <v>0</v>
      </c>
      <c r="BM25" s="108"/>
      <c r="BN25" s="452"/>
      <c r="BO25" s="108"/>
      <c r="BP25" s="108">
        <f t="shared" si="36"/>
        <v>0</v>
      </c>
      <c r="BQ25" s="108"/>
      <c r="BR25" s="452"/>
      <c r="BS25" s="106" t="e">
        <f t="shared" si="18"/>
        <v>#DIV/0!</v>
      </c>
      <c r="BT25" s="106">
        <f t="shared" si="19"/>
        <v>0</v>
      </c>
      <c r="BU25" s="108"/>
      <c r="BV25" s="452"/>
      <c r="BW25" s="108"/>
      <c r="BX25" s="122"/>
      <c r="BY25" s="108"/>
      <c r="BZ25" s="16"/>
      <c r="CA25" s="110"/>
      <c r="CB25" s="122"/>
      <c r="CC25" s="122"/>
      <c r="CD25" s="222"/>
      <c r="CE25" s="122"/>
      <c r="CF25" s="122"/>
      <c r="CG25" s="122"/>
      <c r="CH25" s="461"/>
      <c r="CI25" s="122"/>
      <c r="CJ25" s="122"/>
      <c r="CK25" s="451">
        <f t="shared" si="20"/>
        <v>0</v>
      </c>
      <c r="CL25" s="614">
        <f t="shared" si="42"/>
        <v>0</v>
      </c>
      <c r="CM25" s="452"/>
      <c r="CN25" s="452">
        <f t="shared" si="14"/>
        <v>0</v>
      </c>
      <c r="CP25" s="142">
        <f t="shared" si="15"/>
        <v>0</v>
      </c>
      <c r="CQ25" s="137">
        <f t="shared" si="16"/>
        <v>0</v>
      </c>
      <c r="CS25" s="146">
        <f t="shared" si="17"/>
        <v>0</v>
      </c>
      <c r="CT25" s="137">
        <f t="shared" si="21"/>
        <v>0</v>
      </c>
      <c r="CU25" s="137">
        <f t="shared" si="22"/>
        <v>0</v>
      </c>
      <c r="CV25" s="137">
        <f t="shared" si="23"/>
        <v>0</v>
      </c>
      <c r="CW25" s="137">
        <f t="shared" si="24"/>
        <v>0</v>
      </c>
      <c r="CX25" s="458"/>
      <c r="CY25" s="458"/>
    </row>
    <row r="26" spans="1:103" ht="12.75" customHeight="1">
      <c r="A26" s="122"/>
      <c r="B26" s="875" t="s">
        <v>246</v>
      </c>
      <c r="C26" s="876"/>
      <c r="D26" s="877"/>
      <c r="E26" s="452">
        <v>11</v>
      </c>
      <c r="F26" s="16"/>
      <c r="G26" s="108">
        <f>F26/E26*100</f>
        <v>0</v>
      </c>
      <c r="H26" s="108"/>
      <c r="I26" s="108">
        <v>15</v>
      </c>
      <c r="J26" s="16"/>
      <c r="K26" s="109">
        <f>J26/I26*100</f>
        <v>0</v>
      </c>
      <c r="L26" s="108">
        <f>J26-I26</f>
        <v>-15</v>
      </c>
      <c r="M26" s="108">
        <v>26</v>
      </c>
      <c r="N26" s="16"/>
      <c r="O26" s="108"/>
      <c r="P26" s="462"/>
      <c r="Q26" s="462">
        <v>22</v>
      </c>
      <c r="R26" s="216"/>
      <c r="S26" s="108"/>
      <c r="T26" s="122"/>
      <c r="U26" s="462">
        <v>27</v>
      </c>
      <c r="V26" s="216"/>
      <c r="W26" s="462"/>
      <c r="X26" s="463"/>
      <c r="Y26" s="462">
        <v>19</v>
      </c>
      <c r="Z26" s="216"/>
      <c r="AA26" s="462"/>
      <c r="AB26" s="463"/>
      <c r="AC26" s="462">
        <v>14</v>
      </c>
      <c r="AD26" s="216"/>
      <c r="AE26" s="462"/>
      <c r="AF26" s="463"/>
      <c r="AG26" s="468">
        <f>E26+I26+M26+Q26+U26+Y26+AC26</f>
        <v>134</v>
      </c>
      <c r="AH26" s="465">
        <f t="shared" si="41"/>
        <v>0</v>
      </c>
      <c r="AI26" s="465">
        <f>AH26/AG26*100</f>
        <v>0</v>
      </c>
      <c r="AJ26" s="465">
        <f>AH26-AG26</f>
        <v>-134</v>
      </c>
      <c r="AK26" s="462"/>
      <c r="AL26" s="216"/>
      <c r="AM26" s="462"/>
      <c r="AN26" s="108"/>
      <c r="AO26" s="108"/>
      <c r="AP26" s="465"/>
      <c r="AQ26" s="462"/>
      <c r="AR26" s="462"/>
      <c r="AS26" s="462"/>
      <c r="AT26" s="465"/>
      <c r="AU26" s="462"/>
      <c r="AV26" s="462"/>
      <c r="AW26" s="462"/>
      <c r="AX26" s="216"/>
      <c r="AY26" s="462"/>
      <c r="AZ26" s="108"/>
      <c r="BA26" s="451">
        <f>AK26+AO26+AS26+AW26</f>
        <v>0</v>
      </c>
      <c r="BB26" s="15">
        <f t="shared" ref="BB26" si="46">+AL26+AP26+AT26+AX26</f>
        <v>0</v>
      </c>
      <c r="BC26" s="452"/>
      <c r="BD26" s="452"/>
      <c r="BE26" s="108"/>
      <c r="BF26" s="452"/>
      <c r="BG26" s="108"/>
      <c r="BH26" s="108"/>
      <c r="BI26" s="108"/>
      <c r="BJ26" s="452"/>
      <c r="BK26" s="108"/>
      <c r="BL26" s="108"/>
      <c r="BM26" s="108"/>
      <c r="BN26" s="452"/>
      <c r="BO26" s="108"/>
      <c r="BP26" s="108"/>
      <c r="BQ26" s="108"/>
      <c r="BR26" s="452"/>
      <c r="BS26" s="106">
        <v>0</v>
      </c>
      <c r="BT26" s="106">
        <f t="shared" si="19"/>
        <v>0</v>
      </c>
      <c r="BU26" s="108"/>
      <c r="BV26" s="452"/>
      <c r="BW26" s="108"/>
      <c r="BX26" s="122"/>
      <c r="BY26" s="108"/>
      <c r="BZ26" s="16"/>
      <c r="CA26" s="110"/>
      <c r="CB26" s="122"/>
      <c r="CC26" s="122"/>
      <c r="CD26" s="222"/>
      <c r="CE26" s="122"/>
      <c r="CF26" s="122"/>
      <c r="CG26" s="122"/>
      <c r="CH26" s="461"/>
      <c r="CI26" s="122"/>
      <c r="CJ26" s="122"/>
      <c r="CK26" s="451">
        <f t="shared" si="20"/>
        <v>134</v>
      </c>
      <c r="CL26" s="614">
        <f t="shared" si="42"/>
        <v>0</v>
      </c>
      <c r="CM26" s="452">
        <f>CL26/CK26*100</f>
        <v>0</v>
      </c>
      <c r="CN26" s="452">
        <f>CL26-CK26</f>
        <v>-134</v>
      </c>
      <c r="CP26" s="142">
        <f t="shared" si="15"/>
        <v>0</v>
      </c>
      <c r="CQ26" s="137">
        <f t="shared" si="16"/>
        <v>134</v>
      </c>
      <c r="CS26" s="146">
        <f t="shared" si="17"/>
        <v>0</v>
      </c>
      <c r="CT26" s="137">
        <f t="shared" si="21"/>
        <v>0</v>
      </c>
      <c r="CU26" s="137">
        <f t="shared" si="22"/>
        <v>0</v>
      </c>
      <c r="CV26" s="137">
        <f t="shared" si="23"/>
        <v>0</v>
      </c>
      <c r="CW26" s="137">
        <f t="shared" si="24"/>
        <v>134</v>
      </c>
      <c r="CX26" s="458"/>
      <c r="CY26" s="458"/>
    </row>
    <row r="27" spans="1:103" s="458" customFormat="1" ht="15" customHeight="1">
      <c r="A27" s="587">
        <v>226</v>
      </c>
      <c r="B27" s="1014" t="s">
        <v>118</v>
      </c>
      <c r="C27" s="1015"/>
      <c r="D27" s="1016"/>
      <c r="E27" s="451">
        <f>SUM(E28:E47)</f>
        <v>83</v>
      </c>
      <c r="F27" s="15">
        <f>SUM(F28:F47)</f>
        <v>36.421640000000004</v>
      </c>
      <c r="G27" s="451">
        <f>F27/E27*100</f>
        <v>43.881493975903616</v>
      </c>
      <c r="H27" s="451">
        <f t="shared" si="0"/>
        <v>-46.578359999999996</v>
      </c>
      <c r="I27" s="451">
        <f>SUM(I28:I47)</f>
        <v>131</v>
      </c>
      <c r="J27" s="15">
        <f>SUM(J28:J47)</f>
        <v>37.443550000000002</v>
      </c>
      <c r="K27" s="451">
        <f>J27/I27*100</f>
        <v>28.582862595419851</v>
      </c>
      <c r="L27" s="587">
        <f t="shared" si="45"/>
        <v>-93.556449999999998</v>
      </c>
      <c r="M27" s="451">
        <f>SUM(M28:M47)</f>
        <v>161</v>
      </c>
      <c r="N27" s="15">
        <f>SUM(N28:N47)</f>
        <v>165.14682000000002</v>
      </c>
      <c r="O27" s="451">
        <f>N27/M27*100</f>
        <v>102.5756645962733</v>
      </c>
      <c r="P27" s="591">
        <f t="shared" si="29"/>
        <v>4.1468200000000195</v>
      </c>
      <c r="Q27" s="468">
        <f>SUM(Q28:Q47)</f>
        <v>134</v>
      </c>
      <c r="R27" s="588">
        <f>SUM(R28:R46)</f>
        <v>105.13489</v>
      </c>
      <c r="S27" s="451">
        <f>R27/Q27*100</f>
        <v>78.458873134328357</v>
      </c>
      <c r="T27" s="451">
        <f t="shared" si="37"/>
        <v>-28.865110000000001</v>
      </c>
      <c r="U27" s="468">
        <f>SUM(U28:U47)</f>
        <v>142</v>
      </c>
      <c r="V27" s="588">
        <f>SUM(V28:V47)</f>
        <v>76.829679999999996</v>
      </c>
      <c r="W27" s="468">
        <f>V27/U27*100</f>
        <v>54.105408450704218</v>
      </c>
      <c r="X27" s="468">
        <f>V27-U27</f>
        <v>-65.170320000000004</v>
      </c>
      <c r="Y27" s="468">
        <f>SUM(Y28:Y47)</f>
        <v>128</v>
      </c>
      <c r="Z27" s="588">
        <f>SUM(Z28:Z47)</f>
        <v>191.71698999999998</v>
      </c>
      <c r="AA27" s="468">
        <f>Z27/Y27*100</f>
        <v>149.77889843749998</v>
      </c>
      <c r="AB27" s="591">
        <f>Z27-Y27</f>
        <v>63.716989999999981</v>
      </c>
      <c r="AC27" s="468">
        <f>SUM(AC28:AC47)</f>
        <v>128</v>
      </c>
      <c r="AD27" s="588">
        <f>SUM(AD28:AD47)</f>
        <v>64.897549999999995</v>
      </c>
      <c r="AE27" s="468">
        <f>AD27/AC27*100</f>
        <v>50.701210937499994</v>
      </c>
      <c r="AF27" s="591">
        <f>AD27-AC27</f>
        <v>-63.102450000000005</v>
      </c>
      <c r="AG27" s="468"/>
      <c r="AH27" s="588">
        <f>SUM(AH28:AH47)</f>
        <v>677.59112000000016</v>
      </c>
      <c r="AI27" s="468"/>
      <c r="AJ27" s="468">
        <f t="shared" si="32"/>
        <v>677.59112000000016</v>
      </c>
      <c r="AK27" s="468">
        <f>SUM(AK28:AK47)</f>
        <v>20</v>
      </c>
      <c r="AL27" s="588">
        <f>SUM(AL28:AL47)</f>
        <v>20.45504</v>
      </c>
      <c r="AM27" s="468"/>
      <c r="AN27" s="451">
        <f>AL27-AK27</f>
        <v>0.45504000000000033</v>
      </c>
      <c r="AO27" s="451">
        <f>SUM(AO28:AO47)</f>
        <v>0</v>
      </c>
      <c r="AP27" s="15">
        <f>SUM(AP28:AP47)</f>
        <v>1.05</v>
      </c>
      <c r="AQ27" s="451"/>
      <c r="AR27" s="451">
        <f>AP27-AO27</f>
        <v>1.05</v>
      </c>
      <c r="AS27" s="451">
        <f>SUM(AS28:AS47)</f>
        <v>20</v>
      </c>
      <c r="AT27" s="15">
        <f>SUM(AT28:AT47)</f>
        <v>36.4</v>
      </c>
      <c r="AU27" s="451"/>
      <c r="AV27" s="451">
        <f>AT27-AS27</f>
        <v>16.399999999999999</v>
      </c>
      <c r="AW27" s="451">
        <f>SUM(AW28:AW47)</f>
        <v>25</v>
      </c>
      <c r="AX27" s="15">
        <f>SUM(AX28:AX47)</f>
        <v>9.1959999999999997</v>
      </c>
      <c r="AY27" s="451"/>
      <c r="AZ27" s="451">
        <f>AX27-AW27</f>
        <v>-15.804</v>
      </c>
      <c r="BA27" s="451">
        <f t="shared" si="8"/>
        <v>65</v>
      </c>
      <c r="BB27" s="15">
        <f>SUM(BB28+BB46)</f>
        <v>62.570999999999998</v>
      </c>
      <c r="BC27" s="451"/>
      <c r="BD27" s="451">
        <f>BB27-BA27</f>
        <v>-2.429000000000002</v>
      </c>
      <c r="BE27" s="451">
        <f>SUM(BE28:BE47)</f>
        <v>0</v>
      </c>
      <c r="BF27" s="451">
        <f>SUM(BF28:BF47)</f>
        <v>10.398999999999999</v>
      </c>
      <c r="BG27" s="451"/>
      <c r="BH27" s="451">
        <f>BF27-BE27</f>
        <v>10.398999999999999</v>
      </c>
      <c r="BI27" s="451">
        <f>SUM(BI28:BI47)</f>
        <v>0</v>
      </c>
      <c r="BJ27" s="451">
        <f>SUM(BJ28:BJ47)</f>
        <v>0</v>
      </c>
      <c r="BK27" s="451"/>
      <c r="BL27" s="451">
        <f>BJ27-BI27</f>
        <v>0</v>
      </c>
      <c r="BM27" s="451">
        <f>SUM(BM28:BM47)</f>
        <v>0</v>
      </c>
      <c r="BN27" s="451">
        <f>SUM(BN28:BN47)</f>
        <v>34.880000000000003</v>
      </c>
      <c r="BO27" s="451"/>
      <c r="BP27" s="451">
        <f>BN27-BM27</f>
        <v>34.880000000000003</v>
      </c>
      <c r="BQ27" s="451">
        <f>SUM(BQ28:BQ47)</f>
        <v>0</v>
      </c>
      <c r="BR27" s="451">
        <f>SUM(BR28:BR47)</f>
        <v>0</v>
      </c>
      <c r="BS27" s="451"/>
      <c r="BT27" s="451">
        <f t="shared" si="19"/>
        <v>0</v>
      </c>
      <c r="BU27" s="451">
        <f>SUM(BU28:BU47)</f>
        <v>6</v>
      </c>
      <c r="BV27" s="451">
        <f>SUM(BV28:BV47)</f>
        <v>7.2669999999999995</v>
      </c>
      <c r="BW27" s="451">
        <v>0</v>
      </c>
      <c r="BX27" s="587">
        <f>BV27-BU27</f>
        <v>1.2669999999999995</v>
      </c>
      <c r="BY27" s="451">
        <f>SUM(BY28:BY46)</f>
        <v>787</v>
      </c>
      <c r="BZ27" s="15">
        <f>SUM(BZ28:BZ47)</f>
        <v>294.55395999999996</v>
      </c>
      <c r="CA27" s="618">
        <f>BZ27/BY27*100</f>
        <v>37.42744091486658</v>
      </c>
      <c r="CB27" s="587">
        <f t="shared" si="27"/>
        <v>-492.44604000000004</v>
      </c>
      <c r="CC27" s="15">
        <f>SUM(CC28:CC47)</f>
        <v>9.5</v>
      </c>
      <c r="CD27" s="15">
        <f>SUM(CD28:CD47)</f>
        <v>6.8</v>
      </c>
      <c r="CE27" s="618">
        <f>CD27/CC27*100</f>
        <v>71.578947368421055</v>
      </c>
      <c r="CF27" s="587">
        <f>CD27-CC27</f>
        <v>-2.7</v>
      </c>
      <c r="CG27" s="15">
        <f>SUM(CG28:CG47)</f>
        <v>63</v>
      </c>
      <c r="CH27" s="15">
        <f>SUM(CH28:CH47)</f>
        <v>64.275560000000013</v>
      </c>
      <c r="CI27" s="618">
        <f>CH27/CG27*100</f>
        <v>102.02469841269843</v>
      </c>
      <c r="CJ27" s="587">
        <f>CH27-CG27</f>
        <v>1.2755600000000129</v>
      </c>
      <c r="CK27" s="15">
        <f>SUM(CK28:CK47)</f>
        <v>1837.5</v>
      </c>
      <c r="CL27" s="666">
        <f>SUM(CL28:CL47)</f>
        <v>1162.8676800000001</v>
      </c>
      <c r="CM27" s="451">
        <f t="shared" si="13"/>
        <v>63.285315918367345</v>
      </c>
      <c r="CN27" s="451">
        <f t="shared" si="14"/>
        <v>-674.63231999999994</v>
      </c>
      <c r="CO27" s="458">
        <v>9.6</v>
      </c>
      <c r="CP27" s="458">
        <f t="shared" si="15"/>
        <v>1098.59212</v>
      </c>
      <c r="CQ27" s="458">
        <f t="shared" si="16"/>
        <v>1774.5</v>
      </c>
      <c r="CS27" s="458">
        <f t="shared" si="17"/>
        <v>1098.59212</v>
      </c>
      <c r="CT27" s="458">
        <f t="shared" si="21"/>
        <v>1162.8676800000001</v>
      </c>
      <c r="CU27" s="458">
        <f t="shared" si="22"/>
        <v>1162.8676800000001</v>
      </c>
      <c r="CV27" s="458">
        <f t="shared" si="23"/>
        <v>789.97116000000005</v>
      </c>
      <c r="CW27" s="458">
        <f t="shared" si="24"/>
        <v>1837.5</v>
      </c>
    </row>
    <row r="28" spans="1:103" ht="22.5" customHeight="1">
      <c r="A28" s="122"/>
      <c r="B28" s="893" t="s">
        <v>209</v>
      </c>
      <c r="C28" s="894"/>
      <c r="D28" s="895"/>
      <c r="E28" s="452">
        <f>F28</f>
        <v>0</v>
      </c>
      <c r="F28" s="16"/>
      <c r="G28" s="108"/>
      <c r="H28" s="108"/>
      <c r="I28" s="108">
        <f>J28</f>
        <v>0</v>
      </c>
      <c r="J28" s="16"/>
      <c r="K28" s="109"/>
      <c r="L28" s="122">
        <f t="shared" si="45"/>
        <v>0</v>
      </c>
      <c r="M28" s="108">
        <f>N28</f>
        <v>0</v>
      </c>
      <c r="N28" s="16"/>
      <c r="O28" s="108"/>
      <c r="P28" s="463">
        <f t="shared" si="29"/>
        <v>0</v>
      </c>
      <c r="Q28" s="462">
        <f>R28</f>
        <v>0</v>
      </c>
      <c r="R28" s="216"/>
      <c r="S28" s="452"/>
      <c r="T28" s="122">
        <f t="shared" si="37"/>
        <v>0</v>
      </c>
      <c r="U28" s="462"/>
      <c r="V28" s="216"/>
      <c r="W28" s="462"/>
      <c r="X28" s="463">
        <f>V28-U28</f>
        <v>0</v>
      </c>
      <c r="Y28" s="462"/>
      <c r="Z28" s="216"/>
      <c r="AA28" s="462"/>
      <c r="AB28" s="463">
        <f>Z28-Y28</f>
        <v>0</v>
      </c>
      <c r="AC28" s="462"/>
      <c r="AD28" s="216"/>
      <c r="AE28" s="462"/>
      <c r="AF28" s="463"/>
      <c r="AG28" s="468">
        <f t="shared" si="3"/>
        <v>0</v>
      </c>
      <c r="AH28" s="465">
        <f t="shared" si="41"/>
        <v>0</v>
      </c>
      <c r="AI28" s="465">
        <v>0</v>
      </c>
      <c r="AJ28" s="465">
        <f t="shared" si="32"/>
        <v>0</v>
      </c>
      <c r="AK28" s="462"/>
      <c r="AL28" s="216"/>
      <c r="AM28" s="462"/>
      <c r="AN28" s="108"/>
      <c r="AO28" s="108"/>
      <c r="AP28" s="465"/>
      <c r="AQ28" s="462"/>
      <c r="AR28" s="462"/>
      <c r="AS28" s="462"/>
      <c r="AT28" s="465">
        <v>18.399999999999999</v>
      </c>
      <c r="AU28" s="462"/>
      <c r="AV28" s="462"/>
      <c r="AW28" s="462"/>
      <c r="AX28" s="216"/>
      <c r="AY28" s="462"/>
      <c r="AZ28" s="462"/>
      <c r="BA28" s="451">
        <f t="shared" si="8"/>
        <v>0</v>
      </c>
      <c r="BB28" s="15">
        <f t="shared" ref="BB28:BB63" si="47">+AL28+AP28+AT28+AX28</f>
        <v>18.399999999999999</v>
      </c>
      <c r="BC28" s="452"/>
      <c r="BD28" s="452">
        <f>BB28-BA28</f>
        <v>18.399999999999999</v>
      </c>
      <c r="BE28" s="108"/>
      <c r="BF28" s="452"/>
      <c r="BG28" s="108"/>
      <c r="BH28" s="108"/>
      <c r="BI28" s="108"/>
      <c r="BJ28" s="452"/>
      <c r="BK28" s="451"/>
      <c r="BL28" s="452"/>
      <c r="BM28" s="108"/>
      <c r="BN28" s="452"/>
      <c r="BO28" s="108"/>
      <c r="BP28" s="108"/>
      <c r="BQ28" s="108"/>
      <c r="BR28" s="452"/>
      <c r="BS28" s="106">
        <v>0</v>
      </c>
      <c r="BT28" s="106">
        <f t="shared" si="19"/>
        <v>0</v>
      </c>
      <c r="BU28" s="108"/>
      <c r="BV28" s="452"/>
      <c r="BW28" s="108"/>
      <c r="BX28" s="122">
        <f>BV28-BU28</f>
        <v>0</v>
      </c>
      <c r="BY28" s="108"/>
      <c r="BZ28" s="16"/>
      <c r="CA28" s="547"/>
      <c r="CB28" s="122"/>
      <c r="CC28" s="122"/>
      <c r="CD28" s="222"/>
      <c r="CE28" s="122"/>
      <c r="CF28" s="122"/>
      <c r="CG28" s="122"/>
      <c r="CH28" s="461"/>
      <c r="CI28" s="122"/>
      <c r="CJ28" s="122"/>
      <c r="CK28" s="451">
        <f>AG28+BA28+BE28+BI28+BM28+BU28+BY28+CC28+BQ28+CG28</f>
        <v>0</v>
      </c>
      <c r="CL28" s="614">
        <f t="shared" ref="CL28:CL46" si="48">AH28+BB28+BF28+BJ28+BN28+BR28+BV28+BZ28+CD28+CH28</f>
        <v>18.399999999999999</v>
      </c>
      <c r="CM28" s="452">
        <v>0</v>
      </c>
      <c r="CN28" s="452">
        <f>CL28-CK28</f>
        <v>18.399999999999999</v>
      </c>
      <c r="CP28" s="142">
        <f t="shared" si="15"/>
        <v>18.399999999999999</v>
      </c>
      <c r="CQ28" s="137">
        <f t="shared" si="16"/>
        <v>0</v>
      </c>
      <c r="CS28" s="146">
        <f t="shared" si="17"/>
        <v>18.399999999999999</v>
      </c>
      <c r="CT28" s="137">
        <f t="shared" si="21"/>
        <v>18.399999999999999</v>
      </c>
      <c r="CU28" s="137">
        <f t="shared" si="22"/>
        <v>18.399999999999999</v>
      </c>
      <c r="CV28" s="137">
        <f t="shared" si="23"/>
        <v>18.399999999999999</v>
      </c>
      <c r="CW28" s="137">
        <f t="shared" si="24"/>
        <v>0</v>
      </c>
      <c r="CX28" s="458"/>
      <c r="CY28" s="458"/>
    </row>
    <row r="29" spans="1:103" ht="13.5" customHeight="1">
      <c r="A29" s="122"/>
      <c r="B29" s="893" t="s">
        <v>409</v>
      </c>
      <c r="C29" s="894"/>
      <c r="D29" s="895"/>
      <c r="E29" s="452">
        <f t="shared" ref="E29:E45" si="49">F29</f>
        <v>0</v>
      </c>
      <c r="F29" s="16"/>
      <c r="G29" s="108">
        <v>23.714839999999999</v>
      </c>
      <c r="H29" s="108"/>
      <c r="I29" s="108">
        <v>0</v>
      </c>
      <c r="J29" s="16"/>
      <c r="K29" s="109"/>
      <c r="L29" s="122">
        <f t="shared" si="45"/>
        <v>0</v>
      </c>
      <c r="M29" s="462">
        <f t="shared" ref="M29:M44" si="50">N29</f>
        <v>0</v>
      </c>
      <c r="N29" s="216"/>
      <c r="O29" s="462"/>
      <c r="P29" s="463">
        <f t="shared" si="29"/>
        <v>0</v>
      </c>
      <c r="Q29" s="462">
        <v>0</v>
      </c>
      <c r="R29" s="216">
        <v>12.84605</v>
      </c>
      <c r="S29" s="452"/>
      <c r="T29" s="122"/>
      <c r="U29" s="462"/>
      <c r="V29" s="216"/>
      <c r="W29" s="462"/>
      <c r="X29" s="463"/>
      <c r="Y29" s="462"/>
      <c r="Z29" s="216">
        <v>40</v>
      </c>
      <c r="AA29" s="462"/>
      <c r="AB29" s="463"/>
      <c r="AC29" s="462"/>
      <c r="AD29" s="216"/>
      <c r="AE29" s="462"/>
      <c r="AF29" s="463"/>
      <c r="AG29" s="468">
        <f t="shared" si="3"/>
        <v>0</v>
      </c>
      <c r="AH29" s="465">
        <f t="shared" si="41"/>
        <v>52.846049999999998</v>
      </c>
      <c r="AI29" s="465"/>
      <c r="AJ29" s="465">
        <f>AH29-AG29</f>
        <v>52.846049999999998</v>
      </c>
      <c r="AK29" s="462"/>
      <c r="AL29" s="216"/>
      <c r="AM29" s="462"/>
      <c r="AN29" s="108"/>
      <c r="AO29" s="108"/>
      <c r="AP29" s="465"/>
      <c r="AQ29" s="462"/>
      <c r="AR29" s="462"/>
      <c r="AS29" s="462"/>
      <c r="AT29" s="465"/>
      <c r="AU29" s="462"/>
      <c r="AV29" s="462"/>
      <c r="AW29" s="462"/>
      <c r="AX29" s="216"/>
      <c r="AY29" s="462"/>
      <c r="AZ29" s="462"/>
      <c r="BA29" s="451">
        <f t="shared" si="8"/>
        <v>0</v>
      </c>
      <c r="BB29" s="15">
        <f t="shared" si="47"/>
        <v>0</v>
      </c>
      <c r="BC29" s="452"/>
      <c r="BD29" s="452">
        <f>BB29-BA29</f>
        <v>0</v>
      </c>
      <c r="BE29" s="108"/>
      <c r="BF29" s="452"/>
      <c r="BG29" s="108"/>
      <c r="BH29" s="108"/>
      <c r="BI29" s="108"/>
      <c r="BJ29" s="452"/>
      <c r="BK29" s="451"/>
      <c r="BL29" s="452"/>
      <c r="BM29" s="108"/>
      <c r="BN29" s="452"/>
      <c r="BO29" s="108"/>
      <c r="BP29" s="108"/>
      <c r="BQ29" s="108"/>
      <c r="BR29" s="452"/>
      <c r="BS29" s="106"/>
      <c r="BT29" s="106">
        <f t="shared" si="19"/>
        <v>0</v>
      </c>
      <c r="BU29" s="108"/>
      <c r="BV29" s="452"/>
      <c r="BW29" s="108"/>
      <c r="BX29" s="122"/>
      <c r="BY29" s="108"/>
      <c r="BZ29" s="216"/>
      <c r="CA29" s="547"/>
      <c r="CB29" s="122"/>
      <c r="CC29" s="122"/>
      <c r="CD29" s="222"/>
      <c r="CE29" s="122"/>
      <c r="CF29" s="122"/>
      <c r="CG29" s="122">
        <v>50</v>
      </c>
      <c r="CH29" s="461"/>
      <c r="CI29" s="122"/>
      <c r="CJ29" s="122"/>
      <c r="CK29" s="451">
        <f t="shared" ref="CK29:CK46" si="51">AG29+BA29+BE29+BI29+BM29+BU29+BY29+CC29+BQ29+CG29</f>
        <v>50</v>
      </c>
      <c r="CL29" s="614">
        <f t="shared" si="48"/>
        <v>52.846049999999998</v>
      </c>
      <c r="CM29" s="452">
        <f t="shared" si="13"/>
        <v>105.6921</v>
      </c>
      <c r="CN29" s="452">
        <f>CL29-CK29</f>
        <v>2.8460499999999982</v>
      </c>
      <c r="CP29" s="142">
        <f t="shared" si="15"/>
        <v>52.846049999999998</v>
      </c>
      <c r="CQ29" s="137">
        <f t="shared" si="16"/>
        <v>0</v>
      </c>
      <c r="CS29" s="146">
        <f t="shared" si="17"/>
        <v>52.846049999999998</v>
      </c>
      <c r="CT29" s="137">
        <f t="shared" si="21"/>
        <v>52.846049999999998</v>
      </c>
      <c r="CU29" s="137">
        <f t="shared" si="22"/>
        <v>52.846049999999998</v>
      </c>
      <c r="CV29" s="137">
        <f t="shared" si="23"/>
        <v>52.846049999999998</v>
      </c>
      <c r="CW29" s="137">
        <f t="shared" si="24"/>
        <v>50</v>
      </c>
      <c r="CX29" s="458"/>
      <c r="CY29" s="458"/>
    </row>
    <row r="30" spans="1:103" ht="12.75" hidden="1" customHeight="1">
      <c r="A30" s="122"/>
      <c r="B30" s="875" t="s">
        <v>210</v>
      </c>
      <c r="C30" s="876"/>
      <c r="D30" s="877"/>
      <c r="E30" s="452">
        <f t="shared" si="49"/>
        <v>0</v>
      </c>
      <c r="F30" s="16"/>
      <c r="G30" s="108"/>
      <c r="H30" s="108"/>
      <c r="I30" s="108">
        <f t="shared" ref="I30:I45" si="52">J30</f>
        <v>0</v>
      </c>
      <c r="J30" s="16"/>
      <c r="K30" s="109"/>
      <c r="L30" s="122">
        <f t="shared" si="45"/>
        <v>0</v>
      </c>
      <c r="M30" s="462">
        <f t="shared" si="50"/>
        <v>0</v>
      </c>
      <c r="N30" s="216"/>
      <c r="O30" s="462"/>
      <c r="P30" s="463">
        <f t="shared" si="29"/>
        <v>0</v>
      </c>
      <c r="Q30" s="462">
        <f t="shared" ref="Q30:Q47" si="53">R30</f>
        <v>0</v>
      </c>
      <c r="R30" s="216"/>
      <c r="S30" s="452"/>
      <c r="T30" s="122">
        <f t="shared" si="37"/>
        <v>0</v>
      </c>
      <c r="U30" s="462"/>
      <c r="V30" s="216"/>
      <c r="W30" s="462"/>
      <c r="X30" s="463">
        <f>V30-U30</f>
        <v>0</v>
      </c>
      <c r="Y30" s="462"/>
      <c r="Z30" s="216"/>
      <c r="AA30" s="462"/>
      <c r="AB30" s="463">
        <f>Z30-Y30</f>
        <v>0</v>
      </c>
      <c r="AC30" s="462"/>
      <c r="AD30" s="216"/>
      <c r="AE30" s="462"/>
      <c r="AF30" s="463"/>
      <c r="AG30" s="468">
        <f t="shared" si="3"/>
        <v>0</v>
      </c>
      <c r="AH30" s="465">
        <f t="shared" si="41"/>
        <v>0</v>
      </c>
      <c r="AI30" s="465"/>
      <c r="AJ30" s="465">
        <f t="shared" si="32"/>
        <v>0</v>
      </c>
      <c r="AK30" s="462"/>
      <c r="AL30" s="216"/>
      <c r="AM30" s="462"/>
      <c r="AN30" s="108"/>
      <c r="AO30" s="108"/>
      <c r="AP30" s="465"/>
      <c r="AQ30" s="462"/>
      <c r="AR30" s="462"/>
      <c r="AS30" s="462"/>
      <c r="AT30" s="465"/>
      <c r="AU30" s="462"/>
      <c r="AV30" s="462"/>
      <c r="AW30" s="462"/>
      <c r="AX30" s="216"/>
      <c r="AY30" s="462"/>
      <c r="AZ30" s="462"/>
      <c r="BA30" s="451">
        <f t="shared" si="8"/>
        <v>0</v>
      </c>
      <c r="BB30" s="15">
        <f t="shared" si="47"/>
        <v>0</v>
      </c>
      <c r="BC30" s="452"/>
      <c r="BD30" s="452">
        <f>BB30-BA30</f>
        <v>0</v>
      </c>
      <c r="BE30" s="108"/>
      <c r="BF30" s="452"/>
      <c r="BG30" s="108"/>
      <c r="BH30" s="108"/>
      <c r="BI30" s="108"/>
      <c r="BJ30" s="452"/>
      <c r="BK30" s="451"/>
      <c r="BL30" s="452"/>
      <c r="BM30" s="108"/>
      <c r="BN30" s="452"/>
      <c r="BO30" s="108"/>
      <c r="BP30" s="108"/>
      <c r="BQ30" s="108"/>
      <c r="BR30" s="452"/>
      <c r="BS30" s="106"/>
      <c r="BT30" s="106">
        <f t="shared" si="19"/>
        <v>0</v>
      </c>
      <c r="BU30" s="108"/>
      <c r="BV30" s="452"/>
      <c r="BW30" s="108"/>
      <c r="BX30" s="122">
        <f>BV30-BU30</f>
        <v>0</v>
      </c>
      <c r="BY30" s="108"/>
      <c r="BZ30" s="16"/>
      <c r="CA30" s="547"/>
      <c r="CB30" s="122">
        <f t="shared" si="27"/>
        <v>0</v>
      </c>
      <c r="CC30" s="122"/>
      <c r="CD30" s="222"/>
      <c r="CE30" s="122"/>
      <c r="CF30" s="122"/>
      <c r="CG30" s="122"/>
      <c r="CH30" s="461"/>
      <c r="CI30" s="122"/>
      <c r="CJ30" s="122"/>
      <c r="CK30" s="451">
        <f t="shared" si="51"/>
        <v>0</v>
      </c>
      <c r="CL30" s="614">
        <f t="shared" si="48"/>
        <v>0</v>
      </c>
      <c r="CM30" s="452" t="e">
        <f t="shared" si="13"/>
        <v>#DIV/0!</v>
      </c>
      <c r="CN30" s="452">
        <f t="shared" si="14"/>
        <v>0</v>
      </c>
      <c r="CP30" s="142">
        <f t="shared" si="15"/>
        <v>0</v>
      </c>
      <c r="CQ30" s="137">
        <f t="shared" si="16"/>
        <v>0</v>
      </c>
      <c r="CS30" s="146">
        <f t="shared" si="17"/>
        <v>0</v>
      </c>
      <c r="CT30" s="137">
        <f t="shared" si="21"/>
        <v>0</v>
      </c>
      <c r="CU30" s="137">
        <f t="shared" si="22"/>
        <v>0</v>
      </c>
      <c r="CV30" s="137">
        <f t="shared" si="23"/>
        <v>0</v>
      </c>
      <c r="CW30" s="137">
        <f t="shared" si="24"/>
        <v>0</v>
      </c>
      <c r="CX30" s="458"/>
      <c r="CY30" s="458"/>
    </row>
    <row r="31" spans="1:103" ht="12.75" customHeight="1">
      <c r="A31" s="122"/>
      <c r="B31" s="893" t="s">
        <v>783</v>
      </c>
      <c r="C31" s="894"/>
      <c r="D31" s="895"/>
      <c r="E31" s="452">
        <v>0</v>
      </c>
      <c r="F31" s="16"/>
      <c r="G31" s="108"/>
      <c r="H31" s="108"/>
      <c r="I31" s="108">
        <v>0</v>
      </c>
      <c r="J31" s="16"/>
      <c r="K31" s="109"/>
      <c r="L31" s="122"/>
      <c r="M31" s="462">
        <v>0</v>
      </c>
      <c r="N31" s="216"/>
      <c r="O31" s="462"/>
      <c r="P31" s="463"/>
      <c r="Q31" s="462">
        <v>0</v>
      </c>
      <c r="R31" s="216">
        <v>19.28</v>
      </c>
      <c r="S31" s="452"/>
      <c r="T31" s="122"/>
      <c r="U31" s="462"/>
      <c r="V31" s="216"/>
      <c r="W31" s="462"/>
      <c r="X31" s="463"/>
      <c r="Y31" s="462"/>
      <c r="Z31" s="216"/>
      <c r="AA31" s="462"/>
      <c r="AB31" s="463"/>
      <c r="AC31" s="462"/>
      <c r="AD31" s="216"/>
      <c r="AE31" s="462"/>
      <c r="AF31" s="463"/>
      <c r="AG31" s="468"/>
      <c r="AH31" s="465">
        <f t="shared" si="41"/>
        <v>19.28</v>
      </c>
      <c r="AI31" s="465"/>
      <c r="AJ31" s="465"/>
      <c r="AK31" s="462"/>
      <c r="AL31" s="216"/>
      <c r="AM31" s="462"/>
      <c r="AN31" s="108"/>
      <c r="AO31" s="108"/>
      <c r="AP31" s="465"/>
      <c r="AQ31" s="462"/>
      <c r="AR31" s="462"/>
      <c r="AS31" s="462"/>
      <c r="AT31" s="465"/>
      <c r="AU31" s="462"/>
      <c r="AV31" s="462"/>
      <c r="AW31" s="462"/>
      <c r="AX31" s="216"/>
      <c r="AY31" s="462"/>
      <c r="AZ31" s="462"/>
      <c r="BA31" s="451"/>
      <c r="BB31" s="15">
        <f t="shared" si="47"/>
        <v>0</v>
      </c>
      <c r="BC31" s="452"/>
      <c r="BD31" s="452"/>
      <c r="BE31" s="108"/>
      <c r="BF31" s="452"/>
      <c r="BG31" s="108"/>
      <c r="BH31" s="108"/>
      <c r="BI31" s="108"/>
      <c r="BJ31" s="452"/>
      <c r="BK31" s="451"/>
      <c r="BL31" s="452"/>
      <c r="BM31" s="108"/>
      <c r="BN31" s="452"/>
      <c r="BO31" s="108"/>
      <c r="BP31" s="108"/>
      <c r="BQ31" s="108"/>
      <c r="BR31" s="452"/>
      <c r="BS31" s="106"/>
      <c r="BT31" s="106"/>
      <c r="BU31" s="108"/>
      <c r="BV31" s="452"/>
      <c r="BW31" s="108"/>
      <c r="BX31" s="122"/>
      <c r="BY31" s="108"/>
      <c r="BZ31" s="16"/>
      <c r="CA31" s="547"/>
      <c r="CB31" s="122"/>
      <c r="CC31" s="122"/>
      <c r="CD31" s="222"/>
      <c r="CE31" s="122"/>
      <c r="CF31" s="122"/>
      <c r="CG31" s="122"/>
      <c r="CH31" s="452">
        <v>9.48</v>
      </c>
      <c r="CI31" s="122"/>
      <c r="CJ31" s="122"/>
      <c r="CK31" s="451">
        <f t="shared" si="51"/>
        <v>0</v>
      </c>
      <c r="CL31" s="614">
        <f t="shared" si="48"/>
        <v>28.76</v>
      </c>
      <c r="CM31" s="452">
        <v>0</v>
      </c>
      <c r="CN31" s="452">
        <f t="shared" si="14"/>
        <v>28.76</v>
      </c>
      <c r="CP31" s="142"/>
      <c r="CQ31" s="137"/>
      <c r="CS31" s="146"/>
      <c r="CT31" s="137"/>
      <c r="CU31" s="137"/>
      <c r="CV31" s="137"/>
      <c r="CW31" s="137"/>
      <c r="CX31" s="458"/>
      <c r="CY31" s="458"/>
    </row>
    <row r="32" spans="1:103" ht="12.75" customHeight="1">
      <c r="A32" s="122"/>
      <c r="B32" s="875" t="s">
        <v>211</v>
      </c>
      <c r="C32" s="876"/>
      <c r="D32" s="877"/>
      <c r="E32" s="452"/>
      <c r="F32" s="16">
        <v>2.7780900000000002</v>
      </c>
      <c r="G32" s="108"/>
      <c r="H32" s="108"/>
      <c r="I32" s="108"/>
      <c r="J32" s="16"/>
      <c r="K32" s="109"/>
      <c r="L32" s="122"/>
      <c r="M32" s="462"/>
      <c r="N32" s="216">
        <v>18.498270000000002</v>
      </c>
      <c r="O32" s="462"/>
      <c r="P32" s="463">
        <f t="shared" si="29"/>
        <v>18.498270000000002</v>
      </c>
      <c r="Q32" s="462"/>
      <c r="R32" s="216">
        <v>2</v>
      </c>
      <c r="S32" s="452"/>
      <c r="T32" s="122"/>
      <c r="U32" s="462"/>
      <c r="V32" s="216"/>
      <c r="W32" s="462"/>
      <c r="X32" s="463"/>
      <c r="Y32" s="462"/>
      <c r="Z32" s="216">
        <v>7.8014400000000004</v>
      </c>
      <c r="AA32" s="462"/>
      <c r="AB32" s="463"/>
      <c r="AC32" s="462"/>
      <c r="AD32" s="216"/>
      <c r="AE32" s="462"/>
      <c r="AF32" s="463"/>
      <c r="AG32" s="468">
        <f t="shared" si="3"/>
        <v>0</v>
      </c>
      <c r="AH32" s="465">
        <f t="shared" si="41"/>
        <v>31.0778</v>
      </c>
      <c r="AI32" s="465"/>
      <c r="AJ32" s="465">
        <f t="shared" si="32"/>
        <v>31.0778</v>
      </c>
      <c r="AK32" s="462"/>
      <c r="AL32" s="216"/>
      <c r="AM32" s="462"/>
      <c r="AN32" s="108">
        <f t="shared" ref="AN32:AN46" si="54">AL32-AK32</f>
        <v>0</v>
      </c>
      <c r="AO32" s="108"/>
      <c r="AP32" s="465"/>
      <c r="AQ32" s="462"/>
      <c r="AR32" s="462">
        <f t="shared" ref="AR32:AR46" si="55">AP32-AO32</f>
        <v>0</v>
      </c>
      <c r="AS32" s="462"/>
      <c r="AT32" s="465"/>
      <c r="AU32" s="462"/>
      <c r="AV32" s="462">
        <f t="shared" ref="AV32:AV46" si="56">AT32-AS32</f>
        <v>0</v>
      </c>
      <c r="AW32" s="462"/>
      <c r="AX32" s="216"/>
      <c r="AY32" s="462"/>
      <c r="AZ32" s="462">
        <f t="shared" ref="AZ32:AZ46" si="57">AX32-AW32</f>
        <v>0</v>
      </c>
      <c r="BA32" s="451">
        <f t="shared" si="8"/>
        <v>0</v>
      </c>
      <c r="BB32" s="15">
        <f t="shared" si="47"/>
        <v>0</v>
      </c>
      <c r="BC32" s="452"/>
      <c r="BD32" s="452">
        <f t="shared" ref="BD32:BD46" si="58">BB32-BA32</f>
        <v>0</v>
      </c>
      <c r="BE32" s="108"/>
      <c r="BF32" s="452"/>
      <c r="BG32" s="108"/>
      <c r="BH32" s="108">
        <f t="shared" ref="BH32:BH46" si="59">BF32-BE32</f>
        <v>0</v>
      </c>
      <c r="BI32" s="108"/>
      <c r="BJ32" s="452"/>
      <c r="BK32" s="451"/>
      <c r="BL32" s="452">
        <f t="shared" ref="BL32:BL46" si="60">BJ32-BI32</f>
        <v>0</v>
      </c>
      <c r="BM32" s="108"/>
      <c r="BN32" s="452"/>
      <c r="BO32" s="108"/>
      <c r="BP32" s="108">
        <f t="shared" ref="BP32:BP46" si="61">BN32-BM32</f>
        <v>0</v>
      </c>
      <c r="BQ32" s="108"/>
      <c r="BR32" s="452"/>
      <c r="BS32" s="106">
        <v>0</v>
      </c>
      <c r="BT32" s="106">
        <f t="shared" si="19"/>
        <v>0</v>
      </c>
      <c r="BU32" s="108"/>
      <c r="BV32" s="452"/>
      <c r="BW32" s="108"/>
      <c r="BX32" s="122">
        <f t="shared" ref="BX32:BX43" si="62">BV32-BU32</f>
        <v>0</v>
      </c>
      <c r="BY32" s="108"/>
      <c r="BZ32" s="16"/>
      <c r="CA32" s="547"/>
      <c r="CB32" s="122"/>
      <c r="CC32" s="122"/>
      <c r="CD32" s="222"/>
      <c r="CE32" s="122"/>
      <c r="CF32" s="122"/>
      <c r="CG32" s="122"/>
      <c r="CH32" s="34">
        <v>11.9</v>
      </c>
      <c r="CI32" s="122"/>
      <c r="CJ32" s="122"/>
      <c r="CK32" s="451">
        <f t="shared" si="51"/>
        <v>0</v>
      </c>
      <c r="CL32" s="614">
        <f t="shared" si="48"/>
        <v>42.977800000000002</v>
      </c>
      <c r="CM32" s="452">
        <v>0</v>
      </c>
      <c r="CN32" s="452">
        <f t="shared" si="14"/>
        <v>42.977800000000002</v>
      </c>
      <c r="CP32" s="142">
        <f t="shared" si="15"/>
        <v>31.0778</v>
      </c>
      <c r="CQ32" s="137">
        <f t="shared" si="16"/>
        <v>0</v>
      </c>
      <c r="CS32" s="146">
        <f t="shared" si="17"/>
        <v>31.0778</v>
      </c>
      <c r="CT32" s="137">
        <f t="shared" si="21"/>
        <v>42.977800000000002</v>
      </c>
      <c r="CU32" s="137">
        <f t="shared" si="22"/>
        <v>42.977800000000002</v>
      </c>
      <c r="CV32" s="137">
        <f t="shared" si="23"/>
        <v>31.0778</v>
      </c>
      <c r="CW32" s="137">
        <f t="shared" si="24"/>
        <v>0</v>
      </c>
      <c r="CX32" s="458"/>
      <c r="CY32" s="458"/>
    </row>
    <row r="33" spans="1:103" ht="12.75" hidden="1" customHeight="1">
      <c r="A33" s="122"/>
      <c r="B33" s="875" t="s">
        <v>451</v>
      </c>
      <c r="C33" s="876"/>
      <c r="D33" s="877"/>
      <c r="E33" s="452">
        <f t="shared" si="49"/>
        <v>0</v>
      </c>
      <c r="F33" s="16"/>
      <c r="G33" s="108"/>
      <c r="H33" s="108">
        <f t="shared" si="0"/>
        <v>0</v>
      </c>
      <c r="I33" s="108"/>
      <c r="J33" s="16"/>
      <c r="K33" s="109" t="e">
        <f>J33/I33*100</f>
        <v>#DIV/0!</v>
      </c>
      <c r="L33" s="108">
        <f>J33-I33</f>
        <v>0</v>
      </c>
      <c r="M33" s="462">
        <f t="shared" si="50"/>
        <v>0</v>
      </c>
      <c r="N33" s="216"/>
      <c r="O33" s="462" t="e">
        <f>N33/M33*100</f>
        <v>#DIV/0!</v>
      </c>
      <c r="P33" s="463">
        <f t="shared" si="29"/>
        <v>0</v>
      </c>
      <c r="Q33" s="462"/>
      <c r="R33" s="216"/>
      <c r="S33" s="108" t="e">
        <f>R33/Q33*100</f>
        <v>#DIV/0!</v>
      </c>
      <c r="T33" s="122">
        <f t="shared" ref="T33:T47" si="63">R33-Q33</f>
        <v>0</v>
      </c>
      <c r="U33" s="462"/>
      <c r="V33" s="216"/>
      <c r="W33" s="462"/>
      <c r="X33" s="463">
        <f t="shared" ref="X33:X49" si="64">V33-U33</f>
        <v>0</v>
      </c>
      <c r="Y33" s="462"/>
      <c r="Z33" s="216"/>
      <c r="AA33" s="462" t="e">
        <f>Z33/Y33*100</f>
        <v>#DIV/0!</v>
      </c>
      <c r="AB33" s="463">
        <f>Z33-Y33</f>
        <v>0</v>
      </c>
      <c r="AC33" s="462"/>
      <c r="AD33" s="216"/>
      <c r="AE33" s="462"/>
      <c r="AF33" s="463">
        <f>AD33-AC33</f>
        <v>0</v>
      </c>
      <c r="AG33" s="468">
        <f t="shared" si="3"/>
        <v>0</v>
      </c>
      <c r="AH33" s="465">
        <f t="shared" si="41"/>
        <v>0</v>
      </c>
      <c r="AI33" s="465" t="e">
        <f t="shared" si="35"/>
        <v>#DIV/0!</v>
      </c>
      <c r="AJ33" s="465">
        <f t="shared" si="32"/>
        <v>0</v>
      </c>
      <c r="AK33" s="462"/>
      <c r="AL33" s="216"/>
      <c r="AM33" s="462"/>
      <c r="AN33" s="108">
        <f t="shared" si="54"/>
        <v>0</v>
      </c>
      <c r="AO33" s="108"/>
      <c r="AP33" s="465"/>
      <c r="AQ33" s="462"/>
      <c r="AR33" s="462">
        <f t="shared" si="55"/>
        <v>0</v>
      </c>
      <c r="AS33" s="462"/>
      <c r="AT33" s="465"/>
      <c r="AU33" s="462"/>
      <c r="AV33" s="462">
        <f t="shared" si="56"/>
        <v>0</v>
      </c>
      <c r="AW33" s="462"/>
      <c r="AX33" s="216"/>
      <c r="AY33" s="462"/>
      <c r="AZ33" s="462">
        <f t="shared" si="57"/>
        <v>0</v>
      </c>
      <c r="BA33" s="451">
        <f t="shared" si="8"/>
        <v>0</v>
      </c>
      <c r="BB33" s="15">
        <f t="shared" si="47"/>
        <v>0</v>
      </c>
      <c r="BC33" s="452"/>
      <c r="BD33" s="452">
        <f t="shared" si="58"/>
        <v>0</v>
      </c>
      <c r="BE33" s="108"/>
      <c r="BF33" s="452"/>
      <c r="BG33" s="108"/>
      <c r="BH33" s="108">
        <f t="shared" si="59"/>
        <v>0</v>
      </c>
      <c r="BI33" s="108"/>
      <c r="BJ33" s="452"/>
      <c r="BK33" s="451"/>
      <c r="BL33" s="452">
        <f t="shared" si="60"/>
        <v>0</v>
      </c>
      <c r="BM33" s="108"/>
      <c r="BN33" s="452"/>
      <c r="BO33" s="108"/>
      <c r="BP33" s="108">
        <f t="shared" si="61"/>
        <v>0</v>
      </c>
      <c r="BQ33" s="108"/>
      <c r="BR33" s="452"/>
      <c r="BS33" s="106" t="e">
        <f t="shared" si="18"/>
        <v>#DIV/0!</v>
      </c>
      <c r="BT33" s="106">
        <f t="shared" si="19"/>
        <v>0</v>
      </c>
      <c r="BU33" s="108"/>
      <c r="BV33" s="452"/>
      <c r="BW33" s="108"/>
      <c r="BX33" s="122">
        <f t="shared" si="62"/>
        <v>0</v>
      </c>
      <c r="BY33" s="108"/>
      <c r="BZ33" s="16"/>
      <c r="CA33" s="547" t="e">
        <f t="shared" ref="CA33:CA42" si="65">BZ33/BY33*100</f>
        <v>#DIV/0!</v>
      </c>
      <c r="CB33" s="122">
        <f t="shared" si="27"/>
        <v>0</v>
      </c>
      <c r="CC33" s="122"/>
      <c r="CD33" s="222"/>
      <c r="CE33" s="122"/>
      <c r="CF33" s="122"/>
      <c r="CG33" s="122"/>
      <c r="CH33" s="461"/>
      <c r="CI33" s="122"/>
      <c r="CJ33" s="122"/>
      <c r="CK33" s="451">
        <f t="shared" si="51"/>
        <v>0</v>
      </c>
      <c r="CL33" s="614">
        <f t="shared" si="48"/>
        <v>0</v>
      </c>
      <c r="CM33" s="452" t="e">
        <f t="shared" si="13"/>
        <v>#DIV/0!</v>
      </c>
      <c r="CN33" s="452">
        <f t="shared" si="14"/>
        <v>0</v>
      </c>
      <c r="CP33" s="142">
        <f t="shared" si="15"/>
        <v>0</v>
      </c>
      <c r="CQ33" s="137">
        <f t="shared" si="16"/>
        <v>0</v>
      </c>
      <c r="CS33" s="146">
        <f t="shared" si="17"/>
        <v>0</v>
      </c>
      <c r="CT33" s="137">
        <f t="shared" si="21"/>
        <v>0</v>
      </c>
      <c r="CU33" s="137">
        <f t="shared" si="22"/>
        <v>0</v>
      </c>
      <c r="CV33" s="137">
        <f t="shared" si="23"/>
        <v>0</v>
      </c>
      <c r="CW33" s="137">
        <f t="shared" si="24"/>
        <v>0</v>
      </c>
      <c r="CX33" s="458"/>
      <c r="CY33" s="458"/>
    </row>
    <row r="34" spans="1:103" ht="12.75" customHeight="1">
      <c r="A34" s="122"/>
      <c r="B34" s="896" t="s">
        <v>874</v>
      </c>
      <c r="C34" s="897"/>
      <c r="D34" s="898"/>
      <c r="E34" s="452">
        <v>0</v>
      </c>
      <c r="F34" s="16"/>
      <c r="G34" s="108"/>
      <c r="H34" s="108">
        <f t="shared" si="0"/>
        <v>0</v>
      </c>
      <c r="I34" s="108"/>
      <c r="J34" s="16"/>
      <c r="K34" s="109"/>
      <c r="L34" s="108">
        <f>J34-I34</f>
        <v>0</v>
      </c>
      <c r="M34" s="462">
        <f t="shared" si="50"/>
        <v>0</v>
      </c>
      <c r="N34" s="216"/>
      <c r="O34" s="462"/>
      <c r="P34" s="463">
        <f t="shared" si="29"/>
        <v>0</v>
      </c>
      <c r="Q34" s="462"/>
      <c r="R34" s="216"/>
      <c r="S34" s="108"/>
      <c r="T34" s="122">
        <f t="shared" si="63"/>
        <v>0</v>
      </c>
      <c r="U34" s="462"/>
      <c r="V34" s="216"/>
      <c r="W34" s="462"/>
      <c r="X34" s="463">
        <f t="shared" si="64"/>
        <v>0</v>
      </c>
      <c r="Y34" s="462"/>
      <c r="Z34" s="216"/>
      <c r="AA34" s="462"/>
      <c r="AB34" s="463">
        <f>Z34-Y34</f>
        <v>0</v>
      </c>
      <c r="AC34" s="462"/>
      <c r="AD34" s="216"/>
      <c r="AE34" s="462"/>
      <c r="AF34" s="463"/>
      <c r="AG34" s="468">
        <f t="shared" si="3"/>
        <v>0</v>
      </c>
      <c r="AH34" s="465">
        <f t="shared" si="41"/>
        <v>0</v>
      </c>
      <c r="AI34" s="465"/>
      <c r="AJ34" s="465">
        <f t="shared" si="32"/>
        <v>0</v>
      </c>
      <c r="AK34" s="462"/>
      <c r="AL34" s="216"/>
      <c r="AM34" s="462"/>
      <c r="AN34" s="108">
        <f t="shared" si="54"/>
        <v>0</v>
      </c>
      <c r="AO34" s="108"/>
      <c r="AP34" s="465"/>
      <c r="AQ34" s="462"/>
      <c r="AR34" s="462">
        <f t="shared" si="55"/>
        <v>0</v>
      </c>
      <c r="AS34" s="462"/>
      <c r="AT34" s="465"/>
      <c r="AU34" s="462"/>
      <c r="AV34" s="462">
        <f t="shared" si="56"/>
        <v>0</v>
      </c>
      <c r="AW34" s="462"/>
      <c r="AX34" s="216"/>
      <c r="AY34" s="462"/>
      <c r="AZ34" s="462">
        <f t="shared" si="57"/>
        <v>0</v>
      </c>
      <c r="BA34" s="451">
        <f t="shared" si="8"/>
        <v>0</v>
      </c>
      <c r="BB34" s="15">
        <f t="shared" si="47"/>
        <v>0</v>
      </c>
      <c r="BC34" s="452"/>
      <c r="BD34" s="452">
        <f t="shared" si="58"/>
        <v>0</v>
      </c>
      <c r="BE34" s="108"/>
      <c r="BF34" s="452"/>
      <c r="BG34" s="108"/>
      <c r="BH34" s="108">
        <f t="shared" si="59"/>
        <v>0</v>
      </c>
      <c r="BI34" s="108"/>
      <c r="BJ34" s="452"/>
      <c r="BK34" s="451"/>
      <c r="BL34" s="452">
        <f t="shared" si="60"/>
        <v>0</v>
      </c>
      <c r="BM34" s="108"/>
      <c r="BN34" s="452"/>
      <c r="BO34" s="108"/>
      <c r="BP34" s="108">
        <f t="shared" si="61"/>
        <v>0</v>
      </c>
      <c r="BQ34" s="108"/>
      <c r="BR34" s="452"/>
      <c r="BS34" s="106">
        <v>0</v>
      </c>
      <c r="BT34" s="106">
        <f t="shared" si="19"/>
        <v>0</v>
      </c>
      <c r="BU34" s="108"/>
      <c r="BV34" s="452"/>
      <c r="BW34" s="108"/>
      <c r="BX34" s="122">
        <f t="shared" si="62"/>
        <v>0</v>
      </c>
      <c r="BY34" s="108"/>
      <c r="BZ34" s="273">
        <v>40</v>
      </c>
      <c r="CA34" s="547"/>
      <c r="CB34" s="122">
        <f t="shared" si="27"/>
        <v>40</v>
      </c>
      <c r="CC34" s="122"/>
      <c r="CD34" s="222"/>
      <c r="CE34" s="122"/>
      <c r="CF34" s="122"/>
      <c r="CG34" s="122"/>
      <c r="CH34" s="461"/>
      <c r="CI34" s="122"/>
      <c r="CJ34" s="122"/>
      <c r="CK34" s="451">
        <f t="shared" si="51"/>
        <v>0</v>
      </c>
      <c r="CL34" s="614">
        <f t="shared" si="48"/>
        <v>40</v>
      </c>
      <c r="CM34" s="452">
        <v>0</v>
      </c>
      <c r="CN34" s="452">
        <f t="shared" si="14"/>
        <v>40</v>
      </c>
      <c r="CP34" s="142">
        <f t="shared" si="15"/>
        <v>40</v>
      </c>
      <c r="CQ34" s="137">
        <f t="shared" si="16"/>
        <v>0</v>
      </c>
      <c r="CS34" s="146">
        <f t="shared" si="17"/>
        <v>40</v>
      </c>
      <c r="CT34" s="137">
        <f t="shared" si="21"/>
        <v>40</v>
      </c>
      <c r="CU34" s="137">
        <f t="shared" si="22"/>
        <v>40</v>
      </c>
      <c r="CV34" s="137">
        <f t="shared" si="23"/>
        <v>0</v>
      </c>
      <c r="CW34" s="137">
        <f t="shared" si="24"/>
        <v>0</v>
      </c>
      <c r="CX34" s="458"/>
      <c r="CY34" s="458"/>
    </row>
    <row r="35" spans="1:103" ht="12.75" customHeight="1">
      <c r="A35" s="122"/>
      <c r="B35" s="896" t="s">
        <v>875</v>
      </c>
      <c r="C35" s="897"/>
      <c r="D35" s="898"/>
      <c r="E35" s="108">
        <f t="shared" si="49"/>
        <v>0</v>
      </c>
      <c r="F35" s="16"/>
      <c r="G35" s="108"/>
      <c r="H35" s="108">
        <f t="shared" si="0"/>
        <v>0</v>
      </c>
      <c r="I35" s="108"/>
      <c r="J35" s="16"/>
      <c r="K35" s="109"/>
      <c r="L35" s="108"/>
      <c r="M35" s="462">
        <f t="shared" si="50"/>
        <v>0</v>
      </c>
      <c r="N35" s="216"/>
      <c r="O35" s="462"/>
      <c r="P35" s="463">
        <f t="shared" si="29"/>
        <v>0</v>
      </c>
      <c r="Q35" s="462"/>
      <c r="R35" s="216"/>
      <c r="S35" s="462"/>
      <c r="T35" s="122">
        <f t="shared" si="63"/>
        <v>0</v>
      </c>
      <c r="U35" s="462"/>
      <c r="V35" s="216"/>
      <c r="W35" s="462"/>
      <c r="X35" s="463">
        <f t="shared" si="64"/>
        <v>0</v>
      </c>
      <c r="Y35" s="462"/>
      <c r="Z35" s="216"/>
      <c r="AA35" s="462"/>
      <c r="AB35" s="463"/>
      <c r="AC35" s="462"/>
      <c r="AD35" s="216"/>
      <c r="AE35" s="462"/>
      <c r="AF35" s="463">
        <f>AD35-AC35</f>
        <v>0</v>
      </c>
      <c r="AG35" s="468">
        <f t="shared" si="3"/>
        <v>0</v>
      </c>
      <c r="AH35" s="465">
        <f t="shared" si="41"/>
        <v>0</v>
      </c>
      <c r="AI35" s="465"/>
      <c r="AJ35" s="465">
        <f t="shared" si="32"/>
        <v>0</v>
      </c>
      <c r="AK35" s="462"/>
      <c r="AL35" s="216"/>
      <c r="AM35" s="462"/>
      <c r="AN35" s="108">
        <f t="shared" si="54"/>
        <v>0</v>
      </c>
      <c r="AO35" s="108"/>
      <c r="AP35" s="465"/>
      <c r="AQ35" s="462"/>
      <c r="AR35" s="462">
        <f t="shared" si="55"/>
        <v>0</v>
      </c>
      <c r="AS35" s="462"/>
      <c r="AT35" s="465"/>
      <c r="AU35" s="462"/>
      <c r="AV35" s="462">
        <f t="shared" si="56"/>
        <v>0</v>
      </c>
      <c r="AW35" s="462"/>
      <c r="AX35" s="216"/>
      <c r="AY35" s="462"/>
      <c r="AZ35" s="462">
        <f t="shared" si="57"/>
        <v>0</v>
      </c>
      <c r="BA35" s="451">
        <f t="shared" si="8"/>
        <v>0</v>
      </c>
      <c r="BB35" s="15">
        <f t="shared" si="47"/>
        <v>0</v>
      </c>
      <c r="BC35" s="452"/>
      <c r="BD35" s="452">
        <f t="shared" si="58"/>
        <v>0</v>
      </c>
      <c r="BE35" s="108"/>
      <c r="BF35" s="465"/>
      <c r="BG35" s="462"/>
      <c r="BH35" s="462">
        <f t="shared" si="59"/>
        <v>0</v>
      </c>
      <c r="BI35" s="462"/>
      <c r="BJ35" s="465"/>
      <c r="BK35" s="468"/>
      <c r="BL35" s="465">
        <f t="shared" si="60"/>
        <v>0</v>
      </c>
      <c r="BM35" s="462"/>
      <c r="BN35" s="465"/>
      <c r="BO35" s="462"/>
      <c r="BP35" s="462">
        <f t="shared" si="61"/>
        <v>0</v>
      </c>
      <c r="BQ35" s="462"/>
      <c r="BR35" s="465"/>
      <c r="BS35" s="469">
        <v>0</v>
      </c>
      <c r="BT35" s="106">
        <f t="shared" si="19"/>
        <v>0</v>
      </c>
      <c r="BU35" s="108"/>
      <c r="BV35" s="452"/>
      <c r="BW35" s="108"/>
      <c r="BX35" s="122">
        <f t="shared" si="62"/>
        <v>0</v>
      </c>
      <c r="BY35" s="217">
        <v>720</v>
      </c>
      <c r="BZ35" s="817">
        <v>174.251</v>
      </c>
      <c r="CA35" s="547">
        <f t="shared" si="65"/>
        <v>24.20152777777778</v>
      </c>
      <c r="CB35" s="463"/>
      <c r="CC35" s="463"/>
      <c r="CD35" s="220"/>
      <c r="CE35" s="463"/>
      <c r="CF35" s="463"/>
      <c r="CG35" s="463"/>
      <c r="CH35" s="475"/>
      <c r="CI35" s="463"/>
      <c r="CJ35" s="463"/>
      <c r="CK35" s="451">
        <f t="shared" si="51"/>
        <v>720</v>
      </c>
      <c r="CL35" s="668">
        <f t="shared" si="48"/>
        <v>174.251</v>
      </c>
      <c r="CM35" s="452">
        <f t="shared" si="13"/>
        <v>24.20152777777778</v>
      </c>
      <c r="CN35" s="452">
        <f t="shared" si="14"/>
        <v>-545.74900000000002</v>
      </c>
      <c r="CP35" s="142">
        <f t="shared" si="15"/>
        <v>174.251</v>
      </c>
      <c r="CQ35" s="137">
        <f t="shared" si="16"/>
        <v>720</v>
      </c>
      <c r="CS35" s="146">
        <f t="shared" si="17"/>
        <v>174.251</v>
      </c>
      <c r="CT35" s="137">
        <f t="shared" si="21"/>
        <v>174.251</v>
      </c>
      <c r="CU35" s="137">
        <f t="shared" si="22"/>
        <v>174.251</v>
      </c>
      <c r="CV35" s="137">
        <f t="shared" si="23"/>
        <v>0</v>
      </c>
      <c r="CW35" s="137">
        <f t="shared" si="24"/>
        <v>720</v>
      </c>
      <c r="CX35" s="458"/>
      <c r="CY35" s="458"/>
    </row>
    <row r="36" spans="1:103">
      <c r="A36" s="122"/>
      <c r="B36" s="896" t="s">
        <v>918</v>
      </c>
      <c r="C36" s="897"/>
      <c r="D36" s="898"/>
      <c r="E36" s="108">
        <f t="shared" si="49"/>
        <v>0</v>
      </c>
      <c r="F36" s="16"/>
      <c r="G36" s="108"/>
      <c r="H36" s="108">
        <f t="shared" si="0"/>
        <v>0</v>
      </c>
      <c r="I36" s="108"/>
      <c r="J36" s="16"/>
      <c r="K36" s="109"/>
      <c r="L36" s="108"/>
      <c r="M36" s="108">
        <f t="shared" si="50"/>
        <v>0</v>
      </c>
      <c r="N36" s="216"/>
      <c r="O36" s="462"/>
      <c r="P36" s="463">
        <f>N36-M36</f>
        <v>0</v>
      </c>
      <c r="Q36" s="462"/>
      <c r="R36" s="216"/>
      <c r="S36" s="462"/>
      <c r="T36" s="122">
        <f t="shared" si="63"/>
        <v>0</v>
      </c>
      <c r="U36" s="462"/>
      <c r="V36" s="216"/>
      <c r="W36" s="462"/>
      <c r="X36" s="463">
        <f t="shared" si="64"/>
        <v>0</v>
      </c>
      <c r="Y36" s="462"/>
      <c r="Z36" s="216"/>
      <c r="AA36" s="462"/>
      <c r="AB36" s="463">
        <f t="shared" ref="AB36:AB50" si="66">Z36-Y36</f>
        <v>0</v>
      </c>
      <c r="AC36" s="462"/>
      <c r="AD36" s="216"/>
      <c r="AE36" s="462"/>
      <c r="AF36" s="463"/>
      <c r="AG36" s="468">
        <f t="shared" si="3"/>
        <v>0</v>
      </c>
      <c r="AH36" s="465">
        <f t="shared" si="41"/>
        <v>0</v>
      </c>
      <c r="AI36" s="465"/>
      <c r="AJ36" s="465">
        <f t="shared" si="32"/>
        <v>0</v>
      </c>
      <c r="AK36" s="462"/>
      <c r="AL36" s="216"/>
      <c r="AM36" s="462"/>
      <c r="AN36" s="108">
        <f t="shared" si="54"/>
        <v>0</v>
      </c>
      <c r="AO36" s="108"/>
      <c r="AP36" s="465"/>
      <c r="AQ36" s="462"/>
      <c r="AR36" s="462">
        <f t="shared" si="55"/>
        <v>0</v>
      </c>
      <c r="AS36" s="462"/>
      <c r="AT36" s="465"/>
      <c r="AU36" s="462"/>
      <c r="AV36" s="462">
        <f t="shared" si="56"/>
        <v>0</v>
      </c>
      <c r="AW36" s="462"/>
      <c r="AX36" s="216"/>
      <c r="AY36" s="462"/>
      <c r="AZ36" s="462">
        <f t="shared" si="57"/>
        <v>0</v>
      </c>
      <c r="BA36" s="451">
        <f t="shared" si="8"/>
        <v>0</v>
      </c>
      <c r="BB36" s="15">
        <f t="shared" si="47"/>
        <v>0</v>
      </c>
      <c r="BC36" s="452"/>
      <c r="BD36" s="452">
        <f t="shared" si="58"/>
        <v>0</v>
      </c>
      <c r="BE36" s="108"/>
      <c r="BF36" s="465"/>
      <c r="BG36" s="462"/>
      <c r="BH36" s="462">
        <f t="shared" si="59"/>
        <v>0</v>
      </c>
      <c r="BI36" s="462"/>
      <c r="BJ36" s="465"/>
      <c r="BK36" s="468"/>
      <c r="BL36" s="465">
        <f t="shared" si="60"/>
        <v>0</v>
      </c>
      <c r="BM36" s="462"/>
      <c r="BN36" s="465"/>
      <c r="BO36" s="462"/>
      <c r="BP36" s="462">
        <f t="shared" si="61"/>
        <v>0</v>
      </c>
      <c r="BQ36" s="462"/>
      <c r="BR36" s="465"/>
      <c r="BS36" s="469"/>
      <c r="BT36" s="106">
        <f t="shared" si="19"/>
        <v>0</v>
      </c>
      <c r="BU36" s="108"/>
      <c r="BV36" s="452">
        <v>2</v>
      </c>
      <c r="BW36" s="108"/>
      <c r="BX36" s="122">
        <f t="shared" si="62"/>
        <v>2</v>
      </c>
      <c r="BY36" s="462"/>
      <c r="BZ36" s="216"/>
      <c r="CA36" s="547"/>
      <c r="CB36" s="463"/>
      <c r="CC36" s="463"/>
      <c r="CD36" s="220"/>
      <c r="CE36" s="463"/>
      <c r="CF36" s="463"/>
      <c r="CG36" s="463"/>
      <c r="CH36" s="475"/>
      <c r="CI36" s="463"/>
      <c r="CJ36" s="463"/>
      <c r="CK36" s="451">
        <f t="shared" si="51"/>
        <v>0</v>
      </c>
      <c r="CL36" s="668">
        <f t="shared" si="48"/>
        <v>2</v>
      </c>
      <c r="CM36" s="452">
        <v>0</v>
      </c>
      <c r="CN36" s="452">
        <f t="shared" si="14"/>
        <v>2</v>
      </c>
      <c r="CP36" s="142">
        <f t="shared" si="15"/>
        <v>2</v>
      </c>
      <c r="CQ36" s="137">
        <f t="shared" si="16"/>
        <v>0</v>
      </c>
      <c r="CS36" s="146">
        <f t="shared" si="17"/>
        <v>2</v>
      </c>
      <c r="CT36" s="137">
        <f t="shared" si="21"/>
        <v>2</v>
      </c>
      <c r="CU36" s="137">
        <f t="shared" si="22"/>
        <v>2</v>
      </c>
      <c r="CV36" s="137">
        <f t="shared" si="23"/>
        <v>0</v>
      </c>
      <c r="CW36" s="137">
        <f t="shared" si="24"/>
        <v>0</v>
      </c>
      <c r="CX36" s="458"/>
      <c r="CY36" s="458"/>
    </row>
    <row r="37" spans="1:103" ht="13.5" customHeight="1">
      <c r="A37" s="122"/>
      <c r="B37" s="896" t="s">
        <v>452</v>
      </c>
      <c r="C37" s="897"/>
      <c r="D37" s="898"/>
      <c r="E37" s="452">
        <v>5</v>
      </c>
      <c r="F37" s="16"/>
      <c r="G37" s="108"/>
      <c r="H37" s="108">
        <f t="shared" si="0"/>
        <v>-5</v>
      </c>
      <c r="I37" s="108">
        <v>28</v>
      </c>
      <c r="J37" s="16"/>
      <c r="K37" s="109"/>
      <c r="L37" s="108">
        <f>J37-I37</f>
        <v>-28</v>
      </c>
      <c r="M37" s="108">
        <v>23</v>
      </c>
      <c r="N37" s="216">
        <v>16.829999999999998</v>
      </c>
      <c r="O37" s="462"/>
      <c r="P37" s="463">
        <f>N37-M37</f>
        <v>-6.1700000000000017</v>
      </c>
      <c r="Q37" s="462">
        <v>36</v>
      </c>
      <c r="R37" s="216"/>
      <c r="S37" s="462"/>
      <c r="T37" s="122">
        <f t="shared" si="63"/>
        <v>-36</v>
      </c>
      <c r="U37" s="462">
        <v>10</v>
      </c>
      <c r="V37" s="216"/>
      <c r="W37" s="462"/>
      <c r="X37" s="463">
        <f t="shared" si="64"/>
        <v>-10</v>
      </c>
      <c r="Y37" s="462">
        <v>15</v>
      </c>
      <c r="Z37" s="216">
        <v>34.292000000000002</v>
      </c>
      <c r="AA37" s="462"/>
      <c r="AB37" s="463">
        <f t="shared" si="66"/>
        <v>19.292000000000002</v>
      </c>
      <c r="AC37" s="462">
        <v>15</v>
      </c>
      <c r="AD37" s="216"/>
      <c r="AE37" s="462"/>
      <c r="AF37" s="463">
        <f>AD37-AC37</f>
        <v>-15</v>
      </c>
      <c r="AG37" s="468">
        <f t="shared" si="3"/>
        <v>132</v>
      </c>
      <c r="AH37" s="465">
        <f t="shared" si="41"/>
        <v>51.122</v>
      </c>
      <c r="AI37" s="465">
        <f t="shared" si="35"/>
        <v>38.728787878787877</v>
      </c>
      <c r="AJ37" s="465">
        <f t="shared" si="32"/>
        <v>-80.878</v>
      </c>
      <c r="AK37" s="462"/>
      <c r="AL37" s="216"/>
      <c r="AM37" s="462"/>
      <c r="AN37" s="108">
        <f t="shared" si="54"/>
        <v>0</v>
      </c>
      <c r="AO37" s="108"/>
      <c r="AP37" s="465"/>
      <c r="AQ37" s="462"/>
      <c r="AR37" s="462">
        <f t="shared" si="55"/>
        <v>0</v>
      </c>
      <c r="AS37" s="462"/>
      <c r="AT37" s="465"/>
      <c r="AU37" s="462"/>
      <c r="AV37" s="462">
        <f t="shared" si="56"/>
        <v>0</v>
      </c>
      <c r="AW37" s="462"/>
      <c r="AX37" s="216"/>
      <c r="AY37" s="462"/>
      <c r="AZ37" s="462">
        <f t="shared" si="57"/>
        <v>0</v>
      </c>
      <c r="BA37" s="451">
        <f t="shared" si="8"/>
        <v>0</v>
      </c>
      <c r="BB37" s="15">
        <f t="shared" si="47"/>
        <v>0</v>
      </c>
      <c r="BC37" s="452"/>
      <c r="BD37" s="452">
        <f t="shared" si="58"/>
        <v>0</v>
      </c>
      <c r="BE37" s="108"/>
      <c r="BF37" s="465"/>
      <c r="BG37" s="462"/>
      <c r="BH37" s="462">
        <f t="shared" si="59"/>
        <v>0</v>
      </c>
      <c r="BI37" s="462"/>
      <c r="BJ37" s="465"/>
      <c r="BK37" s="468"/>
      <c r="BL37" s="465">
        <f t="shared" si="60"/>
        <v>0</v>
      </c>
      <c r="BM37" s="462"/>
      <c r="BN37" s="465"/>
      <c r="BO37" s="462"/>
      <c r="BP37" s="462">
        <f t="shared" si="61"/>
        <v>0</v>
      </c>
      <c r="BQ37" s="462"/>
      <c r="BR37" s="465"/>
      <c r="BS37" s="469">
        <v>0</v>
      </c>
      <c r="BT37" s="106">
        <f t="shared" si="19"/>
        <v>0</v>
      </c>
      <c r="BU37" s="108"/>
      <c r="BV37" s="452"/>
      <c r="BW37" s="108"/>
      <c r="BX37" s="122">
        <f t="shared" si="62"/>
        <v>0</v>
      </c>
      <c r="BY37" s="462"/>
      <c r="BZ37" s="216"/>
      <c r="CA37" s="547"/>
      <c r="CB37" s="463">
        <f t="shared" si="27"/>
        <v>0</v>
      </c>
      <c r="CC37" s="463"/>
      <c r="CD37" s="220"/>
      <c r="CE37" s="463"/>
      <c r="CF37" s="463"/>
      <c r="CG37" s="463"/>
      <c r="CH37" s="475"/>
      <c r="CI37" s="463"/>
      <c r="CJ37" s="463"/>
      <c r="CK37" s="451">
        <f t="shared" si="51"/>
        <v>132</v>
      </c>
      <c r="CL37" s="668">
        <f t="shared" si="48"/>
        <v>51.122</v>
      </c>
      <c r="CM37" s="452">
        <f t="shared" si="13"/>
        <v>38.728787878787877</v>
      </c>
      <c r="CN37" s="452">
        <f t="shared" si="14"/>
        <v>-80.878</v>
      </c>
      <c r="CP37" s="142">
        <f t="shared" si="15"/>
        <v>51.122</v>
      </c>
      <c r="CQ37" s="137">
        <f t="shared" si="16"/>
        <v>132</v>
      </c>
      <c r="CS37" s="146">
        <f t="shared" si="17"/>
        <v>51.122</v>
      </c>
      <c r="CT37" s="137">
        <f t="shared" si="21"/>
        <v>51.122</v>
      </c>
      <c r="CU37" s="137">
        <f t="shared" si="22"/>
        <v>51.122</v>
      </c>
      <c r="CV37" s="137">
        <f t="shared" si="23"/>
        <v>51.122</v>
      </c>
      <c r="CW37" s="137">
        <f t="shared" si="24"/>
        <v>132</v>
      </c>
      <c r="CX37" s="458"/>
      <c r="CY37" s="458"/>
    </row>
    <row r="38" spans="1:103">
      <c r="A38" s="122"/>
      <c r="B38" s="896" t="s">
        <v>212</v>
      </c>
      <c r="C38" s="897"/>
      <c r="D38" s="898"/>
      <c r="E38" s="452">
        <f t="shared" si="49"/>
        <v>0</v>
      </c>
      <c r="F38" s="16"/>
      <c r="G38" s="108"/>
      <c r="H38" s="108">
        <f t="shared" si="0"/>
        <v>0</v>
      </c>
      <c r="I38" s="108"/>
      <c r="J38" s="16"/>
      <c r="K38" s="109"/>
      <c r="L38" s="108">
        <f>J38-I38</f>
        <v>0</v>
      </c>
      <c r="M38" s="108">
        <f t="shared" si="50"/>
        <v>0</v>
      </c>
      <c r="N38" s="216"/>
      <c r="O38" s="462"/>
      <c r="P38" s="463">
        <f t="shared" si="29"/>
        <v>0</v>
      </c>
      <c r="Q38" s="462"/>
      <c r="R38" s="216"/>
      <c r="S38" s="462"/>
      <c r="T38" s="122">
        <f t="shared" si="63"/>
        <v>0</v>
      </c>
      <c r="U38" s="462"/>
      <c r="V38" s="216"/>
      <c r="W38" s="462"/>
      <c r="X38" s="463">
        <f t="shared" si="64"/>
        <v>0</v>
      </c>
      <c r="Y38" s="462"/>
      <c r="Z38" s="216"/>
      <c r="AA38" s="462"/>
      <c r="AB38" s="463">
        <f t="shared" si="66"/>
        <v>0</v>
      </c>
      <c r="AC38" s="462"/>
      <c r="AD38" s="216"/>
      <c r="AE38" s="462"/>
      <c r="AF38" s="463">
        <f>AD38-AC38</f>
        <v>0</v>
      </c>
      <c r="AG38" s="468">
        <f t="shared" si="3"/>
        <v>0</v>
      </c>
      <c r="AH38" s="465">
        <f t="shared" si="41"/>
        <v>0</v>
      </c>
      <c r="AI38" s="465"/>
      <c r="AJ38" s="465">
        <f t="shared" si="32"/>
        <v>0</v>
      </c>
      <c r="AK38" s="462"/>
      <c r="AL38" s="216"/>
      <c r="AM38" s="462"/>
      <c r="AN38" s="108">
        <f t="shared" si="54"/>
        <v>0</v>
      </c>
      <c r="AO38" s="108"/>
      <c r="AP38" s="465"/>
      <c r="AQ38" s="462"/>
      <c r="AR38" s="462">
        <f t="shared" si="55"/>
        <v>0</v>
      </c>
      <c r="AS38" s="462"/>
      <c r="AT38" s="465"/>
      <c r="AU38" s="462"/>
      <c r="AV38" s="462">
        <f t="shared" si="56"/>
        <v>0</v>
      </c>
      <c r="AW38" s="462"/>
      <c r="AX38" s="216"/>
      <c r="AY38" s="462"/>
      <c r="AZ38" s="462">
        <f t="shared" si="57"/>
        <v>0</v>
      </c>
      <c r="BA38" s="451">
        <f t="shared" si="8"/>
        <v>0</v>
      </c>
      <c r="BB38" s="15">
        <f t="shared" si="47"/>
        <v>0</v>
      </c>
      <c r="BC38" s="452"/>
      <c r="BD38" s="452">
        <f t="shared" si="58"/>
        <v>0</v>
      </c>
      <c r="BE38" s="108"/>
      <c r="BF38" s="465"/>
      <c r="BG38" s="462"/>
      <c r="BH38" s="462">
        <f t="shared" si="59"/>
        <v>0</v>
      </c>
      <c r="BI38" s="462"/>
      <c r="BJ38" s="465"/>
      <c r="BK38" s="468"/>
      <c r="BL38" s="465">
        <f t="shared" si="60"/>
        <v>0</v>
      </c>
      <c r="BM38" s="462"/>
      <c r="BN38" s="465"/>
      <c r="BO38" s="462"/>
      <c r="BP38" s="462">
        <f t="shared" si="61"/>
        <v>0</v>
      </c>
      <c r="BQ38" s="462"/>
      <c r="BR38" s="465"/>
      <c r="BS38" s="469">
        <v>0</v>
      </c>
      <c r="BT38" s="106">
        <f t="shared" si="19"/>
        <v>0</v>
      </c>
      <c r="BU38" s="108">
        <v>6</v>
      </c>
      <c r="BV38" s="452"/>
      <c r="BW38" s="109"/>
      <c r="BX38" s="122">
        <f t="shared" si="62"/>
        <v>-6</v>
      </c>
      <c r="BY38" s="217">
        <v>20</v>
      </c>
      <c r="BZ38" s="817">
        <v>11.6</v>
      </c>
      <c r="CA38" s="547">
        <f t="shared" si="65"/>
        <v>57.999999999999993</v>
      </c>
      <c r="CB38" s="463">
        <f t="shared" si="27"/>
        <v>-8.4</v>
      </c>
      <c r="CC38" s="219">
        <v>9.5</v>
      </c>
      <c r="CD38" s="220"/>
      <c r="CE38" s="463"/>
      <c r="CF38" s="463"/>
      <c r="CG38" s="219">
        <v>13</v>
      </c>
      <c r="CH38" s="475"/>
      <c r="CI38" s="463"/>
      <c r="CJ38" s="463"/>
      <c r="CK38" s="451">
        <f t="shared" si="51"/>
        <v>48.5</v>
      </c>
      <c r="CL38" s="668">
        <f t="shared" si="48"/>
        <v>11.6</v>
      </c>
      <c r="CM38" s="452">
        <f t="shared" si="13"/>
        <v>23.917525773195873</v>
      </c>
      <c r="CN38" s="452">
        <f t="shared" si="14"/>
        <v>-36.9</v>
      </c>
      <c r="CP38" s="142">
        <f t="shared" si="15"/>
        <v>11.6</v>
      </c>
      <c r="CQ38" s="137">
        <f t="shared" si="16"/>
        <v>35.5</v>
      </c>
      <c r="CS38" s="146">
        <f t="shared" si="17"/>
        <v>11.6</v>
      </c>
      <c r="CT38" s="137">
        <f t="shared" si="21"/>
        <v>11.6</v>
      </c>
      <c r="CU38" s="137">
        <f t="shared" si="22"/>
        <v>11.6</v>
      </c>
      <c r="CV38" s="137">
        <f t="shared" si="23"/>
        <v>0</v>
      </c>
      <c r="CW38" s="137">
        <f t="shared" si="24"/>
        <v>48.5</v>
      </c>
      <c r="CX38" s="458"/>
      <c r="CY38" s="458"/>
    </row>
    <row r="39" spans="1:103">
      <c r="A39" s="122"/>
      <c r="B39" s="896" t="s">
        <v>873</v>
      </c>
      <c r="C39" s="897"/>
      <c r="D39" s="898"/>
      <c r="E39" s="452"/>
      <c r="F39" s="16">
        <v>4</v>
      </c>
      <c r="G39" s="108"/>
      <c r="H39" s="108">
        <f t="shared" si="0"/>
        <v>4</v>
      </c>
      <c r="I39" s="108"/>
      <c r="J39" s="16"/>
      <c r="K39" s="109"/>
      <c r="L39" s="108"/>
      <c r="M39" s="108">
        <f t="shared" si="50"/>
        <v>0</v>
      </c>
      <c r="N39" s="216"/>
      <c r="O39" s="462"/>
      <c r="P39" s="463"/>
      <c r="Q39" s="462"/>
      <c r="R39" s="216"/>
      <c r="S39" s="462"/>
      <c r="T39" s="122"/>
      <c r="U39" s="462"/>
      <c r="V39" s="216"/>
      <c r="W39" s="462"/>
      <c r="X39" s="463">
        <f t="shared" si="64"/>
        <v>0</v>
      </c>
      <c r="Y39" s="462"/>
      <c r="Z39" s="216">
        <v>70</v>
      </c>
      <c r="AA39" s="462"/>
      <c r="AB39" s="463">
        <f t="shared" si="66"/>
        <v>70</v>
      </c>
      <c r="AC39" s="462"/>
      <c r="AD39" s="216"/>
      <c r="AE39" s="462"/>
      <c r="AF39" s="463"/>
      <c r="AG39" s="468">
        <f t="shared" si="3"/>
        <v>0</v>
      </c>
      <c r="AH39" s="465">
        <f t="shared" si="41"/>
        <v>74</v>
      </c>
      <c r="AI39" s="465"/>
      <c r="AJ39" s="465">
        <f t="shared" si="32"/>
        <v>74</v>
      </c>
      <c r="AK39" s="462"/>
      <c r="AL39" s="216"/>
      <c r="AM39" s="462"/>
      <c r="AN39" s="108">
        <f t="shared" si="54"/>
        <v>0</v>
      </c>
      <c r="AO39" s="108"/>
      <c r="AP39" s="465"/>
      <c r="AQ39" s="462"/>
      <c r="AR39" s="462">
        <f t="shared" si="55"/>
        <v>0</v>
      </c>
      <c r="AS39" s="462"/>
      <c r="AT39" s="465"/>
      <c r="AU39" s="462"/>
      <c r="AV39" s="462">
        <f t="shared" si="56"/>
        <v>0</v>
      </c>
      <c r="AW39" s="462"/>
      <c r="AX39" s="216"/>
      <c r="AY39" s="462"/>
      <c r="AZ39" s="462">
        <f t="shared" si="57"/>
        <v>0</v>
      </c>
      <c r="BA39" s="451">
        <f t="shared" si="8"/>
        <v>0</v>
      </c>
      <c r="BB39" s="15">
        <f t="shared" si="47"/>
        <v>0</v>
      </c>
      <c r="BC39" s="452"/>
      <c r="BD39" s="452">
        <f t="shared" si="58"/>
        <v>0</v>
      </c>
      <c r="BE39" s="108"/>
      <c r="BF39" s="465"/>
      <c r="BG39" s="462"/>
      <c r="BH39" s="462">
        <f t="shared" si="59"/>
        <v>0</v>
      </c>
      <c r="BI39" s="462"/>
      <c r="BJ39" s="465"/>
      <c r="BK39" s="468"/>
      <c r="BL39" s="465">
        <f t="shared" si="60"/>
        <v>0</v>
      </c>
      <c r="BM39" s="462"/>
      <c r="BN39" s="465"/>
      <c r="BO39" s="462"/>
      <c r="BP39" s="462">
        <f t="shared" si="61"/>
        <v>0</v>
      </c>
      <c r="BQ39" s="462"/>
      <c r="BR39" s="465"/>
      <c r="BS39" s="469"/>
      <c r="BT39" s="106">
        <f t="shared" si="19"/>
        <v>0</v>
      </c>
      <c r="BU39" s="108"/>
      <c r="BV39" s="452"/>
      <c r="BW39" s="108"/>
      <c r="BX39" s="122">
        <f t="shared" si="62"/>
        <v>0</v>
      </c>
      <c r="BY39" s="462"/>
      <c r="BZ39" s="216"/>
      <c r="CA39" s="547"/>
      <c r="CB39" s="463"/>
      <c r="CC39" s="463"/>
      <c r="CD39" s="220"/>
      <c r="CE39" s="463"/>
      <c r="CF39" s="463"/>
      <c r="CG39" s="463"/>
      <c r="CH39" s="475"/>
      <c r="CI39" s="463"/>
      <c r="CJ39" s="463"/>
      <c r="CK39" s="451">
        <f t="shared" si="51"/>
        <v>0</v>
      </c>
      <c r="CL39" s="668">
        <f t="shared" si="48"/>
        <v>74</v>
      </c>
      <c r="CM39" s="452">
        <v>0</v>
      </c>
      <c r="CN39" s="452">
        <f t="shared" si="14"/>
        <v>74</v>
      </c>
      <c r="CP39" s="142">
        <f t="shared" si="15"/>
        <v>74</v>
      </c>
      <c r="CQ39" s="137">
        <f t="shared" si="16"/>
        <v>0</v>
      </c>
      <c r="CS39" s="146">
        <f t="shared" si="17"/>
        <v>74</v>
      </c>
      <c r="CT39" s="137">
        <f t="shared" si="21"/>
        <v>74</v>
      </c>
      <c r="CU39" s="137">
        <f t="shared" si="22"/>
        <v>74</v>
      </c>
      <c r="CV39" s="137">
        <f t="shared" si="23"/>
        <v>74</v>
      </c>
      <c r="CW39" s="137">
        <f t="shared" si="24"/>
        <v>0</v>
      </c>
      <c r="CX39" s="458"/>
      <c r="CY39" s="458"/>
    </row>
    <row r="40" spans="1:103">
      <c r="A40" s="122"/>
      <c r="B40" s="896" t="s">
        <v>876</v>
      </c>
      <c r="C40" s="897"/>
      <c r="D40" s="898"/>
      <c r="E40" s="452">
        <f t="shared" si="49"/>
        <v>0</v>
      </c>
      <c r="F40" s="16"/>
      <c r="G40" s="108"/>
      <c r="H40" s="108">
        <f t="shared" si="0"/>
        <v>0</v>
      </c>
      <c r="I40" s="108"/>
      <c r="J40" s="16"/>
      <c r="K40" s="109"/>
      <c r="L40" s="108">
        <f>J40-I40</f>
        <v>0</v>
      </c>
      <c r="M40" s="108">
        <f t="shared" si="50"/>
        <v>0</v>
      </c>
      <c r="N40" s="216"/>
      <c r="O40" s="462"/>
      <c r="P40" s="463">
        <f t="shared" si="29"/>
        <v>0</v>
      </c>
      <c r="Q40" s="462"/>
      <c r="R40" s="216"/>
      <c r="S40" s="462"/>
      <c r="T40" s="122">
        <f t="shared" si="63"/>
        <v>0</v>
      </c>
      <c r="U40" s="462"/>
      <c r="V40" s="216"/>
      <c r="W40" s="462"/>
      <c r="X40" s="463">
        <f t="shared" si="64"/>
        <v>0</v>
      </c>
      <c r="Y40" s="462"/>
      <c r="Z40" s="216"/>
      <c r="AA40" s="462"/>
      <c r="AB40" s="463">
        <f t="shared" si="66"/>
        <v>0</v>
      </c>
      <c r="AC40" s="462"/>
      <c r="AD40" s="216"/>
      <c r="AE40" s="462"/>
      <c r="AF40" s="463"/>
      <c r="AG40" s="468">
        <f t="shared" si="3"/>
        <v>0</v>
      </c>
      <c r="AH40" s="465">
        <f t="shared" si="41"/>
        <v>0</v>
      </c>
      <c r="AI40" s="465"/>
      <c r="AJ40" s="465">
        <f t="shared" si="32"/>
        <v>0</v>
      </c>
      <c r="AK40" s="462"/>
      <c r="AL40" s="216"/>
      <c r="AM40" s="462"/>
      <c r="AN40" s="108">
        <f t="shared" si="54"/>
        <v>0</v>
      </c>
      <c r="AO40" s="108"/>
      <c r="AP40" s="465"/>
      <c r="AQ40" s="462"/>
      <c r="AR40" s="462">
        <f t="shared" si="55"/>
        <v>0</v>
      </c>
      <c r="AS40" s="462"/>
      <c r="AT40" s="465"/>
      <c r="AU40" s="462"/>
      <c r="AV40" s="462">
        <f t="shared" si="56"/>
        <v>0</v>
      </c>
      <c r="AW40" s="462"/>
      <c r="AX40" s="216"/>
      <c r="AY40" s="462"/>
      <c r="AZ40" s="462">
        <f t="shared" si="57"/>
        <v>0</v>
      </c>
      <c r="BA40" s="451">
        <f t="shared" si="8"/>
        <v>0</v>
      </c>
      <c r="BB40" s="15">
        <f t="shared" si="47"/>
        <v>0</v>
      </c>
      <c r="BC40" s="452"/>
      <c r="BD40" s="452">
        <f t="shared" si="58"/>
        <v>0</v>
      </c>
      <c r="BE40" s="108"/>
      <c r="BF40" s="465"/>
      <c r="BG40" s="462"/>
      <c r="BH40" s="462">
        <f t="shared" si="59"/>
        <v>0</v>
      </c>
      <c r="BI40" s="462"/>
      <c r="BJ40" s="465"/>
      <c r="BK40" s="468"/>
      <c r="BL40" s="465">
        <f t="shared" si="60"/>
        <v>0</v>
      </c>
      <c r="BM40" s="462"/>
      <c r="BN40" s="465"/>
      <c r="BO40" s="462"/>
      <c r="BP40" s="462">
        <f t="shared" si="61"/>
        <v>0</v>
      </c>
      <c r="BQ40" s="462"/>
      <c r="BR40" s="465"/>
      <c r="BS40" s="469"/>
      <c r="BT40" s="106">
        <f t="shared" si="19"/>
        <v>0</v>
      </c>
      <c r="BU40" s="108"/>
      <c r="BV40" s="452"/>
      <c r="BW40" s="108"/>
      <c r="BX40" s="122">
        <f t="shared" si="62"/>
        <v>0</v>
      </c>
      <c r="BY40" s="462"/>
      <c r="BZ40" s="817">
        <v>15.798</v>
      </c>
      <c r="CA40" s="547"/>
      <c r="CB40" s="463">
        <f t="shared" si="27"/>
        <v>15.798</v>
      </c>
      <c r="CC40" s="463"/>
      <c r="CD40" s="220"/>
      <c r="CE40" s="463"/>
      <c r="CF40" s="463"/>
      <c r="CG40" s="463"/>
      <c r="CH40" s="475"/>
      <c r="CI40" s="463"/>
      <c r="CJ40" s="463"/>
      <c r="CK40" s="451">
        <f t="shared" si="51"/>
        <v>0</v>
      </c>
      <c r="CL40" s="668">
        <f t="shared" si="48"/>
        <v>15.798</v>
      </c>
      <c r="CM40" s="452">
        <v>0</v>
      </c>
      <c r="CN40" s="452">
        <f t="shared" si="14"/>
        <v>15.798</v>
      </c>
      <c r="CP40" s="142">
        <f t="shared" ref="CP40:CP75" si="67">F40+J40+N40+R40+V40+Z40+AD40+AL40+AP40+AT40+AX40+BF40+BJ40+BN40+BV40+BZ40+CD40</f>
        <v>15.798</v>
      </c>
      <c r="CQ40" s="137">
        <f t="shared" ref="CQ40:CQ76" si="68">E40+I40+M40+Q40+U40+Y40+AC40+AG40+AK40+AO40+AS40+AW40+BE40+BI40+BM40+BU40+BY40+CC40-AG40</f>
        <v>0</v>
      </c>
      <c r="CS40" s="146">
        <f t="shared" ref="CS40:CS76" si="69">F40+J40+N40+R40+V40+Z40+AD40+AL40+AP40+AT40+AX40+BF40+BJ40+BN40+BV40+BZ40+CD40</f>
        <v>15.798</v>
      </c>
      <c r="CT40" s="137">
        <f t="shared" si="21"/>
        <v>15.798</v>
      </c>
      <c r="CU40" s="137">
        <f t="shared" si="22"/>
        <v>15.798</v>
      </c>
      <c r="CV40" s="137">
        <f t="shared" si="23"/>
        <v>0</v>
      </c>
      <c r="CW40" s="137">
        <f t="shared" si="24"/>
        <v>0</v>
      </c>
      <c r="CX40" s="458"/>
      <c r="CY40" s="458"/>
    </row>
    <row r="41" spans="1:103" ht="12.75" customHeight="1">
      <c r="A41" s="122"/>
      <c r="B41" s="875" t="s">
        <v>880</v>
      </c>
      <c r="C41" s="876"/>
      <c r="D41" s="877"/>
      <c r="E41" s="452">
        <f t="shared" si="49"/>
        <v>0</v>
      </c>
      <c r="F41" s="16"/>
      <c r="G41" s="108"/>
      <c r="H41" s="108">
        <f t="shared" si="0"/>
        <v>0</v>
      </c>
      <c r="I41" s="108"/>
      <c r="J41" s="16"/>
      <c r="K41" s="109"/>
      <c r="L41" s="108">
        <f>J41-I41</f>
        <v>0</v>
      </c>
      <c r="M41" s="108">
        <f t="shared" si="50"/>
        <v>0</v>
      </c>
      <c r="N41" s="216"/>
      <c r="O41" s="462"/>
      <c r="P41" s="463">
        <f t="shared" si="29"/>
        <v>0</v>
      </c>
      <c r="Q41" s="462"/>
      <c r="R41" s="216"/>
      <c r="S41" s="462"/>
      <c r="T41" s="122">
        <f t="shared" si="63"/>
        <v>0</v>
      </c>
      <c r="U41" s="108"/>
      <c r="V41" s="216"/>
      <c r="W41" s="462"/>
      <c r="X41" s="463">
        <f t="shared" si="64"/>
        <v>0</v>
      </c>
      <c r="Y41" s="462"/>
      <c r="Z41" s="216"/>
      <c r="AA41" s="462"/>
      <c r="AB41" s="463">
        <f t="shared" si="66"/>
        <v>0</v>
      </c>
      <c r="AC41" s="462"/>
      <c r="AD41" s="216"/>
      <c r="AE41" s="462"/>
      <c r="AF41" s="463"/>
      <c r="AG41" s="451">
        <f t="shared" si="3"/>
        <v>0</v>
      </c>
      <c r="AH41" s="465">
        <f t="shared" si="41"/>
        <v>0</v>
      </c>
      <c r="AI41" s="465"/>
      <c r="AJ41" s="452">
        <f t="shared" si="32"/>
        <v>0</v>
      </c>
      <c r="AK41" s="108"/>
      <c r="AL41" s="216"/>
      <c r="AM41" s="108"/>
      <c r="AN41" s="108">
        <f t="shared" si="54"/>
        <v>0</v>
      </c>
      <c r="AO41" s="108"/>
      <c r="AP41" s="465"/>
      <c r="AQ41" s="462"/>
      <c r="AR41" s="462">
        <f t="shared" si="55"/>
        <v>0</v>
      </c>
      <c r="AS41" s="462"/>
      <c r="AT41" s="465"/>
      <c r="AU41" s="462"/>
      <c r="AV41" s="462">
        <f t="shared" si="56"/>
        <v>0</v>
      </c>
      <c r="AW41" s="462"/>
      <c r="AX41" s="216"/>
      <c r="AY41" s="462"/>
      <c r="AZ41" s="462">
        <f t="shared" si="57"/>
        <v>0</v>
      </c>
      <c r="BA41" s="451">
        <f t="shared" si="8"/>
        <v>0</v>
      </c>
      <c r="BB41" s="15">
        <f t="shared" si="47"/>
        <v>0</v>
      </c>
      <c r="BC41" s="452"/>
      <c r="BD41" s="452">
        <f t="shared" si="58"/>
        <v>0</v>
      </c>
      <c r="BE41" s="108"/>
      <c r="BF41" s="465"/>
      <c r="BG41" s="462"/>
      <c r="BH41" s="462">
        <f t="shared" si="59"/>
        <v>0</v>
      </c>
      <c r="BI41" s="462"/>
      <c r="BJ41" s="465"/>
      <c r="BK41" s="468"/>
      <c r="BL41" s="465">
        <f t="shared" si="60"/>
        <v>0</v>
      </c>
      <c r="BM41" s="462"/>
      <c r="BN41" s="465"/>
      <c r="BO41" s="462"/>
      <c r="BP41" s="462">
        <f t="shared" si="61"/>
        <v>0</v>
      </c>
      <c r="BQ41" s="462"/>
      <c r="BR41" s="465"/>
      <c r="BS41" s="469"/>
      <c r="BT41" s="106">
        <f t="shared" si="19"/>
        <v>0</v>
      </c>
      <c r="BU41" s="108"/>
      <c r="BV41" s="452"/>
      <c r="BW41" s="108"/>
      <c r="BX41" s="122">
        <f t="shared" si="62"/>
        <v>0</v>
      </c>
      <c r="BY41" s="462"/>
      <c r="BZ41" s="216"/>
      <c r="CA41" s="547"/>
      <c r="CB41" s="463">
        <f t="shared" si="27"/>
        <v>0</v>
      </c>
      <c r="CC41" s="463"/>
      <c r="CD41" s="220"/>
      <c r="CE41" s="463"/>
      <c r="CF41" s="463"/>
      <c r="CG41" s="463"/>
      <c r="CH41" s="465">
        <v>42.895560000000003</v>
      </c>
      <c r="CI41" s="463"/>
      <c r="CJ41" s="463"/>
      <c r="CK41" s="451">
        <f t="shared" si="51"/>
        <v>0</v>
      </c>
      <c r="CL41" s="668">
        <f t="shared" si="48"/>
        <v>42.895560000000003</v>
      </c>
      <c r="CM41" s="452">
        <v>0</v>
      </c>
      <c r="CN41" s="452">
        <f t="shared" si="14"/>
        <v>42.895560000000003</v>
      </c>
      <c r="CP41" s="142">
        <f t="shared" si="67"/>
        <v>0</v>
      </c>
      <c r="CQ41" s="137">
        <f t="shared" si="68"/>
        <v>0</v>
      </c>
      <c r="CS41" s="146">
        <f t="shared" si="69"/>
        <v>0</v>
      </c>
      <c r="CT41" s="137">
        <f t="shared" si="21"/>
        <v>42.895560000000003</v>
      </c>
      <c r="CU41" s="137">
        <f t="shared" si="22"/>
        <v>42.895560000000003</v>
      </c>
      <c r="CV41" s="137">
        <f t="shared" si="23"/>
        <v>0</v>
      </c>
      <c r="CW41" s="137">
        <f t="shared" si="24"/>
        <v>0</v>
      </c>
      <c r="CX41" s="458"/>
      <c r="CY41" s="458"/>
    </row>
    <row r="42" spans="1:103" ht="12.75" customHeight="1">
      <c r="A42" s="122"/>
      <c r="B42" s="875" t="s">
        <v>784</v>
      </c>
      <c r="C42" s="876"/>
      <c r="D42" s="877"/>
      <c r="E42" s="452">
        <v>53</v>
      </c>
      <c r="F42" s="16">
        <v>29.643550000000001</v>
      </c>
      <c r="G42" s="108">
        <f t="shared" ref="G42:G43" si="70">F42/E42*100</f>
        <v>55.931226415094336</v>
      </c>
      <c r="H42" s="108">
        <f t="shared" si="0"/>
        <v>-23.356449999999999</v>
      </c>
      <c r="I42" s="108">
        <v>53</v>
      </c>
      <c r="J42" s="16">
        <v>29.643550000000001</v>
      </c>
      <c r="K42" s="109"/>
      <c r="L42" s="108"/>
      <c r="M42" s="108">
        <v>53</v>
      </c>
      <c r="N42" s="216">
        <v>29.643550000000001</v>
      </c>
      <c r="O42" s="462"/>
      <c r="P42" s="463"/>
      <c r="Q42" s="462">
        <v>53</v>
      </c>
      <c r="R42" s="216">
        <v>23.714839999999999</v>
      </c>
      <c r="S42" s="462"/>
      <c r="T42" s="122">
        <f t="shared" si="63"/>
        <v>-29.285160000000001</v>
      </c>
      <c r="U42" s="108">
        <v>107</v>
      </c>
      <c r="V42" s="216">
        <v>47.429679999999998</v>
      </c>
      <c r="W42" s="462"/>
      <c r="X42" s="463">
        <f t="shared" si="64"/>
        <v>-59.570320000000002</v>
      </c>
      <c r="Y42" s="462">
        <v>53</v>
      </c>
      <c r="Z42" s="216">
        <v>29.643550000000001</v>
      </c>
      <c r="AA42" s="462"/>
      <c r="AB42" s="463">
        <f t="shared" si="66"/>
        <v>-23.356449999999999</v>
      </c>
      <c r="AC42" s="462">
        <v>53</v>
      </c>
      <c r="AD42" s="216">
        <v>29.643550000000001</v>
      </c>
      <c r="AE42" s="462"/>
      <c r="AF42" s="463"/>
      <c r="AG42" s="451">
        <f t="shared" si="3"/>
        <v>425</v>
      </c>
      <c r="AH42" s="465">
        <f t="shared" si="41"/>
        <v>219.36227</v>
      </c>
      <c r="AI42" s="465">
        <f t="shared" si="35"/>
        <v>51.614651764705876</v>
      </c>
      <c r="AJ42" s="452">
        <f t="shared" si="32"/>
        <v>-205.63773</v>
      </c>
      <c r="AK42" s="108"/>
      <c r="AL42" s="216"/>
      <c r="AM42" s="108"/>
      <c r="AN42" s="108">
        <f t="shared" si="54"/>
        <v>0</v>
      </c>
      <c r="AO42" s="108"/>
      <c r="AP42" s="465"/>
      <c r="AQ42" s="462"/>
      <c r="AR42" s="462">
        <f t="shared" si="55"/>
        <v>0</v>
      </c>
      <c r="AS42" s="462"/>
      <c r="AT42" s="465"/>
      <c r="AU42" s="462"/>
      <c r="AV42" s="462">
        <f t="shared" si="56"/>
        <v>0</v>
      </c>
      <c r="AW42" s="462"/>
      <c r="AX42" s="216"/>
      <c r="AY42" s="462"/>
      <c r="AZ42" s="462">
        <f t="shared" si="57"/>
        <v>0</v>
      </c>
      <c r="BA42" s="451">
        <f t="shared" si="8"/>
        <v>0</v>
      </c>
      <c r="BB42" s="15">
        <f t="shared" si="47"/>
        <v>0</v>
      </c>
      <c r="BC42" s="452"/>
      <c r="BD42" s="452">
        <f t="shared" si="58"/>
        <v>0</v>
      </c>
      <c r="BE42" s="108"/>
      <c r="BF42" s="465"/>
      <c r="BG42" s="462"/>
      <c r="BH42" s="462">
        <f t="shared" si="59"/>
        <v>0</v>
      </c>
      <c r="BI42" s="462"/>
      <c r="BJ42" s="465"/>
      <c r="BK42" s="468"/>
      <c r="BL42" s="465">
        <f t="shared" si="60"/>
        <v>0</v>
      </c>
      <c r="BM42" s="462"/>
      <c r="BN42" s="465"/>
      <c r="BO42" s="462"/>
      <c r="BP42" s="462">
        <f t="shared" si="61"/>
        <v>0</v>
      </c>
      <c r="BQ42" s="462"/>
      <c r="BR42" s="465"/>
      <c r="BS42" s="469">
        <v>0</v>
      </c>
      <c r="BT42" s="106">
        <f t="shared" si="19"/>
        <v>0</v>
      </c>
      <c r="BU42" s="108"/>
      <c r="BV42" s="452"/>
      <c r="BW42" s="108"/>
      <c r="BX42" s="122">
        <f t="shared" si="62"/>
        <v>0</v>
      </c>
      <c r="BY42" s="462">
        <v>47</v>
      </c>
      <c r="BZ42" s="817">
        <v>7.90496</v>
      </c>
      <c r="CA42" s="547">
        <f t="shared" si="65"/>
        <v>16.819063829787233</v>
      </c>
      <c r="CB42" s="463">
        <f t="shared" si="27"/>
        <v>-39.095039999999997</v>
      </c>
      <c r="CC42" s="463"/>
      <c r="CD42" s="220"/>
      <c r="CE42" s="463"/>
      <c r="CF42" s="463"/>
      <c r="CG42" s="463"/>
      <c r="CH42" s="475"/>
      <c r="CI42" s="463"/>
      <c r="CJ42" s="463"/>
      <c r="CK42" s="451">
        <f t="shared" si="51"/>
        <v>472</v>
      </c>
      <c r="CL42" s="668">
        <f t="shared" si="48"/>
        <v>227.26722999999998</v>
      </c>
      <c r="CM42" s="452">
        <f t="shared" si="13"/>
        <v>48.149836864406772</v>
      </c>
      <c r="CN42" s="452">
        <f t="shared" si="14"/>
        <v>-244.73277000000002</v>
      </c>
      <c r="CP42" s="142">
        <f t="shared" si="67"/>
        <v>227.26722999999998</v>
      </c>
      <c r="CQ42" s="137">
        <f t="shared" si="68"/>
        <v>472</v>
      </c>
      <c r="CS42" s="146">
        <f t="shared" si="69"/>
        <v>227.26722999999998</v>
      </c>
      <c r="CT42" s="137">
        <f t="shared" si="21"/>
        <v>227.26722999999998</v>
      </c>
      <c r="CU42" s="137">
        <f t="shared" si="22"/>
        <v>227.26722999999998</v>
      </c>
      <c r="CV42" s="137">
        <f t="shared" si="23"/>
        <v>219.36227</v>
      </c>
      <c r="CW42" s="137">
        <f t="shared" si="24"/>
        <v>472</v>
      </c>
      <c r="CX42" s="458"/>
      <c r="CY42" s="458"/>
    </row>
    <row r="43" spans="1:103" ht="12.75" customHeight="1">
      <c r="A43" s="122"/>
      <c r="B43" s="875" t="s">
        <v>870</v>
      </c>
      <c r="C43" s="876"/>
      <c r="D43" s="877"/>
      <c r="E43" s="452">
        <v>25</v>
      </c>
      <c r="F43" s="16"/>
      <c r="G43" s="108">
        <f t="shared" si="70"/>
        <v>0</v>
      </c>
      <c r="H43" s="108">
        <f t="shared" si="0"/>
        <v>-25</v>
      </c>
      <c r="I43" s="108">
        <v>50</v>
      </c>
      <c r="J43" s="16"/>
      <c r="K43" s="109">
        <f>J43/I43*100</f>
        <v>0</v>
      </c>
      <c r="L43" s="108">
        <f t="shared" ref="L43:L50" si="71">J43-I43</f>
        <v>-50</v>
      </c>
      <c r="M43" s="108">
        <v>85</v>
      </c>
      <c r="N43" s="216">
        <v>92.7</v>
      </c>
      <c r="O43" s="462"/>
      <c r="P43" s="463"/>
      <c r="Q43" s="462">
        <v>45</v>
      </c>
      <c r="R43" s="216">
        <v>30</v>
      </c>
      <c r="S43" s="462">
        <f>R43/Q43*100</f>
        <v>66.666666666666657</v>
      </c>
      <c r="T43" s="122">
        <f t="shared" si="63"/>
        <v>-15</v>
      </c>
      <c r="U43" s="108">
        <v>25</v>
      </c>
      <c r="V43" s="216">
        <v>23.4</v>
      </c>
      <c r="W43" s="462"/>
      <c r="X43" s="463">
        <f t="shared" si="64"/>
        <v>-1.6000000000000014</v>
      </c>
      <c r="Y43" s="462">
        <v>60</v>
      </c>
      <c r="Z43" s="216"/>
      <c r="AA43" s="462">
        <f>Z43/Y43*100</f>
        <v>0</v>
      </c>
      <c r="AB43" s="463">
        <f t="shared" si="66"/>
        <v>-60</v>
      </c>
      <c r="AC43" s="462">
        <v>60</v>
      </c>
      <c r="AD43" s="216">
        <v>27.754000000000001</v>
      </c>
      <c r="AE43" s="462">
        <f>AD43/AC43*100</f>
        <v>46.256666666666668</v>
      </c>
      <c r="AF43" s="463">
        <f>AD43-AC43</f>
        <v>-32.245999999999995</v>
      </c>
      <c r="AG43" s="451">
        <f t="shared" si="3"/>
        <v>350</v>
      </c>
      <c r="AH43" s="465">
        <f t="shared" si="41"/>
        <v>173.85399999999998</v>
      </c>
      <c r="AI43" s="452">
        <f>AH43/AG43*100</f>
        <v>49.67257142857143</v>
      </c>
      <c r="AJ43" s="452">
        <f t="shared" si="32"/>
        <v>-176.14600000000002</v>
      </c>
      <c r="AK43" s="108">
        <v>20</v>
      </c>
      <c r="AL43" s="216"/>
      <c r="AM43" s="108"/>
      <c r="AN43" s="108">
        <f t="shared" si="54"/>
        <v>-20</v>
      </c>
      <c r="AO43" s="108"/>
      <c r="AP43" s="465"/>
      <c r="AQ43" s="462"/>
      <c r="AR43" s="462">
        <f t="shared" si="55"/>
        <v>0</v>
      </c>
      <c r="AS43" s="462">
        <v>20</v>
      </c>
      <c r="AT43" s="465"/>
      <c r="AU43" s="462"/>
      <c r="AV43" s="462">
        <f t="shared" si="56"/>
        <v>-20</v>
      </c>
      <c r="AW43" s="462">
        <v>25</v>
      </c>
      <c r="AX43" s="216"/>
      <c r="AY43" s="462"/>
      <c r="AZ43" s="462">
        <f t="shared" si="57"/>
        <v>-25</v>
      </c>
      <c r="BA43" s="451">
        <f t="shared" si="8"/>
        <v>65</v>
      </c>
      <c r="BB43" s="15">
        <f t="shared" si="47"/>
        <v>0</v>
      </c>
      <c r="BC43" s="452"/>
      <c r="BD43" s="452">
        <f t="shared" si="58"/>
        <v>-65</v>
      </c>
      <c r="BE43" s="108"/>
      <c r="BF43" s="465"/>
      <c r="BG43" s="462"/>
      <c r="BH43" s="462">
        <f t="shared" si="59"/>
        <v>0</v>
      </c>
      <c r="BI43" s="462"/>
      <c r="BJ43" s="465"/>
      <c r="BK43" s="468"/>
      <c r="BL43" s="465">
        <f t="shared" si="60"/>
        <v>0</v>
      </c>
      <c r="BM43" s="462"/>
      <c r="BN43" s="465"/>
      <c r="BO43" s="462"/>
      <c r="BP43" s="462">
        <f t="shared" si="61"/>
        <v>0</v>
      </c>
      <c r="BQ43" s="462"/>
      <c r="BR43" s="465"/>
      <c r="BS43" s="469">
        <v>0</v>
      </c>
      <c r="BT43" s="106">
        <f t="shared" si="19"/>
        <v>0</v>
      </c>
      <c r="BU43" s="108"/>
      <c r="BV43" s="452"/>
      <c r="BW43" s="108"/>
      <c r="BX43" s="122">
        <f t="shared" si="62"/>
        <v>0</v>
      </c>
      <c r="BY43" s="462"/>
      <c r="BZ43" s="216"/>
      <c r="CA43" s="547"/>
      <c r="CB43" s="463">
        <f t="shared" si="27"/>
        <v>0</v>
      </c>
      <c r="CC43" s="463"/>
      <c r="CD43" s="220">
        <v>6.8</v>
      </c>
      <c r="CE43" s="463"/>
      <c r="CF43" s="463"/>
      <c r="CG43" s="463"/>
      <c r="CH43" s="475"/>
      <c r="CI43" s="463"/>
      <c r="CJ43" s="463"/>
      <c r="CK43" s="451">
        <f t="shared" si="51"/>
        <v>415</v>
      </c>
      <c r="CL43" s="668">
        <f t="shared" si="48"/>
        <v>180.654</v>
      </c>
      <c r="CM43" s="452">
        <f t="shared" si="13"/>
        <v>43.531084337349398</v>
      </c>
      <c r="CN43" s="452">
        <f t="shared" si="14"/>
        <v>-234.346</v>
      </c>
      <c r="CP43" s="142">
        <f t="shared" si="67"/>
        <v>180.654</v>
      </c>
      <c r="CQ43" s="137">
        <f t="shared" si="68"/>
        <v>415</v>
      </c>
      <c r="CS43" s="146">
        <f t="shared" si="69"/>
        <v>180.654</v>
      </c>
      <c r="CT43" s="137">
        <f t="shared" si="21"/>
        <v>180.654</v>
      </c>
      <c r="CU43" s="137">
        <f t="shared" si="22"/>
        <v>180.654</v>
      </c>
      <c r="CV43" s="137">
        <f t="shared" si="23"/>
        <v>173.85399999999998</v>
      </c>
      <c r="CW43" s="137">
        <f t="shared" si="24"/>
        <v>415</v>
      </c>
      <c r="CX43" s="458"/>
      <c r="CY43" s="458"/>
    </row>
    <row r="44" spans="1:103">
      <c r="A44" s="122"/>
      <c r="B44" s="875" t="s">
        <v>878</v>
      </c>
      <c r="C44" s="876"/>
      <c r="D44" s="877"/>
      <c r="E44" s="452">
        <f t="shared" si="49"/>
        <v>0</v>
      </c>
      <c r="F44" s="16"/>
      <c r="G44" s="108">
        <v>0</v>
      </c>
      <c r="H44" s="108">
        <f>F44-E44</f>
        <v>0</v>
      </c>
      <c r="I44" s="108">
        <f t="shared" si="52"/>
        <v>0</v>
      </c>
      <c r="J44" s="16"/>
      <c r="K44" s="109"/>
      <c r="L44" s="108">
        <f t="shared" si="71"/>
        <v>0</v>
      </c>
      <c r="M44" s="108">
        <f t="shared" si="50"/>
        <v>0</v>
      </c>
      <c r="N44" s="216"/>
      <c r="O44" s="462"/>
      <c r="P44" s="463">
        <f t="shared" ref="P44:P50" si="72">N44-M44</f>
        <v>0</v>
      </c>
      <c r="Q44" s="462">
        <v>0</v>
      </c>
      <c r="R44" s="216"/>
      <c r="S44" s="462"/>
      <c r="T44" s="122">
        <f>R44-Q44</f>
        <v>0</v>
      </c>
      <c r="U44" s="108"/>
      <c r="V44" s="216"/>
      <c r="W44" s="462"/>
      <c r="X44" s="463">
        <f>V44-U44</f>
        <v>0</v>
      </c>
      <c r="Y44" s="462"/>
      <c r="Z44" s="216"/>
      <c r="AA44" s="462"/>
      <c r="AB44" s="463">
        <f t="shared" si="66"/>
        <v>0</v>
      </c>
      <c r="AC44" s="462"/>
      <c r="AD44" s="216"/>
      <c r="AE44" s="462"/>
      <c r="AF44" s="463">
        <f>AD44-AC44</f>
        <v>0</v>
      </c>
      <c r="AG44" s="451">
        <f>E44+I44+M44+Q44+U44+Y44+AC44</f>
        <v>0</v>
      </c>
      <c r="AH44" s="465">
        <f t="shared" si="41"/>
        <v>0</v>
      </c>
      <c r="AI44" s="452"/>
      <c r="AJ44" s="452">
        <f t="shared" si="32"/>
        <v>0</v>
      </c>
      <c r="AK44" s="108"/>
      <c r="AL44" s="216"/>
      <c r="AM44" s="108"/>
      <c r="AN44" s="108">
        <f>AL44-AK44</f>
        <v>0</v>
      </c>
      <c r="AO44" s="108"/>
      <c r="AP44" s="465"/>
      <c r="AQ44" s="462"/>
      <c r="AR44" s="462">
        <f>AP44-AO44</f>
        <v>0</v>
      </c>
      <c r="AS44" s="462"/>
      <c r="AT44" s="465"/>
      <c r="AU44" s="462"/>
      <c r="AV44" s="462">
        <f>AT44-AS44</f>
        <v>0</v>
      </c>
      <c r="AW44" s="462"/>
      <c r="AX44" s="216"/>
      <c r="AY44" s="462"/>
      <c r="AZ44" s="462">
        <f>AX44-AW44</f>
        <v>0</v>
      </c>
      <c r="BA44" s="451">
        <f>AK44+AO44+AS44+AW44</f>
        <v>0</v>
      </c>
      <c r="BB44" s="15">
        <f t="shared" si="47"/>
        <v>0</v>
      </c>
      <c r="BC44" s="452"/>
      <c r="BD44" s="452">
        <f>BB44-BA44</f>
        <v>0</v>
      </c>
      <c r="BE44" s="108"/>
      <c r="BF44" s="465"/>
      <c r="BG44" s="462"/>
      <c r="BH44" s="462">
        <f>BF44-BE44</f>
        <v>0</v>
      </c>
      <c r="BI44" s="462"/>
      <c r="BJ44" s="465"/>
      <c r="BK44" s="468"/>
      <c r="BL44" s="465">
        <f>BJ44-BI44</f>
        <v>0</v>
      </c>
      <c r="BM44" s="462"/>
      <c r="BN44" s="465"/>
      <c r="BO44" s="462"/>
      <c r="BP44" s="462">
        <f>BN44-BM44</f>
        <v>0</v>
      </c>
      <c r="BQ44" s="462"/>
      <c r="BR44" s="465"/>
      <c r="BS44" s="469">
        <v>0</v>
      </c>
      <c r="BT44" s="106">
        <f t="shared" si="19"/>
        <v>0</v>
      </c>
      <c r="BU44" s="108"/>
      <c r="BV44" s="452"/>
      <c r="BW44" s="108"/>
      <c r="BX44" s="122">
        <f>BV44-BU44</f>
        <v>0</v>
      </c>
      <c r="BY44" s="462"/>
      <c r="BZ44" s="817">
        <v>45</v>
      </c>
      <c r="CA44" s="547"/>
      <c r="CB44" s="463">
        <f t="shared" si="27"/>
        <v>45</v>
      </c>
      <c r="CC44" s="463"/>
      <c r="CD44" s="475"/>
      <c r="CE44" s="463"/>
      <c r="CF44" s="463"/>
      <c r="CG44" s="463"/>
      <c r="CH44" s="475"/>
      <c r="CI44" s="463"/>
      <c r="CJ44" s="463"/>
      <c r="CK44" s="451">
        <f t="shared" si="51"/>
        <v>0</v>
      </c>
      <c r="CL44" s="668">
        <f t="shared" si="48"/>
        <v>45</v>
      </c>
      <c r="CM44" s="452">
        <v>0</v>
      </c>
      <c r="CN44" s="452">
        <f>CL44-CK44</f>
        <v>45</v>
      </c>
      <c r="CP44" s="142">
        <f t="shared" si="67"/>
        <v>45</v>
      </c>
      <c r="CQ44" s="137">
        <f t="shared" si="68"/>
        <v>0</v>
      </c>
      <c r="CS44" s="146">
        <f t="shared" si="69"/>
        <v>45</v>
      </c>
      <c r="CT44" s="137">
        <f t="shared" si="21"/>
        <v>45</v>
      </c>
      <c r="CU44" s="137">
        <f t="shared" si="22"/>
        <v>45</v>
      </c>
      <c r="CV44" s="137">
        <f t="shared" si="23"/>
        <v>0</v>
      </c>
      <c r="CW44" s="137">
        <f t="shared" si="24"/>
        <v>0</v>
      </c>
      <c r="CX44" s="458"/>
      <c r="CY44" s="458"/>
    </row>
    <row r="45" spans="1:103">
      <c r="A45" s="122"/>
      <c r="B45" s="875" t="s">
        <v>871</v>
      </c>
      <c r="C45" s="876"/>
      <c r="D45" s="877"/>
      <c r="E45" s="108">
        <f t="shared" si="49"/>
        <v>0</v>
      </c>
      <c r="F45" s="16"/>
      <c r="G45" s="108"/>
      <c r="H45" s="108">
        <f>F45-E45</f>
        <v>0</v>
      </c>
      <c r="I45" s="108">
        <f t="shared" si="52"/>
        <v>0</v>
      </c>
      <c r="J45" s="16"/>
      <c r="K45" s="109"/>
      <c r="L45" s="108">
        <f t="shared" si="71"/>
        <v>0</v>
      </c>
      <c r="M45" s="108"/>
      <c r="N45" s="216">
        <v>2.9750000000000001</v>
      </c>
      <c r="O45" s="462"/>
      <c r="P45" s="463">
        <f t="shared" si="72"/>
        <v>2.9750000000000001</v>
      </c>
      <c r="Q45" s="462">
        <f t="shared" si="53"/>
        <v>0</v>
      </c>
      <c r="R45" s="216"/>
      <c r="S45" s="462"/>
      <c r="T45" s="122">
        <f>R45-Q45</f>
        <v>0</v>
      </c>
      <c r="U45" s="108"/>
      <c r="V45" s="216"/>
      <c r="W45" s="462"/>
      <c r="X45" s="463">
        <f>V45-U45</f>
        <v>0</v>
      </c>
      <c r="Y45" s="462"/>
      <c r="Z45" s="216">
        <v>3.98</v>
      </c>
      <c r="AA45" s="462"/>
      <c r="AB45" s="463">
        <f t="shared" si="66"/>
        <v>3.98</v>
      </c>
      <c r="AC45" s="462"/>
      <c r="AD45" s="216"/>
      <c r="AE45" s="462"/>
      <c r="AF45" s="463">
        <f>AD45-AC45</f>
        <v>0</v>
      </c>
      <c r="AG45" s="451"/>
      <c r="AH45" s="465">
        <f t="shared" si="41"/>
        <v>6.9550000000000001</v>
      </c>
      <c r="AI45" s="452"/>
      <c r="AJ45" s="452">
        <f t="shared" si="32"/>
        <v>6.9550000000000001</v>
      </c>
      <c r="AK45" s="108"/>
      <c r="AL45" s="216">
        <v>0.45504</v>
      </c>
      <c r="AM45" s="108"/>
      <c r="AN45" s="108">
        <f>AL45-AK45</f>
        <v>0.45504</v>
      </c>
      <c r="AO45" s="108"/>
      <c r="AP45" s="465">
        <v>1.05</v>
      </c>
      <c r="AQ45" s="462"/>
      <c r="AR45" s="462">
        <f>AP45-AO45</f>
        <v>1.05</v>
      </c>
      <c r="AS45" s="462"/>
      <c r="AT45" s="465"/>
      <c r="AU45" s="462"/>
      <c r="AV45" s="462">
        <f>AT45-AS45</f>
        <v>0</v>
      </c>
      <c r="AW45" s="462"/>
      <c r="AX45" s="216">
        <v>3.0249999999999999</v>
      </c>
      <c r="AY45" s="462"/>
      <c r="AZ45" s="462">
        <f>AX45-AW45</f>
        <v>3.0249999999999999</v>
      </c>
      <c r="BA45" s="451">
        <f>AK45+AO45+AS45+AW45</f>
        <v>0</v>
      </c>
      <c r="BB45" s="15">
        <f t="shared" si="47"/>
        <v>4.5300399999999996</v>
      </c>
      <c r="BC45" s="452"/>
      <c r="BD45" s="452">
        <f>BB45-BA45</f>
        <v>4.5300399999999996</v>
      </c>
      <c r="BE45" s="108"/>
      <c r="BF45" s="465">
        <v>10.398999999999999</v>
      </c>
      <c r="BG45" s="462"/>
      <c r="BH45" s="462">
        <f>BF45-BE45</f>
        <v>10.398999999999999</v>
      </c>
      <c r="BI45" s="462"/>
      <c r="BJ45" s="465"/>
      <c r="BK45" s="468"/>
      <c r="BL45" s="465">
        <f>BJ45-BI45</f>
        <v>0</v>
      </c>
      <c r="BM45" s="462"/>
      <c r="BN45" s="465"/>
      <c r="BO45" s="462"/>
      <c r="BP45" s="462">
        <f>BN45-BM45</f>
        <v>0</v>
      </c>
      <c r="BQ45" s="462"/>
      <c r="BR45" s="465"/>
      <c r="BS45" s="469">
        <v>0</v>
      </c>
      <c r="BT45" s="106">
        <f t="shared" si="19"/>
        <v>0</v>
      </c>
      <c r="BU45" s="108"/>
      <c r="BV45" s="452">
        <v>2.87</v>
      </c>
      <c r="BW45" s="108"/>
      <c r="BX45" s="122">
        <f>BV45-BU45</f>
        <v>2.87</v>
      </c>
      <c r="BY45" s="462"/>
      <c r="BZ45" s="216"/>
      <c r="CA45" s="547"/>
      <c r="CB45" s="463">
        <f t="shared" si="27"/>
        <v>0</v>
      </c>
      <c r="CC45" s="463"/>
      <c r="CD45" s="475"/>
      <c r="CE45" s="463"/>
      <c r="CF45" s="463"/>
      <c r="CG45" s="463"/>
      <c r="CH45" s="475"/>
      <c r="CI45" s="463"/>
      <c r="CJ45" s="463"/>
      <c r="CK45" s="451">
        <f t="shared" si="51"/>
        <v>0</v>
      </c>
      <c r="CL45" s="668">
        <f t="shared" si="48"/>
        <v>24.75404</v>
      </c>
      <c r="CM45" s="452">
        <v>0</v>
      </c>
      <c r="CN45" s="452">
        <f>CL45-CK45</f>
        <v>24.75404</v>
      </c>
      <c r="CP45" s="142">
        <f t="shared" si="67"/>
        <v>24.75404</v>
      </c>
      <c r="CQ45" s="137">
        <f t="shared" si="68"/>
        <v>0</v>
      </c>
      <c r="CS45" s="146">
        <f t="shared" si="69"/>
        <v>24.75404</v>
      </c>
      <c r="CT45" s="137">
        <f t="shared" si="21"/>
        <v>24.75404</v>
      </c>
      <c r="CU45" s="137">
        <f t="shared" si="22"/>
        <v>24.75404</v>
      </c>
      <c r="CV45" s="137">
        <f t="shared" si="23"/>
        <v>21.884039999999999</v>
      </c>
      <c r="CW45" s="137">
        <f t="shared" si="24"/>
        <v>0</v>
      </c>
      <c r="CX45" s="458"/>
      <c r="CY45" s="458"/>
    </row>
    <row r="46" spans="1:103" ht="12.75" customHeight="1">
      <c r="A46" s="122"/>
      <c r="B46" s="875" t="s">
        <v>577</v>
      </c>
      <c r="C46" s="876"/>
      <c r="D46" s="877"/>
      <c r="E46" s="108">
        <v>0</v>
      </c>
      <c r="F46" s="16"/>
      <c r="G46" s="108"/>
      <c r="H46" s="108">
        <f t="shared" si="0"/>
        <v>0</v>
      </c>
      <c r="I46" s="108">
        <v>0</v>
      </c>
      <c r="J46" s="16">
        <v>7.8</v>
      </c>
      <c r="K46" s="109"/>
      <c r="L46" s="108">
        <f t="shared" si="71"/>
        <v>7.8</v>
      </c>
      <c r="M46" s="108"/>
      <c r="N46" s="216">
        <v>4.5</v>
      </c>
      <c r="O46" s="462"/>
      <c r="P46" s="462">
        <f t="shared" si="72"/>
        <v>4.5</v>
      </c>
      <c r="Q46" s="462"/>
      <c r="R46" s="216">
        <v>17.294</v>
      </c>
      <c r="S46" s="462"/>
      <c r="T46" s="122">
        <f t="shared" si="63"/>
        <v>17.294</v>
      </c>
      <c r="U46" s="108"/>
      <c r="V46" s="216">
        <v>6</v>
      </c>
      <c r="W46" s="462"/>
      <c r="X46" s="463">
        <f t="shared" si="64"/>
        <v>6</v>
      </c>
      <c r="Y46" s="462"/>
      <c r="Z46" s="216">
        <v>6</v>
      </c>
      <c r="AA46" s="462"/>
      <c r="AB46" s="463">
        <f t="shared" si="66"/>
        <v>6</v>
      </c>
      <c r="AC46" s="462"/>
      <c r="AD46" s="216">
        <v>7.5</v>
      </c>
      <c r="AE46" s="462"/>
      <c r="AF46" s="463"/>
      <c r="AG46" s="451">
        <f t="shared" si="3"/>
        <v>0</v>
      </c>
      <c r="AH46" s="465">
        <f t="shared" si="41"/>
        <v>49.094000000000001</v>
      </c>
      <c r="AI46" s="452"/>
      <c r="AJ46" s="452">
        <f t="shared" si="32"/>
        <v>49.094000000000001</v>
      </c>
      <c r="AK46" s="108"/>
      <c r="AL46" s="216">
        <v>20</v>
      </c>
      <c r="AM46" s="108"/>
      <c r="AN46" s="108">
        <f t="shared" si="54"/>
        <v>20</v>
      </c>
      <c r="AO46" s="108"/>
      <c r="AP46" s="465"/>
      <c r="AQ46" s="462"/>
      <c r="AR46" s="462">
        <f t="shared" si="55"/>
        <v>0</v>
      </c>
      <c r="AS46" s="462"/>
      <c r="AT46" s="465">
        <v>18</v>
      </c>
      <c r="AU46" s="462"/>
      <c r="AV46" s="462">
        <f t="shared" si="56"/>
        <v>18</v>
      </c>
      <c r="AW46" s="462"/>
      <c r="AX46" s="216">
        <v>6.1710000000000003</v>
      </c>
      <c r="AY46" s="462"/>
      <c r="AZ46" s="462">
        <f t="shared" si="57"/>
        <v>6.1710000000000003</v>
      </c>
      <c r="BA46" s="451">
        <f t="shared" si="8"/>
        <v>0</v>
      </c>
      <c r="BB46" s="15">
        <f t="shared" si="47"/>
        <v>44.170999999999999</v>
      </c>
      <c r="BC46" s="452"/>
      <c r="BD46" s="452">
        <f t="shared" si="58"/>
        <v>44.170999999999999</v>
      </c>
      <c r="BE46" s="108"/>
      <c r="BF46" s="465"/>
      <c r="BG46" s="462"/>
      <c r="BH46" s="462">
        <f t="shared" si="59"/>
        <v>0</v>
      </c>
      <c r="BI46" s="462"/>
      <c r="BJ46" s="465"/>
      <c r="BK46" s="462"/>
      <c r="BL46" s="462">
        <f t="shared" si="60"/>
        <v>0</v>
      </c>
      <c r="BM46" s="462"/>
      <c r="BN46" s="465">
        <v>34.880000000000003</v>
      </c>
      <c r="BO46" s="462"/>
      <c r="BP46" s="462">
        <f t="shared" si="61"/>
        <v>34.880000000000003</v>
      </c>
      <c r="BQ46" s="462"/>
      <c r="BR46" s="465"/>
      <c r="BS46" s="469">
        <v>0</v>
      </c>
      <c r="BT46" s="106">
        <f t="shared" si="19"/>
        <v>0</v>
      </c>
      <c r="BU46" s="108"/>
      <c r="BV46" s="452">
        <v>2.3969999999999998</v>
      </c>
      <c r="BW46" s="108"/>
      <c r="BX46" s="122"/>
      <c r="BY46" s="462"/>
      <c r="BZ46" s="216"/>
      <c r="CA46" s="547"/>
      <c r="CB46" s="463">
        <f t="shared" si="27"/>
        <v>0</v>
      </c>
      <c r="CC46" s="463"/>
      <c r="CD46" s="475"/>
      <c r="CE46" s="463"/>
      <c r="CF46" s="463"/>
      <c r="CG46" s="463"/>
      <c r="CH46" s="220"/>
      <c r="CI46" s="463"/>
      <c r="CJ46" s="463"/>
      <c r="CK46" s="451">
        <f t="shared" si="51"/>
        <v>0</v>
      </c>
      <c r="CL46" s="668">
        <f t="shared" si="48"/>
        <v>130.542</v>
      </c>
      <c r="CM46" s="452">
        <v>0</v>
      </c>
      <c r="CN46" s="452">
        <f t="shared" si="14"/>
        <v>130.542</v>
      </c>
      <c r="CP46" s="142">
        <f t="shared" si="67"/>
        <v>130.542</v>
      </c>
      <c r="CQ46" s="137">
        <f t="shared" si="68"/>
        <v>0</v>
      </c>
      <c r="CS46" s="146">
        <f t="shared" si="69"/>
        <v>130.542</v>
      </c>
      <c r="CT46" s="137">
        <f t="shared" si="21"/>
        <v>130.542</v>
      </c>
      <c r="CU46" s="137">
        <f t="shared" si="22"/>
        <v>130.542</v>
      </c>
      <c r="CV46" s="137">
        <f t="shared" si="23"/>
        <v>128.14500000000001</v>
      </c>
      <c r="CW46" s="137">
        <f t="shared" si="24"/>
        <v>0</v>
      </c>
      <c r="CX46" s="458"/>
      <c r="CY46" s="458"/>
    </row>
    <row r="47" spans="1:103">
      <c r="A47" s="122"/>
      <c r="B47" s="875" t="s">
        <v>269</v>
      </c>
      <c r="C47" s="876"/>
      <c r="D47" s="877"/>
      <c r="E47" s="108"/>
      <c r="F47" s="16"/>
      <c r="G47" s="108"/>
      <c r="H47" s="108">
        <f t="shared" si="0"/>
        <v>0</v>
      </c>
      <c r="I47" s="108"/>
      <c r="J47" s="16"/>
      <c r="K47" s="109"/>
      <c r="L47" s="108">
        <f t="shared" si="71"/>
        <v>0</v>
      </c>
      <c r="M47" s="108"/>
      <c r="N47" s="16"/>
      <c r="O47" s="108"/>
      <c r="P47" s="122">
        <f t="shared" si="72"/>
        <v>0</v>
      </c>
      <c r="Q47" s="108">
        <f t="shared" si="53"/>
        <v>0</v>
      </c>
      <c r="R47" s="16"/>
      <c r="S47" s="108"/>
      <c r="T47" s="122">
        <f t="shared" si="63"/>
        <v>0</v>
      </c>
      <c r="U47" s="108"/>
      <c r="V47" s="16"/>
      <c r="W47" s="108"/>
      <c r="X47" s="122">
        <f t="shared" si="64"/>
        <v>0</v>
      </c>
      <c r="Y47" s="108"/>
      <c r="Z47" s="16"/>
      <c r="AA47" s="108"/>
      <c r="AB47" s="122">
        <f t="shared" si="66"/>
        <v>0</v>
      </c>
      <c r="AC47" s="108"/>
      <c r="AD47" s="16"/>
      <c r="AE47" s="108"/>
      <c r="AF47" s="122">
        <f>AD47-AC47</f>
        <v>0</v>
      </c>
      <c r="AG47" s="283">
        <f t="shared" si="3"/>
        <v>0</v>
      </c>
      <c r="AH47" s="452">
        <f t="shared" si="3"/>
        <v>0</v>
      </c>
      <c r="AI47" s="285"/>
      <c r="AJ47" s="285">
        <f t="shared" si="32"/>
        <v>0</v>
      </c>
      <c r="AK47" s="108"/>
      <c r="AL47" s="16"/>
      <c r="AM47" s="108"/>
      <c r="AN47" s="108">
        <f>AL47-AK47</f>
        <v>0</v>
      </c>
      <c r="AO47" s="108"/>
      <c r="AP47" s="452"/>
      <c r="AQ47" s="108"/>
      <c r="AR47" s="108">
        <f>AP47-AO47</f>
        <v>0</v>
      </c>
      <c r="AS47" s="108"/>
      <c r="AT47" s="452"/>
      <c r="AU47" s="108"/>
      <c r="AV47" s="108">
        <f>AT47-AS47</f>
        <v>0</v>
      </c>
      <c r="AW47" s="108"/>
      <c r="AX47" s="16"/>
      <c r="AY47" s="108"/>
      <c r="AZ47" s="108">
        <f>AX47-AW47</f>
        <v>0</v>
      </c>
      <c r="BA47" s="451">
        <f t="shared" si="8"/>
        <v>0</v>
      </c>
      <c r="BB47" s="15">
        <f t="shared" si="47"/>
        <v>0</v>
      </c>
      <c r="BC47" s="452"/>
      <c r="BD47" s="452">
        <f>BB47-BA47</f>
        <v>0</v>
      </c>
      <c r="BE47" s="108"/>
      <c r="BF47" s="465"/>
      <c r="BG47" s="462"/>
      <c r="BH47" s="462">
        <f>BF47-BE47</f>
        <v>0</v>
      </c>
      <c r="BI47" s="462"/>
      <c r="BJ47" s="465"/>
      <c r="BK47" s="462"/>
      <c r="BL47" s="462">
        <f>BJ47-BI47</f>
        <v>0</v>
      </c>
      <c r="BM47" s="462"/>
      <c r="BN47" s="465"/>
      <c r="BO47" s="462"/>
      <c r="BP47" s="462">
        <f>BN47-BM47</f>
        <v>0</v>
      </c>
      <c r="BQ47" s="462"/>
      <c r="BR47" s="465"/>
      <c r="BS47" s="469" t="e">
        <f t="shared" si="18"/>
        <v>#DIV/0!</v>
      </c>
      <c r="BT47" s="106">
        <f t="shared" si="19"/>
        <v>0</v>
      </c>
      <c r="BU47" s="108"/>
      <c r="BV47" s="452"/>
      <c r="BW47" s="108"/>
      <c r="BX47" s="122">
        <f>BV47-BU47</f>
        <v>0</v>
      </c>
      <c r="BY47" s="462"/>
      <c r="BZ47" s="216"/>
      <c r="CA47" s="547"/>
      <c r="CB47" s="463">
        <f t="shared" si="27"/>
        <v>0</v>
      </c>
      <c r="CC47" s="463"/>
      <c r="CD47" s="475"/>
      <c r="CE47" s="463"/>
      <c r="CF47" s="463"/>
      <c r="CG47" s="463"/>
      <c r="CH47" s="475"/>
      <c r="CI47" s="463"/>
      <c r="CJ47" s="463"/>
      <c r="CK47" s="467">
        <f t="shared" ref="CK47:CK48" si="73">AG47+BA47+BE47+BI47+BM47+BU47+BY47+CC47+BQ47</f>
        <v>0</v>
      </c>
      <c r="CL47" s="669">
        <f t="shared" ref="CL47:CL48" si="74">R47+V47+Z47+AD47+BV47+BZ47+F47+J47+N47+AL47+CD47+AP47+AT47+AX47+BF47+CH47</f>
        <v>0</v>
      </c>
      <c r="CM47" s="452" t="e">
        <f t="shared" si="13"/>
        <v>#DIV/0!</v>
      </c>
      <c r="CN47" s="285">
        <f t="shared" si="14"/>
        <v>0</v>
      </c>
      <c r="CP47" s="142">
        <f t="shared" si="67"/>
        <v>0</v>
      </c>
      <c r="CQ47" s="137">
        <f t="shared" si="68"/>
        <v>0</v>
      </c>
      <c r="CS47" s="146">
        <f t="shared" si="69"/>
        <v>0</v>
      </c>
      <c r="CT47" s="137">
        <f t="shared" si="21"/>
        <v>0</v>
      </c>
      <c r="CU47" s="137">
        <f t="shared" si="22"/>
        <v>0</v>
      </c>
      <c r="CV47" s="137">
        <f t="shared" si="23"/>
        <v>0</v>
      </c>
      <c r="CW47" s="137">
        <f t="shared" si="24"/>
        <v>0</v>
      </c>
      <c r="CX47" s="458"/>
      <c r="CY47" s="458"/>
    </row>
    <row r="48" spans="1:103">
      <c r="A48" s="143">
        <v>227</v>
      </c>
      <c r="B48" s="818" t="s">
        <v>960</v>
      </c>
      <c r="C48" s="676"/>
      <c r="D48" s="677"/>
      <c r="E48" s="108"/>
      <c r="F48" s="16"/>
      <c r="G48" s="108"/>
      <c r="H48" s="108"/>
      <c r="I48" s="108"/>
      <c r="J48" s="16"/>
      <c r="K48" s="109"/>
      <c r="L48" s="108"/>
      <c r="M48" s="108"/>
      <c r="N48" s="16"/>
      <c r="O48" s="108"/>
      <c r="P48" s="122"/>
      <c r="Q48" s="108"/>
      <c r="R48" s="16"/>
      <c r="S48" s="108"/>
      <c r="T48" s="122"/>
      <c r="U48" s="108"/>
      <c r="V48" s="16"/>
      <c r="W48" s="108"/>
      <c r="X48" s="122"/>
      <c r="Y48" s="108"/>
      <c r="Z48" s="16"/>
      <c r="AA48" s="108"/>
      <c r="AB48" s="122"/>
      <c r="AC48" s="108"/>
      <c r="AD48" s="16"/>
      <c r="AE48" s="108"/>
      <c r="AF48" s="122"/>
      <c r="AG48" s="283"/>
      <c r="AH48" s="452"/>
      <c r="AI48" s="285"/>
      <c r="AJ48" s="285"/>
      <c r="AK48" s="108"/>
      <c r="AL48" s="16"/>
      <c r="AM48" s="108"/>
      <c r="AN48" s="108"/>
      <c r="AO48" s="108"/>
      <c r="AP48" s="452"/>
      <c r="AQ48" s="108"/>
      <c r="AR48" s="108"/>
      <c r="AS48" s="108"/>
      <c r="AT48" s="452">
        <v>2.6383999999999999</v>
      </c>
      <c r="AU48" s="108"/>
      <c r="AV48" s="108"/>
      <c r="AW48" s="108"/>
      <c r="AX48" s="16"/>
      <c r="AY48" s="108"/>
      <c r="AZ48" s="108"/>
      <c r="BA48" s="451"/>
      <c r="BB48" s="15">
        <f t="shared" si="47"/>
        <v>2.6383999999999999</v>
      </c>
      <c r="BC48" s="452"/>
      <c r="BD48" s="452"/>
      <c r="BE48" s="108"/>
      <c r="BF48" s="465"/>
      <c r="BG48" s="462"/>
      <c r="BH48" s="462"/>
      <c r="BI48" s="462"/>
      <c r="BJ48" s="465"/>
      <c r="BK48" s="462"/>
      <c r="BL48" s="462"/>
      <c r="BM48" s="462"/>
      <c r="BN48" s="465"/>
      <c r="BO48" s="462"/>
      <c r="BP48" s="462"/>
      <c r="BQ48" s="462"/>
      <c r="BR48" s="465"/>
      <c r="BS48" s="469"/>
      <c r="BT48" s="106"/>
      <c r="BU48" s="108"/>
      <c r="BV48" s="452"/>
      <c r="BW48" s="108"/>
      <c r="BX48" s="122">
        <f>BV48-BU48</f>
        <v>0</v>
      </c>
      <c r="BY48" s="462"/>
      <c r="BZ48" s="216"/>
      <c r="CA48" s="547"/>
      <c r="CB48" s="463"/>
      <c r="CC48" s="463"/>
      <c r="CD48" s="475"/>
      <c r="CE48" s="463"/>
      <c r="CF48" s="463"/>
      <c r="CG48" s="463"/>
      <c r="CH48" s="475"/>
      <c r="CI48" s="463"/>
      <c r="CJ48" s="463"/>
      <c r="CK48" s="467">
        <f t="shared" si="73"/>
        <v>0</v>
      </c>
      <c r="CL48" s="669">
        <f t="shared" si="74"/>
        <v>2.6383999999999999</v>
      </c>
      <c r="CM48" s="452"/>
      <c r="CN48" s="285"/>
      <c r="CP48" s="142"/>
      <c r="CQ48" s="137"/>
      <c r="CS48" s="146"/>
      <c r="CT48" s="137"/>
      <c r="CU48" s="137"/>
      <c r="CV48" s="137"/>
      <c r="CW48" s="137"/>
      <c r="CX48" s="458"/>
      <c r="CY48" s="458"/>
    </row>
    <row r="49" spans="1:103" s="141" customFormat="1" ht="13.5">
      <c r="A49" s="123">
        <v>290</v>
      </c>
      <c r="B49" s="887" t="s">
        <v>67</v>
      </c>
      <c r="C49" s="888"/>
      <c r="D49" s="889"/>
      <c r="E49" s="116">
        <f>SUM(E50:E55)</f>
        <v>3</v>
      </c>
      <c r="F49" s="154">
        <f>F50+F55</f>
        <v>0</v>
      </c>
      <c r="G49" s="565"/>
      <c r="H49" s="116">
        <f t="shared" si="0"/>
        <v>-3</v>
      </c>
      <c r="I49" s="116">
        <f>SUM(I50:I55)</f>
        <v>3</v>
      </c>
      <c r="J49" s="154">
        <f>J50+J55</f>
        <v>0</v>
      </c>
      <c r="K49" s="116"/>
      <c r="L49" s="116">
        <f t="shared" si="71"/>
        <v>-3</v>
      </c>
      <c r="M49" s="116">
        <f>SUM(M50:M55)</f>
        <v>3</v>
      </c>
      <c r="N49" s="154">
        <f>SUM(N51:N55)</f>
        <v>1</v>
      </c>
      <c r="O49" s="116"/>
      <c r="P49" s="123">
        <f t="shared" si="72"/>
        <v>-2</v>
      </c>
      <c r="Q49" s="116">
        <f>SUM(Q50:Q55)</f>
        <v>6</v>
      </c>
      <c r="R49" s="154">
        <f>R50+R55</f>
        <v>0</v>
      </c>
      <c r="S49" s="116"/>
      <c r="T49" s="116">
        <f>R49-Q49</f>
        <v>-6</v>
      </c>
      <c r="U49" s="116">
        <f>SUM(U50:U55)</f>
        <v>3</v>
      </c>
      <c r="V49" s="154">
        <f>V50+V55</f>
        <v>0</v>
      </c>
      <c r="W49" s="123"/>
      <c r="X49" s="114">
        <f t="shared" si="64"/>
        <v>-3</v>
      </c>
      <c r="Y49" s="116">
        <f>SUM(Y50:Y55)</f>
        <v>3</v>
      </c>
      <c r="Z49" s="154">
        <f>Z50+Z55</f>
        <v>0</v>
      </c>
      <c r="AA49" s="116"/>
      <c r="AB49" s="123">
        <f t="shared" si="66"/>
        <v>-3</v>
      </c>
      <c r="AC49" s="116">
        <f>SUM(AC50:AC55)</f>
        <v>3</v>
      </c>
      <c r="AD49" s="154">
        <f>AD50+AD55</f>
        <v>0</v>
      </c>
      <c r="AE49" s="116"/>
      <c r="AF49" s="116">
        <f>AF50+AF51+AF52+AF55</f>
        <v>0</v>
      </c>
      <c r="AG49" s="113">
        <f t="shared" si="3"/>
        <v>24</v>
      </c>
      <c r="AH49" s="154">
        <f>AH50+AH55</f>
        <v>0</v>
      </c>
      <c r="AI49" s="116"/>
      <c r="AJ49" s="116">
        <f t="shared" si="32"/>
        <v>-24</v>
      </c>
      <c r="AK49" s="116">
        <f>SUM(AK50:AK55)</f>
        <v>3</v>
      </c>
      <c r="AL49" s="154">
        <f>AL50+AL55</f>
        <v>0</v>
      </c>
      <c r="AM49" s="113"/>
      <c r="AN49" s="116">
        <f>AL49-AK49</f>
        <v>-3</v>
      </c>
      <c r="AO49" s="116">
        <f>SUM(AO50:AO55)</f>
        <v>3</v>
      </c>
      <c r="AP49" s="116">
        <f>AP50+AP55</f>
        <v>0</v>
      </c>
      <c r="AQ49" s="113"/>
      <c r="AR49" s="116">
        <f>AP49-AO49</f>
        <v>-3</v>
      </c>
      <c r="AS49" s="116">
        <f>SUM(AS50:AS55)</f>
        <v>3</v>
      </c>
      <c r="AT49" s="116">
        <f>AT50+AT55+AT51</f>
        <v>0</v>
      </c>
      <c r="AU49" s="116">
        <f>AU50+AU55+AU51</f>
        <v>0</v>
      </c>
      <c r="AV49" s="116">
        <f>AV50+AV55+AV51</f>
        <v>0</v>
      </c>
      <c r="AW49" s="116">
        <f>SUM(AW50:AW55)</f>
        <v>3</v>
      </c>
      <c r="AX49" s="154">
        <f>AX50+AX55+AX51</f>
        <v>0</v>
      </c>
      <c r="AY49" s="116">
        <f>AY50+AY55+AY51</f>
        <v>0</v>
      </c>
      <c r="AZ49" s="116">
        <f>AZ50+AZ55+AZ51</f>
        <v>0</v>
      </c>
      <c r="BA49" s="113">
        <f t="shared" si="8"/>
        <v>12</v>
      </c>
      <c r="BB49" s="78">
        <f t="shared" si="47"/>
        <v>0</v>
      </c>
      <c r="BC49" s="116">
        <f>BC50+BC55+BC51</f>
        <v>0</v>
      </c>
      <c r="BD49" s="116">
        <f>BD50+BD55+BD51</f>
        <v>0</v>
      </c>
      <c r="BE49" s="116">
        <f>SUM(BE50:BE55)</f>
        <v>3</v>
      </c>
      <c r="BF49" s="470">
        <f>BF50+BF55+BF51</f>
        <v>0</v>
      </c>
      <c r="BG49" s="470">
        <f>BG50+BG55+BG51</f>
        <v>0</v>
      </c>
      <c r="BH49" s="470">
        <f>BH50+BH55+BH51</f>
        <v>0</v>
      </c>
      <c r="BI49" s="116">
        <f>SUM(BI50:BI55)</f>
        <v>3</v>
      </c>
      <c r="BJ49" s="470">
        <f>BJ50+BJ55+BJ51</f>
        <v>0</v>
      </c>
      <c r="BK49" s="470">
        <f>BK50+BK55+BK51</f>
        <v>0</v>
      </c>
      <c r="BL49" s="470">
        <f>BL50+BL55+BL51</f>
        <v>0</v>
      </c>
      <c r="BM49" s="116">
        <f>SUM(BM50:BM55)</f>
        <v>3</v>
      </c>
      <c r="BN49" s="471">
        <f>BN50+BN55+BN51</f>
        <v>0</v>
      </c>
      <c r="BO49" s="470">
        <f>BO50+BO55+BO51</f>
        <v>0</v>
      </c>
      <c r="BP49" s="470">
        <f>BP50+BP55+BP51</f>
        <v>0</v>
      </c>
      <c r="BQ49" s="116">
        <f>SUM(BQ50:BQ55)</f>
        <v>0</v>
      </c>
      <c r="BR49" s="470">
        <f>BR50+BR55+BR51</f>
        <v>0</v>
      </c>
      <c r="BS49" s="466">
        <v>0</v>
      </c>
      <c r="BT49" s="113">
        <f t="shared" si="19"/>
        <v>0</v>
      </c>
      <c r="BU49" s="116">
        <f>SUM(BU50:BU55)</f>
        <v>14</v>
      </c>
      <c r="BV49" s="116">
        <f>BV50+BV55+BV51</f>
        <v>0</v>
      </c>
      <c r="BW49" s="116">
        <f>BW50+BW55+BW51</f>
        <v>0</v>
      </c>
      <c r="BX49" s="116">
        <f>BX50+BX55+BX51</f>
        <v>0</v>
      </c>
      <c r="BY49" s="116">
        <f>SUM(BY50:BY55)</f>
        <v>350</v>
      </c>
      <c r="BZ49" s="471">
        <f>BZ50+BZ55+BZ51+BZ52</f>
        <v>0</v>
      </c>
      <c r="CA49" s="470">
        <f>CA50+CA55+CA51</f>
        <v>0</v>
      </c>
      <c r="CB49" s="470">
        <f>CB50+CB55+CB51</f>
        <v>-350</v>
      </c>
      <c r="CC49" s="116">
        <f>SUM(CC50:CC55)</f>
        <v>0</v>
      </c>
      <c r="CD49" s="471">
        <f>CD50+CD55+CD51</f>
        <v>0</v>
      </c>
      <c r="CE49" s="470">
        <f>CE50+CE55+CE51</f>
        <v>0</v>
      </c>
      <c r="CF49" s="470">
        <f>CF50+CF55+CF51</f>
        <v>0</v>
      </c>
      <c r="CG49" s="116">
        <f>SUM(CG50:CG55)</f>
        <v>75</v>
      </c>
      <c r="CH49" s="471">
        <f>CH50+CH55+CH51+CH54+CH52</f>
        <v>2.4020000000000001</v>
      </c>
      <c r="CI49" s="470">
        <f>CI50+CI55+CI51</f>
        <v>0</v>
      </c>
      <c r="CJ49" s="470">
        <f>CJ50+CJ55+CJ51</f>
        <v>0</v>
      </c>
      <c r="CK49" s="466">
        <f>AG49+BA49+BE49+BI49+BM49+BU49+BY49+CC49+BQ49+CG49</f>
        <v>484</v>
      </c>
      <c r="CL49" s="670">
        <f>CL50+CL55+CL51+CL54+CL52</f>
        <v>3.4020000000000001</v>
      </c>
      <c r="CM49" s="565">
        <f t="shared" si="13"/>
        <v>0.70289256198347116</v>
      </c>
      <c r="CN49" s="116">
        <f>CN50+CN55+CN51</f>
        <v>-364</v>
      </c>
      <c r="CO49" s="116">
        <f>CO50+CO55+CO51</f>
        <v>0</v>
      </c>
      <c r="CP49" s="137">
        <f t="shared" si="67"/>
        <v>1</v>
      </c>
      <c r="CQ49" s="137">
        <f t="shared" si="68"/>
        <v>409</v>
      </c>
      <c r="CS49" s="137">
        <f t="shared" si="69"/>
        <v>1</v>
      </c>
      <c r="CT49" s="137">
        <f t="shared" si="21"/>
        <v>3.4020000000000001</v>
      </c>
      <c r="CU49" s="137">
        <f t="shared" si="22"/>
        <v>3.4020000000000001</v>
      </c>
      <c r="CV49" s="137">
        <f t="shared" si="23"/>
        <v>1</v>
      </c>
      <c r="CW49" s="137">
        <f t="shared" si="24"/>
        <v>484</v>
      </c>
      <c r="CX49" s="137"/>
      <c r="CY49" s="137"/>
    </row>
    <row r="50" spans="1:103" hidden="1">
      <c r="A50" s="122"/>
      <c r="B50" s="890" t="s">
        <v>245</v>
      </c>
      <c r="C50" s="891"/>
      <c r="D50" s="892"/>
      <c r="E50" s="108">
        <v>0</v>
      </c>
      <c r="F50" s="16"/>
      <c r="G50" s="108"/>
      <c r="H50" s="108">
        <f t="shared" si="0"/>
        <v>0</v>
      </c>
      <c r="I50" s="108"/>
      <c r="J50" s="16"/>
      <c r="K50" s="108"/>
      <c r="L50" s="108">
        <f t="shared" si="71"/>
        <v>0</v>
      </c>
      <c r="M50" s="108"/>
      <c r="N50" s="16"/>
      <c r="O50" s="108"/>
      <c r="P50" s="122">
        <f t="shared" si="72"/>
        <v>0</v>
      </c>
      <c r="Q50" s="108"/>
      <c r="R50" s="16"/>
      <c r="S50" s="108"/>
      <c r="T50" s="108">
        <f>R50-Q50</f>
        <v>0</v>
      </c>
      <c r="U50" s="108"/>
      <c r="V50" s="16"/>
      <c r="W50" s="122"/>
      <c r="X50" s="122"/>
      <c r="Y50" s="108"/>
      <c r="Z50" s="16"/>
      <c r="AA50" s="108"/>
      <c r="AB50" s="122">
        <f t="shared" si="66"/>
        <v>0</v>
      </c>
      <c r="AC50" s="108"/>
      <c r="AD50" s="16"/>
      <c r="AE50" s="108"/>
      <c r="AF50" s="122"/>
      <c r="AG50" s="451">
        <f t="shared" si="3"/>
        <v>0</v>
      </c>
      <c r="AH50" s="452">
        <f t="shared" si="3"/>
        <v>0</v>
      </c>
      <c r="AI50" s="452"/>
      <c r="AJ50" s="452">
        <f t="shared" si="32"/>
        <v>0</v>
      </c>
      <c r="AK50" s="108"/>
      <c r="AL50" s="16"/>
      <c r="AM50" s="108"/>
      <c r="AN50" s="108">
        <f>AL50-AK50</f>
        <v>0</v>
      </c>
      <c r="AO50" s="108"/>
      <c r="AP50" s="452"/>
      <c r="AQ50" s="108"/>
      <c r="AR50" s="108">
        <f>AP50-AO50</f>
        <v>0</v>
      </c>
      <c r="AS50" s="108"/>
      <c r="AT50" s="465"/>
      <c r="AU50" s="108"/>
      <c r="AV50" s="108">
        <f>AT50-AS50</f>
        <v>0</v>
      </c>
      <c r="AW50" s="108"/>
      <c r="AX50" s="16"/>
      <c r="AY50" s="108"/>
      <c r="AZ50" s="108">
        <f>AX50-AW50</f>
        <v>0</v>
      </c>
      <c r="BA50" s="451">
        <f t="shared" si="8"/>
        <v>0</v>
      </c>
      <c r="BB50" s="15">
        <f t="shared" si="47"/>
        <v>0</v>
      </c>
      <c r="BC50" s="452"/>
      <c r="BD50" s="452">
        <f>BB50-BA50</f>
        <v>0</v>
      </c>
      <c r="BE50" s="108"/>
      <c r="BF50" s="465"/>
      <c r="BG50" s="462"/>
      <c r="BH50" s="462">
        <f>BF50-BE50</f>
        <v>0</v>
      </c>
      <c r="BI50" s="462"/>
      <c r="BJ50" s="465"/>
      <c r="BK50" s="462"/>
      <c r="BL50" s="462">
        <f>BJ50-BI50</f>
        <v>0</v>
      </c>
      <c r="BM50" s="462"/>
      <c r="BN50" s="216"/>
      <c r="BO50" s="462"/>
      <c r="BP50" s="462">
        <f>BN50-BM50</f>
        <v>0</v>
      </c>
      <c r="BQ50" s="462"/>
      <c r="BR50" s="465"/>
      <c r="BS50" s="469">
        <v>0</v>
      </c>
      <c r="BT50" s="106">
        <f t="shared" si="19"/>
        <v>0</v>
      </c>
      <c r="BU50" s="108"/>
      <c r="BV50" s="452"/>
      <c r="BW50" s="108"/>
      <c r="BX50" s="122"/>
      <c r="BY50" s="462"/>
      <c r="BZ50" s="216"/>
      <c r="CA50" s="474"/>
      <c r="CB50" s="463">
        <f t="shared" si="27"/>
        <v>0</v>
      </c>
      <c r="CC50" s="463"/>
      <c r="CD50" s="592"/>
      <c r="CE50" s="463"/>
      <c r="CF50" s="463"/>
      <c r="CG50" s="463"/>
      <c r="CH50" s="220"/>
      <c r="CI50" s="463"/>
      <c r="CJ50" s="463"/>
      <c r="CK50" s="468">
        <f t="shared" ref="CK50:CK51" si="75">AG50+BA50+BE50+BI50+BM50+BU50+BY50+CC50+BQ50+CG50</f>
        <v>0</v>
      </c>
      <c r="CL50" s="668">
        <f t="shared" ref="CL50:CL55" si="76">AH50+BB50+BF50+BJ50+BN50+BR50+BV50+BZ50+CD50+CH50</f>
        <v>0</v>
      </c>
      <c r="CM50" s="452">
        <v>0</v>
      </c>
      <c r="CN50" s="452">
        <f t="shared" si="14"/>
        <v>0</v>
      </c>
      <c r="CP50" s="142">
        <f t="shared" si="67"/>
        <v>0</v>
      </c>
      <c r="CQ50" s="137">
        <f t="shared" si="68"/>
        <v>0</v>
      </c>
      <c r="CS50" s="146">
        <f t="shared" si="69"/>
        <v>0</v>
      </c>
      <c r="CT50" s="137">
        <f t="shared" si="21"/>
        <v>0</v>
      </c>
      <c r="CU50" s="137">
        <f t="shared" si="22"/>
        <v>0</v>
      </c>
      <c r="CV50" s="137">
        <f t="shared" si="23"/>
        <v>0</v>
      </c>
      <c r="CW50" s="137">
        <f t="shared" si="24"/>
        <v>0</v>
      </c>
      <c r="CX50" s="458"/>
      <c r="CY50" s="458"/>
    </row>
    <row r="51" spans="1:103">
      <c r="A51" s="122"/>
      <c r="B51" s="875" t="s">
        <v>215</v>
      </c>
      <c r="C51" s="876"/>
      <c r="D51" s="877"/>
      <c r="E51" s="108">
        <f t="shared" ref="E51:E55" si="77">F51</f>
        <v>0</v>
      </c>
      <c r="F51" s="16"/>
      <c r="G51" s="108"/>
      <c r="H51" s="108"/>
      <c r="I51" s="108"/>
      <c r="J51" s="16"/>
      <c r="K51" s="122"/>
      <c r="L51" s="122"/>
      <c r="M51" s="108"/>
      <c r="N51" s="16"/>
      <c r="O51" s="108"/>
      <c r="P51" s="122"/>
      <c r="Q51" s="108"/>
      <c r="R51" s="16"/>
      <c r="S51" s="108"/>
      <c r="T51" s="108">
        <f>R51-Q51</f>
        <v>0</v>
      </c>
      <c r="U51" s="108"/>
      <c r="V51" s="16"/>
      <c r="W51" s="122"/>
      <c r="X51" s="122"/>
      <c r="Y51" s="108"/>
      <c r="Z51" s="16"/>
      <c r="AA51" s="108"/>
      <c r="AB51" s="122"/>
      <c r="AC51" s="108"/>
      <c r="AD51" s="16"/>
      <c r="AE51" s="108"/>
      <c r="AF51" s="122"/>
      <c r="AG51" s="451">
        <f t="shared" si="3"/>
        <v>0</v>
      </c>
      <c r="AH51" s="452">
        <f t="shared" si="3"/>
        <v>0</v>
      </c>
      <c r="AI51" s="452"/>
      <c r="AJ51" s="452">
        <f t="shared" si="32"/>
        <v>0</v>
      </c>
      <c r="AK51" s="108"/>
      <c r="AL51" s="16"/>
      <c r="AM51" s="108"/>
      <c r="AN51" s="108"/>
      <c r="AO51" s="108"/>
      <c r="AP51" s="452"/>
      <c r="AQ51" s="108"/>
      <c r="AR51" s="108"/>
      <c r="AS51" s="108"/>
      <c r="AT51" s="452"/>
      <c r="AU51" s="108"/>
      <c r="AV51" s="108"/>
      <c r="AW51" s="108"/>
      <c r="AX51" s="16"/>
      <c r="AY51" s="108"/>
      <c r="AZ51" s="108"/>
      <c r="BA51" s="451">
        <f t="shared" si="8"/>
        <v>0</v>
      </c>
      <c r="BB51" s="15">
        <f t="shared" si="47"/>
        <v>0</v>
      </c>
      <c r="BC51" s="452"/>
      <c r="BD51" s="452"/>
      <c r="BE51" s="108"/>
      <c r="BF51" s="465"/>
      <c r="BG51" s="462"/>
      <c r="BH51" s="462"/>
      <c r="BI51" s="462"/>
      <c r="BJ51" s="465"/>
      <c r="BK51" s="462"/>
      <c r="BL51" s="462"/>
      <c r="BM51" s="462"/>
      <c r="BN51" s="465"/>
      <c r="BO51" s="462"/>
      <c r="BP51" s="462"/>
      <c r="BQ51" s="462"/>
      <c r="BR51" s="465"/>
      <c r="BS51" s="469">
        <v>0</v>
      </c>
      <c r="BT51" s="106">
        <f t="shared" si="19"/>
        <v>0</v>
      </c>
      <c r="BU51" s="108">
        <v>14</v>
      </c>
      <c r="BV51" s="452"/>
      <c r="BW51" s="108"/>
      <c r="BX51" s="122"/>
      <c r="BY51" s="462">
        <v>50</v>
      </c>
      <c r="BZ51" s="216"/>
      <c r="CA51" s="474"/>
      <c r="CB51" s="463">
        <f t="shared" si="27"/>
        <v>-50</v>
      </c>
      <c r="CC51" s="463"/>
      <c r="CD51" s="475"/>
      <c r="CE51" s="463"/>
      <c r="CF51" s="463"/>
      <c r="CG51" s="463"/>
      <c r="CH51" s="475"/>
      <c r="CI51" s="463"/>
      <c r="CJ51" s="463"/>
      <c r="CK51" s="468">
        <f t="shared" si="75"/>
        <v>64</v>
      </c>
      <c r="CL51" s="668">
        <f t="shared" si="76"/>
        <v>0</v>
      </c>
      <c r="CM51" s="452">
        <v>0</v>
      </c>
      <c r="CN51" s="452">
        <f t="shared" si="14"/>
        <v>-64</v>
      </c>
      <c r="CP51" s="142">
        <f t="shared" si="67"/>
        <v>0</v>
      </c>
      <c r="CQ51" s="137">
        <f t="shared" si="68"/>
        <v>64</v>
      </c>
      <c r="CS51" s="146">
        <f t="shared" si="69"/>
        <v>0</v>
      </c>
      <c r="CT51" s="137">
        <f t="shared" si="21"/>
        <v>0</v>
      </c>
      <c r="CU51" s="137">
        <f t="shared" si="22"/>
        <v>0</v>
      </c>
      <c r="CV51" s="137">
        <f t="shared" si="23"/>
        <v>0</v>
      </c>
      <c r="CW51" s="137">
        <f t="shared" si="24"/>
        <v>64</v>
      </c>
      <c r="CX51" s="458"/>
      <c r="CY51" s="458"/>
    </row>
    <row r="52" spans="1:103">
      <c r="A52" s="122"/>
      <c r="B52" s="875" t="s">
        <v>245</v>
      </c>
      <c r="C52" s="876"/>
      <c r="D52" s="877"/>
      <c r="E52" s="108">
        <v>3</v>
      </c>
      <c r="F52" s="16"/>
      <c r="G52" s="108"/>
      <c r="H52" s="108"/>
      <c r="I52" s="108">
        <v>3</v>
      </c>
      <c r="J52" s="16"/>
      <c r="K52" s="122"/>
      <c r="L52" s="122"/>
      <c r="M52" s="108">
        <v>3</v>
      </c>
      <c r="N52" s="16">
        <v>1</v>
      </c>
      <c r="O52" s="108"/>
      <c r="P52" s="122"/>
      <c r="Q52" s="108">
        <v>6</v>
      </c>
      <c r="R52" s="16"/>
      <c r="S52" s="108"/>
      <c r="T52" s="122"/>
      <c r="U52" s="108">
        <v>3</v>
      </c>
      <c r="V52" s="16"/>
      <c r="W52" s="122"/>
      <c r="X52" s="122"/>
      <c r="Y52" s="108">
        <v>3</v>
      </c>
      <c r="Z52" s="16"/>
      <c r="AA52" s="108"/>
      <c r="AB52" s="122"/>
      <c r="AC52" s="108">
        <v>3</v>
      </c>
      <c r="AD52" s="16"/>
      <c r="AE52" s="108"/>
      <c r="AF52" s="122"/>
      <c r="AG52" s="451">
        <f t="shared" si="3"/>
        <v>24</v>
      </c>
      <c r="AH52" s="452">
        <f t="shared" si="3"/>
        <v>1</v>
      </c>
      <c r="AI52" s="452">
        <f>AH52/AG52*100</f>
        <v>4.1666666666666661</v>
      </c>
      <c r="AJ52" s="452">
        <f t="shared" si="32"/>
        <v>-23</v>
      </c>
      <c r="AK52" s="108">
        <v>3</v>
      </c>
      <c r="AL52" s="16"/>
      <c r="AM52" s="108"/>
      <c r="AN52" s="108"/>
      <c r="AO52" s="108">
        <v>3</v>
      </c>
      <c r="AP52" s="452"/>
      <c r="AQ52" s="108"/>
      <c r="AR52" s="108"/>
      <c r="AS52" s="108">
        <v>3</v>
      </c>
      <c r="AT52" s="452"/>
      <c r="AU52" s="108"/>
      <c r="AV52" s="108"/>
      <c r="AW52" s="108">
        <v>3</v>
      </c>
      <c r="AX52" s="16"/>
      <c r="AY52" s="108"/>
      <c r="AZ52" s="108"/>
      <c r="BA52" s="451">
        <f t="shared" si="8"/>
        <v>12</v>
      </c>
      <c r="BB52" s="15">
        <f t="shared" si="47"/>
        <v>0</v>
      </c>
      <c r="BC52" s="452"/>
      <c r="BD52" s="452"/>
      <c r="BE52" s="108">
        <v>3</v>
      </c>
      <c r="BF52" s="465"/>
      <c r="BG52" s="462"/>
      <c r="BH52" s="462"/>
      <c r="BI52" s="462">
        <v>3</v>
      </c>
      <c r="BJ52" s="465"/>
      <c r="BK52" s="462"/>
      <c r="BL52" s="462"/>
      <c r="BM52" s="462">
        <v>3</v>
      </c>
      <c r="BN52" s="465"/>
      <c r="BO52" s="462"/>
      <c r="BP52" s="462"/>
      <c r="BQ52" s="462"/>
      <c r="BR52" s="465"/>
      <c r="BS52" s="469">
        <v>0</v>
      </c>
      <c r="BT52" s="106">
        <f t="shared" si="19"/>
        <v>0</v>
      </c>
      <c r="BU52" s="108"/>
      <c r="BV52" s="452"/>
      <c r="BW52" s="108"/>
      <c r="BX52" s="122"/>
      <c r="BY52" s="462"/>
      <c r="BZ52" s="216"/>
      <c r="CA52" s="474"/>
      <c r="CB52" s="463">
        <f t="shared" si="27"/>
        <v>0</v>
      </c>
      <c r="CC52" s="463"/>
      <c r="CD52" s="475"/>
      <c r="CE52" s="463"/>
      <c r="CF52" s="463"/>
      <c r="CG52" s="463"/>
      <c r="CH52" s="475">
        <f>1.401+1.001</f>
        <v>2.4020000000000001</v>
      </c>
      <c r="CI52" s="463"/>
      <c r="CJ52" s="463"/>
      <c r="CK52" s="468">
        <f>AG52+BA52+BE52+BI52+BM52+BU52+BY52+CC52+BQ52+CG52</f>
        <v>45</v>
      </c>
      <c r="CL52" s="668">
        <f t="shared" si="76"/>
        <v>3.4020000000000001</v>
      </c>
      <c r="CM52" s="452">
        <f t="shared" si="13"/>
        <v>7.5600000000000005</v>
      </c>
      <c r="CN52" s="452">
        <f t="shared" si="14"/>
        <v>-41.597999999999999</v>
      </c>
      <c r="CP52" s="142">
        <f t="shared" si="67"/>
        <v>1</v>
      </c>
      <c r="CQ52" s="137">
        <f t="shared" si="68"/>
        <v>45</v>
      </c>
      <c r="CS52" s="146">
        <f t="shared" si="69"/>
        <v>1</v>
      </c>
      <c r="CT52" s="137">
        <f t="shared" si="21"/>
        <v>3.4020000000000001</v>
      </c>
      <c r="CU52" s="137">
        <f t="shared" si="22"/>
        <v>3.4020000000000001</v>
      </c>
      <c r="CV52" s="137">
        <f t="shared" si="23"/>
        <v>1</v>
      </c>
      <c r="CW52" s="137">
        <f t="shared" si="24"/>
        <v>45</v>
      </c>
      <c r="CX52" s="458"/>
      <c r="CY52" s="458"/>
    </row>
    <row r="53" spans="1:103" hidden="1">
      <c r="A53" s="122"/>
      <c r="B53" s="875" t="s">
        <v>241</v>
      </c>
      <c r="C53" s="876"/>
      <c r="D53" s="877"/>
      <c r="E53" s="108">
        <f t="shared" si="77"/>
        <v>0</v>
      </c>
      <c r="F53" s="16"/>
      <c r="G53" s="108"/>
      <c r="H53" s="108"/>
      <c r="I53" s="108"/>
      <c r="J53" s="16"/>
      <c r="K53" s="122"/>
      <c r="L53" s="122"/>
      <c r="M53" s="108"/>
      <c r="N53" s="16"/>
      <c r="O53" s="108"/>
      <c r="P53" s="122"/>
      <c r="Q53" s="108"/>
      <c r="R53" s="16"/>
      <c r="S53" s="108"/>
      <c r="T53" s="122"/>
      <c r="U53" s="108"/>
      <c r="V53" s="16"/>
      <c r="W53" s="122"/>
      <c r="X53" s="122"/>
      <c r="Y53" s="108"/>
      <c r="Z53" s="16"/>
      <c r="AA53" s="108"/>
      <c r="AB53" s="122"/>
      <c r="AC53" s="108"/>
      <c r="AD53" s="16"/>
      <c r="AE53" s="108"/>
      <c r="AF53" s="122"/>
      <c r="AG53" s="451">
        <f t="shared" si="3"/>
        <v>0</v>
      </c>
      <c r="AH53" s="452">
        <f t="shared" si="3"/>
        <v>0</v>
      </c>
      <c r="AI53" s="452" t="e">
        <f>AH53/AG53*100</f>
        <v>#DIV/0!</v>
      </c>
      <c r="AJ53" s="452">
        <f t="shared" si="32"/>
        <v>0</v>
      </c>
      <c r="AK53" s="108"/>
      <c r="AL53" s="16"/>
      <c r="AM53" s="108"/>
      <c r="AN53" s="108"/>
      <c r="AO53" s="108"/>
      <c r="AP53" s="452"/>
      <c r="AQ53" s="108"/>
      <c r="AR53" s="108"/>
      <c r="AS53" s="108"/>
      <c r="AT53" s="452"/>
      <c r="AU53" s="108"/>
      <c r="AV53" s="108"/>
      <c r="AW53" s="108"/>
      <c r="AX53" s="16"/>
      <c r="AY53" s="108"/>
      <c r="AZ53" s="108"/>
      <c r="BA53" s="451">
        <f t="shared" si="8"/>
        <v>0</v>
      </c>
      <c r="BB53" s="15">
        <f t="shared" si="47"/>
        <v>0</v>
      </c>
      <c r="BC53" s="452"/>
      <c r="BD53" s="452"/>
      <c r="BE53" s="108"/>
      <c r="BF53" s="465"/>
      <c r="BG53" s="462"/>
      <c r="BH53" s="462"/>
      <c r="BI53" s="462"/>
      <c r="BJ53" s="465"/>
      <c r="BK53" s="462"/>
      <c r="BL53" s="462"/>
      <c r="BM53" s="462"/>
      <c r="BN53" s="465"/>
      <c r="BO53" s="462"/>
      <c r="BP53" s="462"/>
      <c r="BQ53" s="462"/>
      <c r="BR53" s="465"/>
      <c r="BS53" s="469" t="e">
        <f t="shared" si="18"/>
        <v>#DIV/0!</v>
      </c>
      <c r="BT53" s="106">
        <f t="shared" si="19"/>
        <v>0</v>
      </c>
      <c r="BU53" s="108"/>
      <c r="BV53" s="452"/>
      <c r="BW53" s="108"/>
      <c r="BX53" s="122"/>
      <c r="BY53" s="462"/>
      <c r="BZ53" s="216"/>
      <c r="CA53" s="474"/>
      <c r="CB53" s="463"/>
      <c r="CC53" s="463"/>
      <c r="CD53" s="475"/>
      <c r="CE53" s="463"/>
      <c r="CF53" s="463"/>
      <c r="CG53" s="463"/>
      <c r="CH53" s="475"/>
      <c r="CI53" s="463"/>
      <c r="CJ53" s="463"/>
      <c r="CK53" s="468">
        <f t="shared" ref="CK53:CK55" si="78">AG53+BA53+BE53+BI53+BM53+BU53+BY53+CC53+BQ53+CG53</f>
        <v>0</v>
      </c>
      <c r="CL53" s="668">
        <f t="shared" si="76"/>
        <v>0</v>
      </c>
      <c r="CM53" s="452" t="e">
        <f t="shared" si="13"/>
        <v>#DIV/0!</v>
      </c>
      <c r="CN53" s="452">
        <f t="shared" si="14"/>
        <v>0</v>
      </c>
      <c r="CP53" s="142">
        <f t="shared" si="67"/>
        <v>0</v>
      </c>
      <c r="CQ53" s="137">
        <f t="shared" si="68"/>
        <v>0</v>
      </c>
      <c r="CS53" s="146">
        <f t="shared" si="69"/>
        <v>0</v>
      </c>
      <c r="CT53" s="137">
        <f t="shared" si="21"/>
        <v>0</v>
      </c>
      <c r="CU53" s="137">
        <f t="shared" si="22"/>
        <v>0</v>
      </c>
      <c r="CV53" s="137">
        <f t="shared" si="23"/>
        <v>0</v>
      </c>
      <c r="CW53" s="137">
        <f t="shared" si="24"/>
        <v>0</v>
      </c>
      <c r="CX53" s="458"/>
      <c r="CY53" s="458"/>
    </row>
    <row r="54" spans="1:103">
      <c r="A54" s="122"/>
      <c r="B54" s="562" t="s">
        <v>891</v>
      </c>
      <c r="C54" s="563"/>
      <c r="D54" s="564"/>
      <c r="E54" s="108"/>
      <c r="F54" s="16"/>
      <c r="G54" s="108"/>
      <c r="H54" s="108"/>
      <c r="I54" s="108"/>
      <c r="J54" s="16"/>
      <c r="K54" s="122"/>
      <c r="L54" s="122"/>
      <c r="M54" s="108"/>
      <c r="N54" s="16"/>
      <c r="O54" s="108"/>
      <c r="P54" s="122"/>
      <c r="Q54" s="108"/>
      <c r="R54" s="16"/>
      <c r="S54" s="108"/>
      <c r="T54" s="122"/>
      <c r="U54" s="108"/>
      <c r="V54" s="16"/>
      <c r="W54" s="122"/>
      <c r="X54" s="122"/>
      <c r="Y54" s="108"/>
      <c r="Z54" s="16"/>
      <c r="AA54" s="108"/>
      <c r="AB54" s="122"/>
      <c r="AC54" s="108"/>
      <c r="AD54" s="16"/>
      <c r="AE54" s="108"/>
      <c r="AF54" s="122"/>
      <c r="AG54" s="451"/>
      <c r="AH54" s="452"/>
      <c r="AI54" s="452"/>
      <c r="AJ54" s="452"/>
      <c r="AK54" s="108"/>
      <c r="AL54" s="16"/>
      <c r="AM54" s="108"/>
      <c r="AN54" s="108"/>
      <c r="AO54" s="108"/>
      <c r="AP54" s="452"/>
      <c r="AQ54" s="108"/>
      <c r="AR54" s="108"/>
      <c r="AS54" s="108"/>
      <c r="AT54" s="452"/>
      <c r="AU54" s="108"/>
      <c r="AV54" s="108"/>
      <c r="AW54" s="108"/>
      <c r="AX54" s="16"/>
      <c r="AY54" s="108"/>
      <c r="AZ54" s="108"/>
      <c r="BA54" s="451"/>
      <c r="BB54" s="15"/>
      <c r="BC54" s="452"/>
      <c r="BD54" s="452"/>
      <c r="BE54" s="108"/>
      <c r="BF54" s="465"/>
      <c r="BG54" s="462"/>
      <c r="BH54" s="462"/>
      <c r="BI54" s="462"/>
      <c r="BJ54" s="465"/>
      <c r="BK54" s="462"/>
      <c r="BL54" s="462"/>
      <c r="BM54" s="462"/>
      <c r="BN54" s="465"/>
      <c r="BO54" s="462"/>
      <c r="BP54" s="462"/>
      <c r="BQ54" s="462"/>
      <c r="BR54" s="465"/>
      <c r="BS54" s="469"/>
      <c r="BT54" s="106"/>
      <c r="BU54" s="108"/>
      <c r="BV54" s="452"/>
      <c r="BW54" s="108"/>
      <c r="BX54" s="122"/>
      <c r="BY54" s="462"/>
      <c r="BZ54" s="216"/>
      <c r="CA54" s="474"/>
      <c r="CB54" s="463"/>
      <c r="CC54" s="463"/>
      <c r="CD54" s="475"/>
      <c r="CE54" s="463"/>
      <c r="CF54" s="463"/>
      <c r="CG54" s="463">
        <v>75</v>
      </c>
      <c r="CH54" s="475"/>
      <c r="CI54" s="463"/>
      <c r="CJ54" s="463"/>
      <c r="CK54" s="468">
        <f t="shared" si="78"/>
        <v>75</v>
      </c>
      <c r="CL54" s="668">
        <f t="shared" si="76"/>
        <v>0</v>
      </c>
      <c r="CM54" s="452">
        <v>0</v>
      </c>
      <c r="CN54" s="452">
        <f t="shared" si="14"/>
        <v>-75</v>
      </c>
      <c r="CP54" s="142"/>
      <c r="CQ54" s="137"/>
      <c r="CS54" s="146"/>
      <c r="CT54" s="137"/>
      <c r="CU54" s="137"/>
      <c r="CV54" s="137"/>
      <c r="CW54" s="137"/>
      <c r="CX54" s="458"/>
      <c r="CY54" s="458"/>
    </row>
    <row r="55" spans="1:103" ht="16.5" customHeight="1">
      <c r="A55" s="122"/>
      <c r="B55" s="893" t="s">
        <v>210</v>
      </c>
      <c r="C55" s="894"/>
      <c r="D55" s="895"/>
      <c r="E55" s="108">
        <f t="shared" si="77"/>
        <v>0</v>
      </c>
      <c r="F55" s="16"/>
      <c r="G55" s="108"/>
      <c r="H55" s="108"/>
      <c r="I55" s="108"/>
      <c r="J55" s="16"/>
      <c r="K55" s="122"/>
      <c r="L55" s="122"/>
      <c r="M55" s="108"/>
      <c r="N55" s="16"/>
      <c r="O55" s="108"/>
      <c r="P55" s="122">
        <f t="shared" si="29"/>
        <v>0</v>
      </c>
      <c r="Q55" s="108"/>
      <c r="R55" s="16"/>
      <c r="S55" s="108"/>
      <c r="T55" s="108">
        <f>R55-Q55</f>
        <v>0</v>
      </c>
      <c r="U55" s="108"/>
      <c r="V55" s="16"/>
      <c r="W55" s="122"/>
      <c r="X55" s="122">
        <f>V55-U55</f>
        <v>0</v>
      </c>
      <c r="Y55" s="108"/>
      <c r="Z55" s="16"/>
      <c r="AA55" s="108"/>
      <c r="AB55" s="122">
        <f t="shared" ref="AB55:AB75" si="79">Z55-Y55</f>
        <v>0</v>
      </c>
      <c r="AC55" s="108"/>
      <c r="AD55" s="16"/>
      <c r="AE55" s="108"/>
      <c r="AF55" s="122">
        <f>AD55-AC55</f>
        <v>0</v>
      </c>
      <c r="AG55" s="451">
        <f t="shared" si="3"/>
        <v>0</v>
      </c>
      <c r="AH55" s="452">
        <f t="shared" si="3"/>
        <v>0</v>
      </c>
      <c r="AI55" s="452"/>
      <c r="AJ55" s="452">
        <f t="shared" si="32"/>
        <v>0</v>
      </c>
      <c r="AK55" s="108"/>
      <c r="AL55" s="16"/>
      <c r="AM55" s="108"/>
      <c r="AN55" s="108"/>
      <c r="AO55" s="108"/>
      <c r="AP55" s="452"/>
      <c r="AQ55" s="108"/>
      <c r="AR55" s="108"/>
      <c r="AS55" s="108"/>
      <c r="AT55" s="452"/>
      <c r="AU55" s="108"/>
      <c r="AV55" s="108"/>
      <c r="AW55" s="108"/>
      <c r="AX55" s="16"/>
      <c r="AY55" s="108"/>
      <c r="AZ55" s="108"/>
      <c r="BA55" s="451">
        <f t="shared" si="8"/>
        <v>0</v>
      </c>
      <c r="BB55" s="15">
        <f t="shared" si="47"/>
        <v>0</v>
      </c>
      <c r="BC55" s="452"/>
      <c r="BD55" s="452"/>
      <c r="BE55" s="108"/>
      <c r="BF55" s="465"/>
      <c r="BG55" s="462"/>
      <c r="BH55" s="462"/>
      <c r="BI55" s="462"/>
      <c r="BJ55" s="465"/>
      <c r="BK55" s="462"/>
      <c r="BL55" s="462"/>
      <c r="BM55" s="462"/>
      <c r="BN55" s="465"/>
      <c r="BO55" s="462"/>
      <c r="BP55" s="462"/>
      <c r="BQ55" s="462"/>
      <c r="BR55" s="465"/>
      <c r="BS55" s="469">
        <v>0</v>
      </c>
      <c r="BT55" s="106">
        <f t="shared" si="19"/>
        <v>0</v>
      </c>
      <c r="BU55" s="108"/>
      <c r="BV55" s="452"/>
      <c r="BW55" s="108"/>
      <c r="BX55" s="122">
        <f t="shared" ref="BX55:BX67" si="80">BV55-BU55</f>
        <v>0</v>
      </c>
      <c r="BY55" s="465">
        <v>300</v>
      </c>
      <c r="BZ55" s="216"/>
      <c r="CA55" s="462"/>
      <c r="CB55" s="463">
        <f t="shared" si="27"/>
        <v>-300</v>
      </c>
      <c r="CC55" s="463"/>
      <c r="CD55" s="475"/>
      <c r="CE55" s="463"/>
      <c r="CF55" s="463"/>
      <c r="CG55" s="463"/>
      <c r="CH55" s="475"/>
      <c r="CI55" s="463"/>
      <c r="CJ55" s="463"/>
      <c r="CK55" s="468">
        <f t="shared" si="78"/>
        <v>300</v>
      </c>
      <c r="CL55" s="668">
        <f t="shared" si="76"/>
        <v>0</v>
      </c>
      <c r="CM55" s="452">
        <f t="shared" si="13"/>
        <v>0</v>
      </c>
      <c r="CN55" s="452">
        <f t="shared" si="14"/>
        <v>-300</v>
      </c>
      <c r="CP55" s="142">
        <f t="shared" si="67"/>
        <v>0</v>
      </c>
      <c r="CQ55" s="137">
        <f t="shared" si="68"/>
        <v>300</v>
      </c>
      <c r="CS55" s="146">
        <f t="shared" si="69"/>
        <v>0</v>
      </c>
      <c r="CT55" s="137">
        <f t="shared" si="21"/>
        <v>0</v>
      </c>
      <c r="CU55" s="137">
        <f t="shared" si="22"/>
        <v>0</v>
      </c>
      <c r="CV55" s="137">
        <f t="shared" si="23"/>
        <v>0</v>
      </c>
      <c r="CW55" s="137">
        <f t="shared" si="24"/>
        <v>300</v>
      </c>
      <c r="CX55" s="458"/>
      <c r="CY55" s="458"/>
    </row>
    <row r="56" spans="1:103" s="594" customFormat="1" ht="27" customHeight="1">
      <c r="A56" s="548">
        <v>300</v>
      </c>
      <c r="B56" s="1023" t="s">
        <v>217</v>
      </c>
      <c r="C56" s="1024"/>
      <c r="D56" s="1025"/>
      <c r="E56" s="549">
        <f>E57+E65</f>
        <v>1532</v>
      </c>
      <c r="F56" s="550">
        <f>F57+F65</f>
        <v>450.80149999999998</v>
      </c>
      <c r="G56" s="549">
        <f>F56/E56*100</f>
        <v>29.425685378590078</v>
      </c>
      <c r="H56" s="551">
        <f>F56-E56</f>
        <v>-1081.1985</v>
      </c>
      <c r="I56" s="549">
        <f>I57+I65</f>
        <v>3457</v>
      </c>
      <c r="J56" s="550">
        <f>J57+J65</f>
        <v>1000.1176200000001</v>
      </c>
      <c r="K56" s="549">
        <f>J56/I56*100</f>
        <v>28.930217529649987</v>
      </c>
      <c r="L56" s="552">
        <f t="shared" ref="L56:L75" si="81">J56-I56</f>
        <v>-2456.88238</v>
      </c>
      <c r="M56" s="549">
        <f>M57+M65</f>
        <v>6662</v>
      </c>
      <c r="N56" s="550">
        <f>N57+N65</f>
        <v>2130.2850199999998</v>
      </c>
      <c r="O56" s="549">
        <f t="shared" ref="O56:O69" si="82">N56/M56*100</f>
        <v>31.976658961272886</v>
      </c>
      <c r="P56" s="552">
        <f t="shared" si="29"/>
        <v>-4531.7149800000007</v>
      </c>
      <c r="Q56" s="549">
        <f>Q57+Q65</f>
        <v>5594</v>
      </c>
      <c r="R56" s="550">
        <f>R57+R65</f>
        <v>2073.3100999999997</v>
      </c>
      <c r="S56" s="549">
        <f t="shared" ref="S56:S67" si="83">R56/Q56*100</f>
        <v>37.063105112620661</v>
      </c>
      <c r="T56" s="549">
        <f>R56-Q56</f>
        <v>-3520.6899000000003</v>
      </c>
      <c r="U56" s="549">
        <f>U57+U65</f>
        <v>1352</v>
      </c>
      <c r="V56" s="550">
        <f>V57+V65</f>
        <v>250.57500000000002</v>
      </c>
      <c r="W56" s="549">
        <f>V56/U56*100</f>
        <v>18.533653846153847</v>
      </c>
      <c r="X56" s="552">
        <f>V56-U56</f>
        <v>-1101.425</v>
      </c>
      <c r="Y56" s="549">
        <f>Y57+Y65</f>
        <v>4552</v>
      </c>
      <c r="Z56" s="550">
        <f>Z57+Z65</f>
        <v>1450.93913</v>
      </c>
      <c r="AA56" s="549">
        <f t="shared" ref="AA56:AA69" si="84">Z56/Y56*100</f>
        <v>31.874761203866431</v>
      </c>
      <c r="AB56" s="552">
        <f t="shared" si="79"/>
        <v>-3101.0608700000003</v>
      </c>
      <c r="AC56" s="549">
        <f>AC57+AC65</f>
        <v>3457</v>
      </c>
      <c r="AD56" s="550">
        <f>AD57+AD65</f>
        <v>1157.9928</v>
      </c>
      <c r="AE56" s="549">
        <f t="shared" ref="AE56:AE68" si="85">AD56/AC56*100</f>
        <v>33.497043679490886</v>
      </c>
      <c r="AF56" s="552">
        <f>AD56-AC56</f>
        <v>-2299.0072</v>
      </c>
      <c r="AG56" s="549">
        <f t="shared" si="3"/>
        <v>26606</v>
      </c>
      <c r="AH56" s="550">
        <f>AH57+AH65</f>
        <v>8514.02117</v>
      </c>
      <c r="AI56" s="549">
        <f t="shared" ref="AI56:AI76" si="86">AH56/AG56*100</f>
        <v>32.000380252574608</v>
      </c>
      <c r="AJ56" s="552">
        <f t="shared" si="32"/>
        <v>-18091.97883</v>
      </c>
      <c r="AK56" s="549">
        <f>AK57+AK65</f>
        <v>502</v>
      </c>
      <c r="AL56" s="550">
        <f>AL57+AL65</f>
        <v>209.66871</v>
      </c>
      <c r="AM56" s="549">
        <f>AL56/AK56*100</f>
        <v>41.766675298804785</v>
      </c>
      <c r="AN56" s="551">
        <f>AL56-AK56</f>
        <v>-292.33128999999997</v>
      </c>
      <c r="AO56" s="549">
        <f>AO57+AO65</f>
        <v>137</v>
      </c>
      <c r="AP56" s="550">
        <f>AP57+AP65</f>
        <v>9.35</v>
      </c>
      <c r="AQ56" s="549">
        <f>AP56/AO56*100</f>
        <v>6.8248175182481745</v>
      </c>
      <c r="AR56" s="551">
        <f>AP56-AO56</f>
        <v>-127.65</v>
      </c>
      <c r="AS56" s="549">
        <f>AS57+AS65</f>
        <v>427</v>
      </c>
      <c r="AT56" s="550">
        <f>AT57+AT65</f>
        <v>241.61275999999998</v>
      </c>
      <c r="AU56" s="549">
        <f t="shared" ref="AU56:AU66" si="87">AT56/AS56*100</f>
        <v>56.583784543325521</v>
      </c>
      <c r="AV56" s="551">
        <f t="shared" ref="AV56:AV75" si="88">AT56-AS56</f>
        <v>-185.38724000000002</v>
      </c>
      <c r="AW56" s="549">
        <f>AW57+AW65</f>
        <v>397</v>
      </c>
      <c r="AX56" s="550">
        <f>AX57+AX65</f>
        <v>193.50645</v>
      </c>
      <c r="AY56" s="549">
        <f>AX56/AW56*100</f>
        <v>48.742178841309823</v>
      </c>
      <c r="AZ56" s="551">
        <f>AX56-AW56</f>
        <v>-203.49355</v>
      </c>
      <c r="BA56" s="549">
        <f t="shared" si="8"/>
        <v>1463</v>
      </c>
      <c r="BB56" s="550">
        <f>BB57+BB65</f>
        <v>654.13792000000001</v>
      </c>
      <c r="BC56" s="549">
        <f>BB56/BA56*100</f>
        <v>44.712092959671907</v>
      </c>
      <c r="BD56" s="551">
        <f>BB56-BA56</f>
        <v>-808.86207999999999</v>
      </c>
      <c r="BE56" s="549">
        <f>BE57+BE65</f>
        <v>67</v>
      </c>
      <c r="BF56" s="550">
        <f>BF57+BF65</f>
        <v>25.401000000000003</v>
      </c>
      <c r="BG56" s="553">
        <f>BF56/BE56*100</f>
        <v>37.911940298507467</v>
      </c>
      <c r="BH56" s="554">
        <f>BF56-BE56</f>
        <v>-41.598999999999997</v>
      </c>
      <c r="BI56" s="553">
        <f>BI57+BI65</f>
        <v>32</v>
      </c>
      <c r="BJ56" s="550">
        <f>BJ57</f>
        <v>0</v>
      </c>
      <c r="BK56" s="553">
        <f>BJ56/BI56*100</f>
        <v>0</v>
      </c>
      <c r="BL56" s="554">
        <f>BJ56-BI56</f>
        <v>-32</v>
      </c>
      <c r="BM56" s="553">
        <f>BM57+BM65</f>
        <v>47</v>
      </c>
      <c r="BN56" s="550">
        <f>BN57+BN65</f>
        <v>6.12</v>
      </c>
      <c r="BO56" s="553">
        <f>BN56/BM56*100</f>
        <v>13.021276595744682</v>
      </c>
      <c r="BP56" s="554">
        <f t="shared" ref="BP56:BP75" si="89">BN56-BM56</f>
        <v>-40.880000000000003</v>
      </c>
      <c r="BQ56" s="553">
        <f>BQ57+BQ65</f>
        <v>685</v>
      </c>
      <c r="BR56" s="550">
        <f>BR57</f>
        <v>0</v>
      </c>
      <c r="BS56" s="553">
        <f t="shared" si="18"/>
        <v>0</v>
      </c>
      <c r="BT56" s="549">
        <f t="shared" si="19"/>
        <v>-685</v>
      </c>
      <c r="BU56" s="549">
        <f>BU57+BU65</f>
        <v>14.3</v>
      </c>
      <c r="BV56" s="549">
        <f>BV57+BV65</f>
        <v>5.9215999999999998</v>
      </c>
      <c r="BW56" s="549">
        <f t="shared" ref="BW56:BW67" si="90">BV56/BU56*100</f>
        <v>41.409790209790202</v>
      </c>
      <c r="BX56" s="552">
        <f t="shared" si="80"/>
        <v>-8.378400000000001</v>
      </c>
      <c r="BY56" s="553">
        <f>BY57+BY65</f>
        <v>805</v>
      </c>
      <c r="BZ56" s="555">
        <f>BZ57+BZ65</f>
        <v>246.8605</v>
      </c>
      <c r="CA56" s="556">
        <f>BZ56/BY56*100</f>
        <v>30.665900621118013</v>
      </c>
      <c r="CB56" s="557">
        <f t="shared" si="27"/>
        <v>-558.1395</v>
      </c>
      <c r="CC56" s="553">
        <f>CC57+CC65</f>
        <v>16.5</v>
      </c>
      <c r="CD56" s="553">
        <f>CD57+CD65</f>
        <v>12.059999999999999</v>
      </c>
      <c r="CE56" s="556">
        <f>CD56/CC56*100</f>
        <v>73.090909090909079</v>
      </c>
      <c r="CF56" s="557">
        <f>CD56-CC56</f>
        <v>-4.4400000000000013</v>
      </c>
      <c r="CG56" s="553">
        <f>CG57+CG65</f>
        <v>795</v>
      </c>
      <c r="CH56" s="553">
        <f>CH57+CH65</f>
        <v>429.63400000000001</v>
      </c>
      <c r="CI56" s="556">
        <f>CH56/CG56*100</f>
        <v>54.042012578616351</v>
      </c>
      <c r="CJ56" s="557">
        <f>CH56-CG56</f>
        <v>-365.36599999999999</v>
      </c>
      <c r="CK56" s="555">
        <f>CK57+CK65</f>
        <v>30530.799999999999</v>
      </c>
      <c r="CL56" s="671">
        <f>+CL57+CL65</f>
        <v>9894.1561899999997</v>
      </c>
      <c r="CM56" s="549">
        <f t="shared" si="13"/>
        <v>32.407130471523836</v>
      </c>
      <c r="CN56" s="549">
        <f t="shared" si="14"/>
        <v>-20636.643810000001</v>
      </c>
      <c r="CP56" s="593">
        <f t="shared" si="67"/>
        <v>9464.5221900000015</v>
      </c>
      <c r="CQ56" s="593">
        <f t="shared" si="68"/>
        <v>29050.800000000003</v>
      </c>
      <c r="CS56" s="593">
        <f t="shared" si="69"/>
        <v>9464.5221900000015</v>
      </c>
      <c r="CT56" s="593">
        <f t="shared" si="21"/>
        <v>9894.1561900000015</v>
      </c>
      <c r="CU56" s="593">
        <f t="shared" si="22"/>
        <v>9894.1561900000015</v>
      </c>
      <c r="CV56" s="593">
        <f t="shared" si="23"/>
        <v>9199.6800900000017</v>
      </c>
      <c r="CW56" s="593">
        <f t="shared" si="24"/>
        <v>30530.799999999999</v>
      </c>
      <c r="CX56" s="593"/>
      <c r="CY56" s="593"/>
    </row>
    <row r="57" spans="1:103" s="145" customFormat="1">
      <c r="A57" s="127"/>
      <c r="B57" s="872" t="s">
        <v>863</v>
      </c>
      <c r="C57" s="873"/>
      <c r="D57" s="874"/>
      <c r="E57" s="194">
        <f>SUM(E58:E64)</f>
        <v>160</v>
      </c>
      <c r="F57" s="194">
        <f>SUM(F58:F64)</f>
        <v>0</v>
      </c>
      <c r="G57" s="118">
        <v>0</v>
      </c>
      <c r="H57" s="118">
        <f>F57-E57</f>
        <v>-160</v>
      </c>
      <c r="I57" s="194">
        <f>SUM(I58:I64)</f>
        <v>200</v>
      </c>
      <c r="J57" s="194">
        <f>SUM(J58:J64)</f>
        <v>71.5</v>
      </c>
      <c r="K57" s="118"/>
      <c r="L57" s="134">
        <f t="shared" si="81"/>
        <v>-128.5</v>
      </c>
      <c r="M57" s="194">
        <f>SUM(M58:M64)</f>
        <v>300</v>
      </c>
      <c r="N57" s="194">
        <f>SUM(N58:N64)</f>
        <v>53.19</v>
      </c>
      <c r="O57" s="118">
        <v>0</v>
      </c>
      <c r="P57" s="118">
        <f t="shared" si="29"/>
        <v>-246.81</v>
      </c>
      <c r="Q57" s="194">
        <f>SUM(Q58:Q64)</f>
        <v>200</v>
      </c>
      <c r="R57" s="194">
        <f>SUM(R58:R64)</f>
        <v>136.09399999999999</v>
      </c>
      <c r="S57" s="118"/>
      <c r="T57" s="118">
        <f>R57-Q57</f>
        <v>-63.906000000000006</v>
      </c>
      <c r="U57" s="194">
        <f>SUM(U58:U64)</f>
        <v>150</v>
      </c>
      <c r="V57" s="194">
        <f>SUM(V58:V64)</f>
        <v>27</v>
      </c>
      <c r="W57" s="118"/>
      <c r="X57" s="118">
        <f>V57-U57</f>
        <v>-123</v>
      </c>
      <c r="Y57" s="194">
        <f>SUM(Y58:Y64)</f>
        <v>200</v>
      </c>
      <c r="Z57" s="194">
        <f>SUM(Z58:Z64)</f>
        <v>58.26</v>
      </c>
      <c r="AA57" s="565"/>
      <c r="AB57" s="134">
        <f t="shared" si="79"/>
        <v>-141.74</v>
      </c>
      <c r="AC57" s="194">
        <f>SUM(AC58:AC64)</f>
        <v>100</v>
      </c>
      <c r="AD57" s="194">
        <f>SUM(AD58:AD64)</f>
        <v>111.2</v>
      </c>
      <c r="AE57" s="118"/>
      <c r="AF57" s="118">
        <f>AD57-AC57</f>
        <v>11.200000000000003</v>
      </c>
      <c r="AG57" s="113">
        <f t="shared" si="3"/>
        <v>1310</v>
      </c>
      <c r="AH57" s="194">
        <f>+F57+J57+N57+R57+V57+Z57+AD57</f>
        <v>457.24399999999997</v>
      </c>
      <c r="AI57" s="118"/>
      <c r="AJ57" s="127">
        <f t="shared" si="32"/>
        <v>-852.75600000000009</v>
      </c>
      <c r="AK57" s="194">
        <f>SUM(AK58:AK64)</f>
        <v>50</v>
      </c>
      <c r="AL57" s="194">
        <f>SUM(AL58:AL64)</f>
        <v>64.240000000000009</v>
      </c>
      <c r="AM57" s="118">
        <f>AL57/AK57*100</f>
        <v>128.48000000000002</v>
      </c>
      <c r="AN57" s="118">
        <f>AL57-AK57</f>
        <v>14.240000000000009</v>
      </c>
      <c r="AO57" s="194">
        <f>SUM(AO58:AO64)</f>
        <v>0</v>
      </c>
      <c r="AP57" s="194">
        <f>SUM(AP58:AP64)</f>
        <v>0</v>
      </c>
      <c r="AQ57" s="118"/>
      <c r="AR57" s="118">
        <f>AP57-AO57</f>
        <v>0</v>
      </c>
      <c r="AS57" s="194">
        <f>SUM(AS58:AS64)</f>
        <v>0</v>
      </c>
      <c r="AT57" s="194">
        <f>SUM(AT58:AT64)</f>
        <v>0</v>
      </c>
      <c r="AU57" s="118"/>
      <c r="AV57" s="118">
        <f t="shared" si="88"/>
        <v>0</v>
      </c>
      <c r="AW57" s="118">
        <f>AW58+AW63</f>
        <v>0</v>
      </c>
      <c r="AX57" s="194">
        <f>SUM(AX58:AX64)</f>
        <v>40.620000000000005</v>
      </c>
      <c r="AY57" s="118"/>
      <c r="AZ57" s="118">
        <f>AX57-AW57</f>
        <v>40.620000000000005</v>
      </c>
      <c r="BA57" s="113">
        <f t="shared" si="8"/>
        <v>50</v>
      </c>
      <c r="BB57" s="78">
        <f t="shared" si="47"/>
        <v>104.86000000000001</v>
      </c>
      <c r="BC57" s="118"/>
      <c r="BD57" s="118">
        <f>BB57-BA57</f>
        <v>54.860000000000014</v>
      </c>
      <c r="BE57" s="118">
        <f>BE58+BE63</f>
        <v>0</v>
      </c>
      <c r="BF57" s="472">
        <f>SUM(BF58:BF64)</f>
        <v>0</v>
      </c>
      <c r="BG57" s="472"/>
      <c r="BH57" s="472">
        <f>BF57-BE57</f>
        <v>0</v>
      </c>
      <c r="BI57" s="472">
        <f>BI58+BI63</f>
        <v>0</v>
      </c>
      <c r="BJ57" s="472">
        <f>BJ58+BJ64</f>
        <v>0</v>
      </c>
      <c r="BK57" s="472"/>
      <c r="BL57" s="472">
        <f>BJ57-BI57</f>
        <v>0</v>
      </c>
      <c r="BM57" s="472">
        <f>BM58+BM63</f>
        <v>0</v>
      </c>
      <c r="BN57" s="472">
        <f>BN58+BN64</f>
        <v>0</v>
      </c>
      <c r="BO57" s="472"/>
      <c r="BP57" s="472">
        <f t="shared" si="89"/>
        <v>0</v>
      </c>
      <c r="BQ57" s="194">
        <f>SUM(BQ58:BQ64)</f>
        <v>100</v>
      </c>
      <c r="BR57" s="472">
        <f>BR58+BR64</f>
        <v>0</v>
      </c>
      <c r="BS57" s="466">
        <v>0</v>
      </c>
      <c r="BT57" s="113">
        <f t="shared" si="19"/>
        <v>-100</v>
      </c>
      <c r="BU57" s="118">
        <f>BU58+BU64</f>
        <v>9</v>
      </c>
      <c r="BV57" s="118">
        <f>BV58+BV64</f>
        <v>0</v>
      </c>
      <c r="BW57" s="118"/>
      <c r="BX57" s="127">
        <f t="shared" si="80"/>
        <v>-9</v>
      </c>
      <c r="BY57" s="585">
        <f>BY58+BY64</f>
        <v>200</v>
      </c>
      <c r="BZ57" s="585">
        <f>BZ58+BZ64</f>
        <v>84.676000000000002</v>
      </c>
      <c r="CA57" s="478">
        <v>0</v>
      </c>
      <c r="CB57" s="479">
        <f t="shared" si="27"/>
        <v>-115.324</v>
      </c>
      <c r="CC57" s="585">
        <f>CC58+CC64</f>
        <v>8</v>
      </c>
      <c r="CD57" s="472">
        <f>CD58+CD63</f>
        <v>0</v>
      </c>
      <c r="CE57" s="478">
        <f>CD57/CC57*100</f>
        <v>0</v>
      </c>
      <c r="CF57" s="479">
        <f>CD57-CC57</f>
        <v>-8</v>
      </c>
      <c r="CG57" s="585">
        <f>CG58+CG64</f>
        <v>195</v>
      </c>
      <c r="CH57" s="472">
        <f>SUM(CH58:CH64)</f>
        <v>57.023000000000003</v>
      </c>
      <c r="CI57" s="478">
        <f>CH57/CG57*100</f>
        <v>29.242564102564106</v>
      </c>
      <c r="CJ57" s="479">
        <f>CH57-CG57</f>
        <v>-137.977</v>
      </c>
      <c r="CK57" s="585">
        <f>CK58+CK64</f>
        <v>1872</v>
      </c>
      <c r="CL57" s="672">
        <f>AH57+BB57+BF57+BJ57+BN57+BR57+BV57+BZ57+CD57+CH57</f>
        <v>703.80300000000011</v>
      </c>
      <c r="CM57" s="118">
        <f t="shared" si="13"/>
        <v>37.596314102564108</v>
      </c>
      <c r="CN57" s="118">
        <f t="shared" si="14"/>
        <v>-1168.1969999999999</v>
      </c>
      <c r="CP57" s="137">
        <f>F57+J57+N57+R57+V57+Z57+AD57+AL57+AP57+AT57+AX57+BF57+BJ57+BN57+BV57+BZ57+CD57</f>
        <v>646.78</v>
      </c>
      <c r="CQ57" s="137">
        <f t="shared" si="68"/>
        <v>1577</v>
      </c>
      <c r="CS57" s="137">
        <f>F57+J57+N57+R57+V57+Z57+AD57+AL57+AP57+AT57+AX57+BF57+BJ57+BN57+BV57+BZ57+CD57</f>
        <v>646.78</v>
      </c>
      <c r="CT57" s="137">
        <f>F57+J57+N57+R57+V57+Z57+AD57+AL57+AP57+AT57+AX57+BF57+BJ57+BN57+BR57+BV57+BZ57+CD57+CH57</f>
        <v>703.803</v>
      </c>
      <c r="CU57" s="137">
        <f>F57+J57+N57+R57+V57+Z57+AD57+AL57+AP57+AT57+AX57+BF57+BJ57+BN57+BV57+BZ57+CD57+CH57</f>
        <v>703.803</v>
      </c>
      <c r="CV57" s="137">
        <f t="shared" si="23"/>
        <v>562.10399999999993</v>
      </c>
      <c r="CW57" s="137">
        <f t="shared" si="24"/>
        <v>1872</v>
      </c>
      <c r="CX57" s="137"/>
      <c r="CY57" s="137"/>
    </row>
    <row r="58" spans="1:103">
      <c r="A58" s="122"/>
      <c r="B58" s="1026" t="s">
        <v>864</v>
      </c>
      <c r="C58" s="1027"/>
      <c r="D58" s="1028"/>
      <c r="E58" s="108"/>
      <c r="F58" s="16"/>
      <c r="G58" s="453">
        <v>0</v>
      </c>
      <c r="H58" s="108">
        <f>F58-E58</f>
        <v>0</v>
      </c>
      <c r="I58" s="108"/>
      <c r="J58" s="16"/>
      <c r="K58" s="108"/>
      <c r="L58" s="122">
        <f t="shared" si="81"/>
        <v>0</v>
      </c>
      <c r="M58" s="108"/>
      <c r="N58" s="216"/>
      <c r="O58" s="464">
        <v>0</v>
      </c>
      <c r="P58" s="464">
        <f t="shared" si="29"/>
        <v>0</v>
      </c>
      <c r="Q58" s="462"/>
      <c r="R58" s="216"/>
      <c r="S58" s="462"/>
      <c r="T58" s="464">
        <f>R58-Q58</f>
        <v>0</v>
      </c>
      <c r="U58" s="462"/>
      <c r="V58" s="216"/>
      <c r="W58" s="462"/>
      <c r="X58" s="463">
        <f>V58-U58</f>
        <v>0</v>
      </c>
      <c r="Y58" s="462"/>
      <c r="Z58" s="216"/>
      <c r="AA58" s="462"/>
      <c r="AB58" s="463">
        <f t="shared" si="79"/>
        <v>0</v>
      </c>
      <c r="AC58" s="462"/>
      <c r="AD58" s="216"/>
      <c r="AE58" s="462"/>
      <c r="AF58" s="122">
        <f>AD58-AC58</f>
        <v>0</v>
      </c>
      <c r="AG58" s="451">
        <f t="shared" si="3"/>
        <v>0</v>
      </c>
      <c r="AH58" s="590">
        <f t="shared" ref="AH58:AH64" si="91">+F58+J58+N58+R58+V58+Z58+AD58</f>
        <v>0</v>
      </c>
      <c r="AI58" s="453"/>
      <c r="AJ58" s="461">
        <f t="shared" si="32"/>
        <v>0</v>
      </c>
      <c r="AK58" s="108"/>
      <c r="AL58" s="16"/>
      <c r="AM58" s="108"/>
      <c r="AN58" s="108">
        <f>AL58-AK58</f>
        <v>0</v>
      </c>
      <c r="AO58" s="108"/>
      <c r="AP58" s="465"/>
      <c r="AQ58" s="462"/>
      <c r="AR58" s="462">
        <f>AP58-AO58</f>
        <v>0</v>
      </c>
      <c r="AS58" s="462"/>
      <c r="AT58" s="465"/>
      <c r="AU58" s="108"/>
      <c r="AV58" s="108">
        <f t="shared" si="88"/>
        <v>0</v>
      </c>
      <c r="AW58" s="108"/>
      <c r="AX58" s="216"/>
      <c r="AY58" s="108"/>
      <c r="AZ58" s="108">
        <f>AX58-AW58</f>
        <v>0</v>
      </c>
      <c r="BA58" s="451">
        <f t="shared" si="8"/>
        <v>0</v>
      </c>
      <c r="BB58" s="15">
        <f t="shared" si="47"/>
        <v>0</v>
      </c>
      <c r="BC58" s="452"/>
      <c r="BD58" s="452">
        <f>BB58-BA58</f>
        <v>0</v>
      </c>
      <c r="BE58" s="108"/>
      <c r="BF58" s="465"/>
      <c r="BG58" s="462"/>
      <c r="BH58" s="462">
        <f>BF58-BE58</f>
        <v>0</v>
      </c>
      <c r="BI58" s="462"/>
      <c r="BJ58" s="465"/>
      <c r="BK58" s="462"/>
      <c r="BL58" s="462">
        <f>BJ58-BI58</f>
        <v>0</v>
      </c>
      <c r="BM58" s="462"/>
      <c r="BN58" s="465"/>
      <c r="BO58" s="482"/>
      <c r="BP58" s="462">
        <f t="shared" si="89"/>
        <v>0</v>
      </c>
      <c r="BQ58" s="462"/>
      <c r="BR58" s="465"/>
      <c r="BS58" s="469">
        <v>0</v>
      </c>
      <c r="BT58" s="106">
        <f t="shared" si="19"/>
        <v>0</v>
      </c>
      <c r="BU58" s="108"/>
      <c r="BV58" s="452"/>
      <c r="BW58" s="108"/>
      <c r="BX58" s="122">
        <f t="shared" si="80"/>
        <v>0</v>
      </c>
      <c r="BY58" s="462"/>
      <c r="BZ58" s="216"/>
      <c r="CA58" s="474">
        <v>0</v>
      </c>
      <c r="CB58" s="463">
        <f t="shared" si="27"/>
        <v>0</v>
      </c>
      <c r="CC58" s="475"/>
      <c r="CD58" s="475"/>
      <c r="CE58" s="463"/>
      <c r="CF58" s="463"/>
      <c r="CG58" s="463"/>
      <c r="CH58" s="617"/>
      <c r="CI58" s="463"/>
      <c r="CJ58" s="463"/>
      <c r="CK58" s="468">
        <f>+AG58+BA58+BE58+BI58+BM58+BQ58+BU58+BY58+CC58+CG58</f>
        <v>0</v>
      </c>
      <c r="CL58" s="668">
        <f>AH58+BB58+BF58+BJ58+BN58+BR58+BV58+BZ58+CD58+CH58</f>
        <v>0</v>
      </c>
      <c r="CM58" s="453">
        <v>0</v>
      </c>
      <c r="CN58" s="452">
        <f t="shared" si="14"/>
        <v>0</v>
      </c>
      <c r="CO58" s="112">
        <v>60</v>
      </c>
      <c r="CP58" s="142">
        <f>F58+J58+N58+R58+V58+Z58+AD58+AL58+AP58+AT58+AX58+BF58+BJ58+BN58+BV58+BZ58+CD58</f>
        <v>0</v>
      </c>
      <c r="CQ58" s="137">
        <f t="shared" si="68"/>
        <v>0</v>
      </c>
      <c r="CS58" s="146">
        <f>F58+J58+N58+R58+V58+Z58+AD58+AL58+AP58+AT58+AX58+BF58+BJ58+BN58+BV58+BZ58+CD58</f>
        <v>0</v>
      </c>
      <c r="CT58" s="137">
        <f>F58+J58+N58+R58+V58+Z58+AD58+AL58+AP58+AT58+AX58+BF58+BJ58+BN58+BR58+BV58+BZ58+CD58+CH58</f>
        <v>0</v>
      </c>
      <c r="CU58" s="137">
        <f>F58+J58+N58+R58+V58+Z58+AD58+AL58+AP58+AT58+AX58+BF58+BJ58+BN58+BV58+BZ58+CD58+CH58</f>
        <v>0</v>
      </c>
      <c r="CV58" s="137">
        <f t="shared" si="23"/>
        <v>0</v>
      </c>
      <c r="CW58" s="137">
        <f t="shared" si="24"/>
        <v>0</v>
      </c>
      <c r="CX58" s="458"/>
      <c r="CY58" s="458"/>
    </row>
    <row r="59" spans="1:103">
      <c r="A59" s="122"/>
      <c r="B59" s="893" t="s">
        <v>753</v>
      </c>
      <c r="C59" s="894"/>
      <c r="D59" s="895"/>
      <c r="E59" s="108"/>
      <c r="F59" s="16"/>
      <c r="G59" s="453"/>
      <c r="H59" s="108"/>
      <c r="I59" s="108"/>
      <c r="J59" s="16">
        <v>71.5</v>
      </c>
      <c r="K59" s="108"/>
      <c r="L59" s="122"/>
      <c r="M59" s="108"/>
      <c r="N59" s="216"/>
      <c r="O59" s="464"/>
      <c r="P59" s="464"/>
      <c r="Q59" s="462"/>
      <c r="R59" s="216">
        <v>71.52</v>
      </c>
      <c r="S59" s="462"/>
      <c r="T59" s="464"/>
      <c r="U59" s="462"/>
      <c r="V59" s="216">
        <v>19</v>
      </c>
      <c r="W59" s="462"/>
      <c r="X59" s="463"/>
      <c r="Y59" s="462"/>
      <c r="Z59" s="216">
        <v>4.45</v>
      </c>
      <c r="AA59" s="462"/>
      <c r="AB59" s="463"/>
      <c r="AC59" s="462"/>
      <c r="AD59" s="216">
        <v>111.2</v>
      </c>
      <c r="AE59" s="462"/>
      <c r="AF59" s="122"/>
      <c r="AG59" s="451">
        <f t="shared" si="3"/>
        <v>0</v>
      </c>
      <c r="AH59" s="590">
        <f t="shared" si="91"/>
        <v>277.66999999999996</v>
      </c>
      <c r="AI59" s="453"/>
      <c r="AJ59" s="461"/>
      <c r="AK59" s="108"/>
      <c r="AL59" s="16"/>
      <c r="AM59" s="108"/>
      <c r="AN59" s="108"/>
      <c r="AO59" s="108"/>
      <c r="AP59" s="465"/>
      <c r="AQ59" s="462"/>
      <c r="AR59" s="462"/>
      <c r="AS59" s="462"/>
      <c r="AT59" s="465"/>
      <c r="AU59" s="108"/>
      <c r="AV59" s="108"/>
      <c r="AW59" s="108"/>
      <c r="AX59" s="216">
        <v>25.8</v>
      </c>
      <c r="AY59" s="108"/>
      <c r="AZ59" s="108"/>
      <c r="BA59" s="451">
        <f t="shared" si="8"/>
        <v>0</v>
      </c>
      <c r="BB59" s="15">
        <f t="shared" si="47"/>
        <v>25.8</v>
      </c>
      <c r="BC59" s="452"/>
      <c r="BD59" s="452"/>
      <c r="BE59" s="108"/>
      <c r="BF59" s="465"/>
      <c r="BG59" s="462"/>
      <c r="BH59" s="462"/>
      <c r="BI59" s="462"/>
      <c r="BJ59" s="465"/>
      <c r="BK59" s="462"/>
      <c r="BL59" s="462"/>
      <c r="BM59" s="462"/>
      <c r="BN59" s="465"/>
      <c r="BO59" s="482"/>
      <c r="BP59" s="462"/>
      <c r="BQ59" s="462"/>
      <c r="BR59" s="465"/>
      <c r="BS59" s="469"/>
      <c r="BT59" s="106"/>
      <c r="BU59" s="108"/>
      <c r="BV59" s="452"/>
      <c r="BW59" s="108"/>
      <c r="BX59" s="122"/>
      <c r="BY59" s="462"/>
      <c r="BZ59" s="216"/>
      <c r="CA59" s="474"/>
      <c r="CB59" s="463"/>
      <c r="CC59" s="463"/>
      <c r="CD59" s="475"/>
      <c r="CE59" s="463"/>
      <c r="CF59" s="463"/>
      <c r="CG59" s="463"/>
      <c r="CH59" s="475"/>
      <c r="CI59" s="463"/>
      <c r="CJ59" s="463"/>
      <c r="CK59" s="468">
        <f t="shared" ref="CK59:CK64" si="92">AG59+BA59+BE59+BI59+BM59+BU59+BY59+CC59+BQ59+CG59</f>
        <v>0</v>
      </c>
      <c r="CL59" s="668">
        <f t="shared" ref="CL59:CL75" si="93">AH59+BB59+BF59+BJ59+BN59+BR59+BV59+BZ59+CD59+CH59</f>
        <v>303.46999999999997</v>
      </c>
      <c r="CM59" s="453">
        <v>0</v>
      </c>
      <c r="CN59" s="452">
        <f t="shared" si="14"/>
        <v>303.46999999999997</v>
      </c>
      <c r="CP59" s="142"/>
      <c r="CQ59" s="137"/>
      <c r="CS59" s="146"/>
      <c r="CT59" s="137"/>
      <c r="CU59" s="137"/>
      <c r="CV59" s="137"/>
      <c r="CW59" s="137"/>
      <c r="CX59" s="458"/>
      <c r="CY59" s="458"/>
    </row>
    <row r="60" spans="1:103">
      <c r="A60" s="122"/>
      <c r="B60" s="893" t="s">
        <v>865</v>
      </c>
      <c r="C60" s="894"/>
      <c r="D60" s="895"/>
      <c r="E60" s="108"/>
      <c r="F60" s="16"/>
      <c r="G60" s="453"/>
      <c r="H60" s="108"/>
      <c r="I60" s="108"/>
      <c r="J60" s="16"/>
      <c r="K60" s="108"/>
      <c r="L60" s="122"/>
      <c r="M60" s="108"/>
      <c r="N60" s="216">
        <v>53.19</v>
      </c>
      <c r="O60" s="464"/>
      <c r="P60" s="464"/>
      <c r="Q60" s="462"/>
      <c r="R60" s="216">
        <v>7.63</v>
      </c>
      <c r="S60" s="462"/>
      <c r="T60" s="464"/>
      <c r="U60" s="462"/>
      <c r="V60" s="216"/>
      <c r="W60" s="462"/>
      <c r="X60" s="463"/>
      <c r="Y60" s="462"/>
      <c r="Z60" s="216">
        <v>39.369999999999997</v>
      </c>
      <c r="AA60" s="462"/>
      <c r="AB60" s="463"/>
      <c r="AC60" s="462"/>
      <c r="AD60" s="216"/>
      <c r="AE60" s="462"/>
      <c r="AF60" s="122"/>
      <c r="AG60" s="451">
        <f t="shared" si="3"/>
        <v>0</v>
      </c>
      <c r="AH60" s="590">
        <f t="shared" si="91"/>
        <v>100.19</v>
      </c>
      <c r="AI60" s="453"/>
      <c r="AJ60" s="461"/>
      <c r="AK60" s="108"/>
      <c r="AL60" s="16">
        <v>39.99</v>
      </c>
      <c r="AM60" s="108"/>
      <c r="AN60" s="108"/>
      <c r="AO60" s="108"/>
      <c r="AP60" s="465"/>
      <c r="AQ60" s="462"/>
      <c r="AR60" s="462"/>
      <c r="AS60" s="462"/>
      <c r="AT60" s="465"/>
      <c r="AU60" s="108"/>
      <c r="AV60" s="108"/>
      <c r="AW60" s="108"/>
      <c r="AX60" s="216">
        <v>14.82</v>
      </c>
      <c r="AY60" s="108"/>
      <c r="AZ60" s="108"/>
      <c r="BA60" s="451">
        <f t="shared" si="8"/>
        <v>0</v>
      </c>
      <c r="BB60" s="15">
        <f t="shared" si="47"/>
        <v>54.81</v>
      </c>
      <c r="BC60" s="452"/>
      <c r="BD60" s="452"/>
      <c r="BE60" s="108"/>
      <c r="BF60" s="465"/>
      <c r="BG60" s="462"/>
      <c r="BH60" s="462"/>
      <c r="BI60" s="462"/>
      <c r="BJ60" s="465"/>
      <c r="BK60" s="462"/>
      <c r="BL60" s="462"/>
      <c r="BM60" s="462"/>
      <c r="BN60" s="465"/>
      <c r="BO60" s="482"/>
      <c r="BP60" s="462"/>
      <c r="BQ60" s="462"/>
      <c r="BR60" s="465"/>
      <c r="BS60" s="469"/>
      <c r="BT60" s="106"/>
      <c r="BU60" s="108"/>
      <c r="BV60" s="452"/>
      <c r="BW60" s="108"/>
      <c r="BX60" s="122"/>
      <c r="BY60" s="462"/>
      <c r="BZ60" s="216"/>
      <c r="CA60" s="474"/>
      <c r="CB60" s="463"/>
      <c r="CC60" s="463"/>
      <c r="CD60" s="475"/>
      <c r="CE60" s="463"/>
      <c r="CF60" s="463"/>
      <c r="CG60" s="463"/>
      <c r="CH60" s="465">
        <v>57.023000000000003</v>
      </c>
      <c r="CI60" s="463"/>
      <c r="CJ60" s="463"/>
      <c r="CK60" s="468">
        <f t="shared" si="92"/>
        <v>0</v>
      </c>
      <c r="CL60" s="668">
        <f t="shared" si="93"/>
        <v>212.023</v>
      </c>
      <c r="CM60" s="453">
        <v>0</v>
      </c>
      <c r="CN60" s="452">
        <f t="shared" si="14"/>
        <v>212.023</v>
      </c>
      <c r="CP60" s="142"/>
      <c r="CQ60" s="137"/>
      <c r="CS60" s="146"/>
      <c r="CT60" s="137"/>
      <c r="CU60" s="137"/>
      <c r="CV60" s="137"/>
      <c r="CW60" s="137"/>
      <c r="CX60" s="458"/>
      <c r="CY60" s="458"/>
    </row>
    <row r="61" spans="1:103">
      <c r="A61" s="122"/>
      <c r="B61" s="893" t="s">
        <v>866</v>
      </c>
      <c r="C61" s="894"/>
      <c r="D61" s="895"/>
      <c r="E61" s="108"/>
      <c r="F61" s="16"/>
      <c r="G61" s="453"/>
      <c r="H61" s="108"/>
      <c r="I61" s="108"/>
      <c r="J61" s="16"/>
      <c r="K61" s="108"/>
      <c r="L61" s="122"/>
      <c r="M61" s="108"/>
      <c r="N61" s="216"/>
      <c r="O61" s="464"/>
      <c r="P61" s="464"/>
      <c r="Q61" s="462"/>
      <c r="R61" s="216">
        <v>35.479999999999997</v>
      </c>
      <c r="S61" s="462"/>
      <c r="T61" s="464"/>
      <c r="U61" s="462"/>
      <c r="V61" s="216"/>
      <c r="W61" s="462"/>
      <c r="X61" s="463"/>
      <c r="Y61" s="462"/>
      <c r="Z61" s="216">
        <v>14.44</v>
      </c>
      <c r="AA61" s="462"/>
      <c r="AB61" s="463"/>
      <c r="AC61" s="462"/>
      <c r="AD61" s="216"/>
      <c r="AE61" s="462"/>
      <c r="AF61" s="122"/>
      <c r="AG61" s="451">
        <f t="shared" si="3"/>
        <v>0</v>
      </c>
      <c r="AH61" s="590">
        <f t="shared" si="91"/>
        <v>49.919999999999995</v>
      </c>
      <c r="AI61" s="453"/>
      <c r="AJ61" s="461"/>
      <c r="AK61" s="108"/>
      <c r="AL61" s="16">
        <v>24.25</v>
      </c>
      <c r="AM61" s="108"/>
      <c r="AN61" s="108"/>
      <c r="AO61" s="108"/>
      <c r="AP61" s="465"/>
      <c r="AQ61" s="462"/>
      <c r="AR61" s="462"/>
      <c r="AS61" s="462"/>
      <c r="AT61" s="465"/>
      <c r="AU61" s="108"/>
      <c r="AV61" s="108"/>
      <c r="AW61" s="108"/>
      <c r="AX61" s="216"/>
      <c r="AY61" s="108"/>
      <c r="AZ61" s="108"/>
      <c r="BA61" s="451">
        <f t="shared" si="8"/>
        <v>0</v>
      </c>
      <c r="BB61" s="15">
        <f t="shared" si="47"/>
        <v>24.25</v>
      </c>
      <c r="BC61" s="452"/>
      <c r="BD61" s="452"/>
      <c r="BE61" s="108"/>
      <c r="BF61" s="465"/>
      <c r="BG61" s="462"/>
      <c r="BH61" s="462"/>
      <c r="BI61" s="462"/>
      <c r="BJ61" s="465"/>
      <c r="BK61" s="462"/>
      <c r="BL61" s="462"/>
      <c r="BM61" s="462"/>
      <c r="BN61" s="465"/>
      <c r="BO61" s="482"/>
      <c r="BP61" s="462"/>
      <c r="BQ61" s="462"/>
      <c r="BR61" s="465"/>
      <c r="BS61" s="469"/>
      <c r="BT61" s="106"/>
      <c r="BU61" s="108"/>
      <c r="BV61" s="452"/>
      <c r="BW61" s="108"/>
      <c r="BX61" s="122"/>
      <c r="BY61" s="462"/>
      <c r="BZ61" s="216"/>
      <c r="CA61" s="474"/>
      <c r="CB61" s="463"/>
      <c r="CC61" s="463"/>
      <c r="CD61" s="475"/>
      <c r="CE61" s="463"/>
      <c r="CF61" s="463"/>
      <c r="CG61" s="463"/>
      <c r="CH61" s="475"/>
      <c r="CI61" s="463"/>
      <c r="CJ61" s="463"/>
      <c r="CK61" s="468">
        <f t="shared" si="92"/>
        <v>0</v>
      </c>
      <c r="CL61" s="668">
        <f t="shared" si="93"/>
        <v>74.169999999999987</v>
      </c>
      <c r="CM61" s="453">
        <v>0</v>
      </c>
      <c r="CN61" s="452">
        <f t="shared" si="14"/>
        <v>74.169999999999987</v>
      </c>
      <c r="CP61" s="142"/>
      <c r="CQ61" s="137"/>
      <c r="CS61" s="146"/>
      <c r="CT61" s="137"/>
      <c r="CU61" s="137"/>
      <c r="CV61" s="137"/>
      <c r="CW61" s="137"/>
      <c r="CX61" s="458"/>
      <c r="CY61" s="458"/>
    </row>
    <row r="62" spans="1:103">
      <c r="A62" s="122"/>
      <c r="B62" s="893" t="s">
        <v>867</v>
      </c>
      <c r="C62" s="894"/>
      <c r="D62" s="895"/>
      <c r="E62" s="108"/>
      <c r="F62" s="16"/>
      <c r="G62" s="453"/>
      <c r="H62" s="108"/>
      <c r="I62" s="108"/>
      <c r="J62" s="16"/>
      <c r="K62" s="108"/>
      <c r="L62" s="122"/>
      <c r="M62" s="108"/>
      <c r="N62" s="216"/>
      <c r="O62" s="464"/>
      <c r="P62" s="464"/>
      <c r="Q62" s="462"/>
      <c r="R62" s="216">
        <v>14.984</v>
      </c>
      <c r="S62" s="462"/>
      <c r="T62" s="464"/>
      <c r="U62" s="462"/>
      <c r="V62" s="216"/>
      <c r="W62" s="462"/>
      <c r="X62" s="463"/>
      <c r="Y62" s="462"/>
      <c r="Z62" s="216"/>
      <c r="AA62" s="462"/>
      <c r="AB62" s="463"/>
      <c r="AC62" s="462"/>
      <c r="AD62" s="216"/>
      <c r="AE62" s="462"/>
      <c r="AF62" s="122"/>
      <c r="AG62" s="451">
        <f t="shared" si="3"/>
        <v>0</v>
      </c>
      <c r="AH62" s="590">
        <f t="shared" si="91"/>
        <v>14.984</v>
      </c>
      <c r="AI62" s="453"/>
      <c r="AJ62" s="461"/>
      <c r="AK62" s="108"/>
      <c r="AL62" s="16"/>
      <c r="AM62" s="108"/>
      <c r="AN62" s="108"/>
      <c r="AO62" s="108"/>
      <c r="AP62" s="465"/>
      <c r="AQ62" s="462"/>
      <c r="AR62" s="462"/>
      <c r="AS62" s="462"/>
      <c r="AT62" s="465"/>
      <c r="AU62" s="108"/>
      <c r="AV62" s="108"/>
      <c r="AW62" s="108"/>
      <c r="AX62" s="216"/>
      <c r="AY62" s="108"/>
      <c r="AZ62" s="108"/>
      <c r="BA62" s="451">
        <f t="shared" si="8"/>
        <v>0</v>
      </c>
      <c r="BB62" s="15">
        <f t="shared" si="47"/>
        <v>0</v>
      </c>
      <c r="BC62" s="452"/>
      <c r="BD62" s="452"/>
      <c r="BE62" s="108"/>
      <c r="BF62" s="465"/>
      <c r="BG62" s="462"/>
      <c r="BH62" s="462"/>
      <c r="BI62" s="462"/>
      <c r="BJ62" s="465"/>
      <c r="BK62" s="462"/>
      <c r="BL62" s="462"/>
      <c r="BM62" s="462"/>
      <c r="BN62" s="465"/>
      <c r="BO62" s="482"/>
      <c r="BP62" s="462"/>
      <c r="BQ62" s="462"/>
      <c r="BR62" s="465"/>
      <c r="BS62" s="469"/>
      <c r="BT62" s="106"/>
      <c r="BU62" s="108"/>
      <c r="BV62" s="452"/>
      <c r="BW62" s="108"/>
      <c r="BX62" s="122"/>
      <c r="BY62" s="462"/>
      <c r="BZ62" s="216"/>
      <c r="CA62" s="474"/>
      <c r="CB62" s="463"/>
      <c r="CC62" s="463"/>
      <c r="CD62" s="475"/>
      <c r="CE62" s="463"/>
      <c r="CF62" s="463"/>
      <c r="CG62" s="463"/>
      <c r="CH62" s="475"/>
      <c r="CI62" s="463"/>
      <c r="CJ62" s="463"/>
      <c r="CK62" s="468">
        <f t="shared" si="92"/>
        <v>0</v>
      </c>
      <c r="CL62" s="668">
        <f t="shared" si="93"/>
        <v>14.984</v>
      </c>
      <c r="CM62" s="453">
        <v>0</v>
      </c>
      <c r="CN62" s="452">
        <f t="shared" si="14"/>
        <v>14.984</v>
      </c>
      <c r="CP62" s="142"/>
      <c r="CQ62" s="137"/>
      <c r="CS62" s="146"/>
      <c r="CT62" s="137"/>
      <c r="CU62" s="137"/>
      <c r="CV62" s="137"/>
      <c r="CW62" s="137"/>
      <c r="CX62" s="458"/>
      <c r="CY62" s="458"/>
    </row>
    <row r="63" spans="1:103">
      <c r="A63" s="122"/>
      <c r="B63" s="893" t="s">
        <v>868</v>
      </c>
      <c r="C63" s="894"/>
      <c r="D63" s="895"/>
      <c r="E63" s="108">
        <f>F63</f>
        <v>0</v>
      </c>
      <c r="F63" s="16"/>
      <c r="G63" s="108"/>
      <c r="H63" s="108"/>
      <c r="I63" s="108">
        <v>0</v>
      </c>
      <c r="J63" s="16"/>
      <c r="K63" s="108"/>
      <c r="L63" s="122">
        <f t="shared" si="81"/>
        <v>0</v>
      </c>
      <c r="M63" s="108">
        <v>0</v>
      </c>
      <c r="N63" s="216"/>
      <c r="O63" s="464"/>
      <c r="P63" s="464">
        <f t="shared" si="29"/>
        <v>0</v>
      </c>
      <c r="Q63" s="462"/>
      <c r="R63" s="216"/>
      <c r="S63" s="462"/>
      <c r="T63" s="462"/>
      <c r="U63" s="462"/>
      <c r="V63" s="216">
        <v>8</v>
      </c>
      <c r="W63" s="462"/>
      <c r="X63" s="463"/>
      <c r="Y63" s="462"/>
      <c r="Z63" s="216"/>
      <c r="AA63" s="462"/>
      <c r="AB63" s="463">
        <f t="shared" si="79"/>
        <v>0</v>
      </c>
      <c r="AC63" s="462"/>
      <c r="AD63" s="216"/>
      <c r="AE63" s="462"/>
      <c r="AF63" s="122"/>
      <c r="AG63" s="451">
        <f t="shared" si="3"/>
        <v>0</v>
      </c>
      <c r="AH63" s="590">
        <f t="shared" si="91"/>
        <v>8</v>
      </c>
      <c r="AI63" s="453"/>
      <c r="AJ63" s="461">
        <f t="shared" si="32"/>
        <v>8</v>
      </c>
      <c r="AK63" s="108"/>
      <c r="AL63" s="216"/>
      <c r="AM63" s="108"/>
      <c r="AN63" s="108"/>
      <c r="AO63" s="108"/>
      <c r="AP63" s="452"/>
      <c r="AQ63" s="108"/>
      <c r="AR63" s="108"/>
      <c r="AS63" s="108"/>
      <c r="AT63" s="452"/>
      <c r="AU63" s="108"/>
      <c r="AV63" s="108">
        <f t="shared" si="88"/>
        <v>0</v>
      </c>
      <c r="AW63" s="108"/>
      <c r="AX63" s="16"/>
      <c r="AY63" s="108"/>
      <c r="AZ63" s="108"/>
      <c r="BA63" s="451">
        <f t="shared" si="8"/>
        <v>0</v>
      </c>
      <c r="BB63" s="15">
        <f t="shared" si="47"/>
        <v>0</v>
      </c>
      <c r="BC63" s="452"/>
      <c r="BD63" s="452"/>
      <c r="BE63" s="108"/>
      <c r="BF63" s="465"/>
      <c r="BG63" s="462"/>
      <c r="BH63" s="462"/>
      <c r="BI63" s="462"/>
      <c r="BJ63" s="465"/>
      <c r="BK63" s="462"/>
      <c r="BL63" s="462"/>
      <c r="BM63" s="462"/>
      <c r="BN63" s="465"/>
      <c r="BO63" s="482"/>
      <c r="BP63" s="462">
        <f t="shared" si="89"/>
        <v>0</v>
      </c>
      <c r="BQ63" s="462"/>
      <c r="BR63" s="465"/>
      <c r="BS63" s="469">
        <v>0</v>
      </c>
      <c r="BT63" s="106">
        <f t="shared" si="19"/>
        <v>0</v>
      </c>
      <c r="BU63" s="108"/>
      <c r="BV63" s="452"/>
      <c r="BW63" s="106"/>
      <c r="BX63" s="122">
        <f t="shared" si="80"/>
        <v>0</v>
      </c>
      <c r="BY63" s="462"/>
      <c r="BZ63" s="216"/>
      <c r="CA63" s="474"/>
      <c r="CB63" s="463"/>
      <c r="CC63" s="463"/>
      <c r="CD63" s="475"/>
      <c r="CE63" s="463"/>
      <c r="CF63" s="463"/>
      <c r="CG63" s="463"/>
      <c r="CH63" s="475"/>
      <c r="CI63" s="463"/>
      <c r="CJ63" s="463"/>
      <c r="CK63" s="468">
        <f t="shared" si="92"/>
        <v>0</v>
      </c>
      <c r="CL63" s="668">
        <f t="shared" si="93"/>
        <v>8</v>
      </c>
      <c r="CM63" s="453">
        <v>0</v>
      </c>
      <c r="CN63" s="452">
        <f t="shared" si="14"/>
        <v>8</v>
      </c>
      <c r="CP63" s="142">
        <f t="shared" si="67"/>
        <v>8</v>
      </c>
      <c r="CQ63" s="137">
        <f t="shared" si="68"/>
        <v>0</v>
      </c>
      <c r="CS63" s="146">
        <f t="shared" si="69"/>
        <v>8</v>
      </c>
      <c r="CT63" s="137">
        <f t="shared" si="21"/>
        <v>8</v>
      </c>
      <c r="CU63" s="137">
        <f t="shared" si="22"/>
        <v>8</v>
      </c>
      <c r="CV63" s="137">
        <f t="shared" si="23"/>
        <v>8</v>
      </c>
      <c r="CW63" s="137">
        <f t="shared" si="24"/>
        <v>0</v>
      </c>
      <c r="CX63" s="458"/>
      <c r="CY63" s="458"/>
    </row>
    <row r="64" spans="1:103">
      <c r="A64" s="122"/>
      <c r="B64" s="537" t="s">
        <v>877</v>
      </c>
      <c r="C64" s="538"/>
      <c r="D64" s="539"/>
      <c r="E64" s="108">
        <v>160</v>
      </c>
      <c r="F64" s="16"/>
      <c r="G64" s="108"/>
      <c r="H64" s="108"/>
      <c r="I64" s="108">
        <v>200</v>
      </c>
      <c r="J64" s="16"/>
      <c r="K64" s="108"/>
      <c r="L64" s="122"/>
      <c r="M64" s="108">
        <v>300</v>
      </c>
      <c r="N64" s="216"/>
      <c r="O64" s="464"/>
      <c r="P64" s="464"/>
      <c r="Q64" s="462">
        <v>200</v>
      </c>
      <c r="R64" s="216">
        <v>6.48</v>
      </c>
      <c r="S64" s="462"/>
      <c r="T64" s="462"/>
      <c r="U64" s="462">
        <v>150</v>
      </c>
      <c r="V64" s="216"/>
      <c r="W64" s="462"/>
      <c r="X64" s="463"/>
      <c r="Y64" s="462">
        <v>200</v>
      </c>
      <c r="Z64" s="216"/>
      <c r="AA64" s="462"/>
      <c r="AB64" s="463"/>
      <c r="AC64" s="462">
        <v>100</v>
      </c>
      <c r="AD64" s="216"/>
      <c r="AE64" s="462"/>
      <c r="AF64" s="122"/>
      <c r="AG64" s="451">
        <f t="shared" si="3"/>
        <v>1310</v>
      </c>
      <c r="AH64" s="590">
        <f t="shared" si="91"/>
        <v>6.48</v>
      </c>
      <c r="AI64" s="453"/>
      <c r="AJ64" s="461"/>
      <c r="AK64" s="108">
        <v>50</v>
      </c>
      <c r="AL64" s="216"/>
      <c r="AM64" s="108"/>
      <c r="AN64" s="108"/>
      <c r="AO64" s="108"/>
      <c r="AP64" s="452"/>
      <c r="AQ64" s="108"/>
      <c r="AR64" s="108"/>
      <c r="AS64" s="108"/>
      <c r="AT64" s="452"/>
      <c r="AU64" s="108"/>
      <c r="AV64" s="108"/>
      <c r="AW64" s="108"/>
      <c r="AX64" s="16"/>
      <c r="AY64" s="108"/>
      <c r="AZ64" s="108"/>
      <c r="BA64" s="451">
        <f t="shared" si="8"/>
        <v>50</v>
      </c>
      <c r="BB64" s="15"/>
      <c r="BC64" s="452"/>
      <c r="BD64" s="452"/>
      <c r="BE64" s="108"/>
      <c r="BF64" s="465"/>
      <c r="BG64" s="462"/>
      <c r="BH64" s="462"/>
      <c r="BI64" s="462"/>
      <c r="BJ64" s="465"/>
      <c r="BK64" s="462"/>
      <c r="BL64" s="462"/>
      <c r="BM64" s="462"/>
      <c r="BN64" s="465"/>
      <c r="BO64" s="482"/>
      <c r="BP64" s="462"/>
      <c r="BQ64" s="462">
        <v>100</v>
      </c>
      <c r="BR64" s="465"/>
      <c r="BS64" s="469"/>
      <c r="BT64" s="106"/>
      <c r="BU64" s="108">
        <v>9</v>
      </c>
      <c r="BV64" s="452"/>
      <c r="BW64" s="106"/>
      <c r="BX64" s="122"/>
      <c r="BY64" s="462">
        <v>200</v>
      </c>
      <c r="BZ64" s="216">
        <v>84.676000000000002</v>
      </c>
      <c r="CA64" s="474"/>
      <c r="CB64" s="463"/>
      <c r="CC64" s="463">
        <v>8</v>
      </c>
      <c r="CD64" s="475"/>
      <c r="CE64" s="485"/>
      <c r="CF64" s="463"/>
      <c r="CG64" s="462">
        <v>195</v>
      </c>
      <c r="CH64" s="475"/>
      <c r="CI64" s="485"/>
      <c r="CJ64" s="463"/>
      <c r="CK64" s="468">
        <f t="shared" si="92"/>
        <v>1872</v>
      </c>
      <c r="CL64" s="668">
        <f t="shared" si="93"/>
        <v>91.156000000000006</v>
      </c>
      <c r="CM64" s="453">
        <f t="shared" si="13"/>
        <v>4.8694444444444454</v>
      </c>
      <c r="CN64" s="452">
        <f t="shared" si="14"/>
        <v>-1780.8440000000001</v>
      </c>
      <c r="CP64" s="142"/>
      <c r="CQ64" s="137"/>
      <c r="CS64" s="146"/>
      <c r="CT64" s="137"/>
      <c r="CU64" s="137"/>
      <c r="CV64" s="137"/>
      <c r="CW64" s="137"/>
      <c r="CX64" s="458"/>
      <c r="CY64" s="458"/>
    </row>
    <row r="65" spans="1:183" s="141" customFormat="1" ht="24.75" customHeight="1">
      <c r="A65" s="127">
        <v>340</v>
      </c>
      <c r="B65" s="1020" t="s">
        <v>141</v>
      </c>
      <c r="C65" s="1021"/>
      <c r="D65" s="1022"/>
      <c r="E65" s="154">
        <f>SUM(E66:E75)</f>
        <v>1372</v>
      </c>
      <c r="F65" s="154">
        <f>SUM(F66:F75)</f>
        <v>450.80149999999998</v>
      </c>
      <c r="G65" s="116">
        <f t="shared" ref="G65:G69" si="94">F65/E65*100</f>
        <v>32.857252186588923</v>
      </c>
      <c r="H65" s="116">
        <f>F65-E65</f>
        <v>-921.19849999999997</v>
      </c>
      <c r="I65" s="116">
        <f>SUM(I66:I75)</f>
        <v>3257</v>
      </c>
      <c r="J65" s="154">
        <f>SUM(J66:J75)</f>
        <v>928.6176200000001</v>
      </c>
      <c r="K65" s="116">
        <f t="shared" ref="K65:K69" si="95">J65/I65*100</f>
        <v>28.511440589499543</v>
      </c>
      <c r="L65" s="134">
        <f t="shared" si="81"/>
        <v>-2328.38238</v>
      </c>
      <c r="M65" s="116">
        <f>SUM(M66:M75)</f>
        <v>6362</v>
      </c>
      <c r="N65" s="154">
        <f>SUM(N66:N75)</f>
        <v>2077.0950199999997</v>
      </c>
      <c r="O65" s="116">
        <f t="shared" si="82"/>
        <v>32.648459918264692</v>
      </c>
      <c r="P65" s="116">
        <f>N65-M65</f>
        <v>-4284.9049800000003</v>
      </c>
      <c r="Q65" s="116">
        <f>SUM(Q66:Q75)</f>
        <v>5394</v>
      </c>
      <c r="R65" s="154">
        <f>SUM(R66:R75)</f>
        <v>1937.2160999999999</v>
      </c>
      <c r="S65" s="116">
        <f>R65/Q65*100</f>
        <v>35.914276974416012</v>
      </c>
      <c r="T65" s="116">
        <f>R65-Q65</f>
        <v>-3456.7839000000004</v>
      </c>
      <c r="U65" s="116">
        <f>SUM(U66:U75)</f>
        <v>1202</v>
      </c>
      <c r="V65" s="154">
        <f>SUM(V66:V75)</f>
        <v>223.57500000000002</v>
      </c>
      <c r="W65" s="116">
        <f t="shared" ref="W65:W69" si="96">V65/U65*100</f>
        <v>18.600249584026624</v>
      </c>
      <c r="X65" s="116">
        <f>V65-U65</f>
        <v>-978.42499999999995</v>
      </c>
      <c r="Y65" s="116">
        <f>SUM(Y66:Y75)</f>
        <v>4352</v>
      </c>
      <c r="Z65" s="154">
        <f>SUM(Z66:Z75)</f>
        <v>1392.67913</v>
      </c>
      <c r="AA65" s="113">
        <f t="shared" si="84"/>
        <v>32.000899126838235</v>
      </c>
      <c r="AB65" s="114">
        <f t="shared" si="79"/>
        <v>-2959.32087</v>
      </c>
      <c r="AC65" s="116">
        <f>SUM(AC66:AC75)</f>
        <v>3357</v>
      </c>
      <c r="AD65" s="154">
        <f>SUM(AD66:AD75)</f>
        <v>1046.7927999999999</v>
      </c>
      <c r="AE65" s="116">
        <f>AD65/AC65*100</f>
        <v>31.182389037831392</v>
      </c>
      <c r="AF65" s="116">
        <f>AD65-AC65</f>
        <v>-2310.2071999999998</v>
      </c>
      <c r="AG65" s="113">
        <f t="shared" si="3"/>
        <v>25296</v>
      </c>
      <c r="AH65" s="154">
        <f>SUM(AH66:AH75)</f>
        <v>8056.7771700000003</v>
      </c>
      <c r="AI65" s="116">
        <f t="shared" si="86"/>
        <v>31.850004625237194</v>
      </c>
      <c r="AJ65" s="123">
        <f t="shared" si="32"/>
        <v>-17239.222829999999</v>
      </c>
      <c r="AK65" s="116">
        <f>SUM(AK66:AK75)</f>
        <v>452</v>
      </c>
      <c r="AL65" s="154">
        <f>SUM(AL66:AL75)</f>
        <v>145.42871</v>
      </c>
      <c r="AM65" s="116">
        <f>AL65/AK65*100</f>
        <v>32.174493362831861</v>
      </c>
      <c r="AN65" s="116">
        <f>AL65-AK65</f>
        <v>-306.57128999999998</v>
      </c>
      <c r="AO65" s="116">
        <f>SUM(AO66:AO75)</f>
        <v>137</v>
      </c>
      <c r="AP65" s="116">
        <f>SUM(AP66:AP75)</f>
        <v>9.35</v>
      </c>
      <c r="AQ65" s="116">
        <f>AP65/AO65*100</f>
        <v>6.8248175182481745</v>
      </c>
      <c r="AR65" s="116">
        <f>AP65-AO65</f>
        <v>-127.65</v>
      </c>
      <c r="AS65" s="116">
        <f>SUM(AS66:AS75)</f>
        <v>427</v>
      </c>
      <c r="AT65" s="116">
        <f>SUM(AT66:AT75)</f>
        <v>241.61275999999998</v>
      </c>
      <c r="AU65" s="116">
        <f t="shared" si="87"/>
        <v>56.583784543325521</v>
      </c>
      <c r="AV65" s="116">
        <f t="shared" si="88"/>
        <v>-185.38724000000002</v>
      </c>
      <c r="AW65" s="116">
        <f>SUM(AW66:AW75)</f>
        <v>397</v>
      </c>
      <c r="AX65" s="154">
        <f>SUM(AX66:AX75)</f>
        <v>152.88645</v>
      </c>
      <c r="AY65" s="116">
        <f>AX65/AW65*100</f>
        <v>38.510440806045338</v>
      </c>
      <c r="AZ65" s="116">
        <f>AX65-AW65</f>
        <v>-244.11355</v>
      </c>
      <c r="BA65" s="113">
        <f t="shared" si="8"/>
        <v>1413</v>
      </c>
      <c r="BB65" s="154">
        <f>SUM(BB66:BB75)</f>
        <v>549.27791999999999</v>
      </c>
      <c r="BC65" s="116">
        <f>BB65/BA65*100</f>
        <v>38.873171974522293</v>
      </c>
      <c r="BD65" s="116">
        <f>BB65-BA65</f>
        <v>-863.72208000000001</v>
      </c>
      <c r="BE65" s="154">
        <f>SUM(BE66:BE75)</f>
        <v>67</v>
      </c>
      <c r="BF65" s="471">
        <f>SUM(BF66:BF75)</f>
        <v>25.401000000000003</v>
      </c>
      <c r="BG65" s="470">
        <f>BF65/BE65*100</f>
        <v>37.911940298507467</v>
      </c>
      <c r="BH65" s="470">
        <f>BF65-BE65</f>
        <v>-41.598999999999997</v>
      </c>
      <c r="BI65" s="470">
        <f>SUM(BI66:BI75)</f>
        <v>32</v>
      </c>
      <c r="BJ65" s="470">
        <f>SUM(BJ66:BJ75)</f>
        <v>0</v>
      </c>
      <c r="BK65" s="470">
        <f>BJ65/BI65*100</f>
        <v>0</v>
      </c>
      <c r="BL65" s="470">
        <f>BJ65-BI65</f>
        <v>-32</v>
      </c>
      <c r="BM65" s="470">
        <f>SUM(BM66:BM75)</f>
        <v>47</v>
      </c>
      <c r="BN65" s="470">
        <f>SUM(BN66:BN75)</f>
        <v>6.12</v>
      </c>
      <c r="BO65" s="470"/>
      <c r="BP65" s="470">
        <f t="shared" si="89"/>
        <v>-40.880000000000003</v>
      </c>
      <c r="BQ65" s="470">
        <f>SUM(BQ66:BQ75)</f>
        <v>585</v>
      </c>
      <c r="BR65" s="470">
        <f>SUM(BR66:BR75)</f>
        <v>0</v>
      </c>
      <c r="BS65" s="466">
        <f t="shared" si="18"/>
        <v>0</v>
      </c>
      <c r="BT65" s="113">
        <f t="shared" si="19"/>
        <v>-585</v>
      </c>
      <c r="BU65" s="116">
        <f>SUM(BU66:BU75)</f>
        <v>5.3</v>
      </c>
      <c r="BV65" s="154">
        <f>SUM(BV66:BV75)</f>
        <v>5.9215999999999998</v>
      </c>
      <c r="BW65" s="116">
        <f t="shared" si="90"/>
        <v>111.72830188679245</v>
      </c>
      <c r="BX65" s="123">
        <f t="shared" si="80"/>
        <v>0.62159999999999993</v>
      </c>
      <c r="BY65" s="470">
        <f>SUM(BY66:BY75)</f>
        <v>605</v>
      </c>
      <c r="BZ65" s="471">
        <f>SUM(BZ66:BZ75)</f>
        <v>162.18449999999999</v>
      </c>
      <c r="CA65" s="480">
        <f>BZ65/BY65*100</f>
        <v>26.807355371900826</v>
      </c>
      <c r="CB65" s="481">
        <f t="shared" si="27"/>
        <v>-442.81550000000004</v>
      </c>
      <c r="CC65" s="470">
        <f>SUM(CC66:CC75)</f>
        <v>8.5</v>
      </c>
      <c r="CD65" s="471">
        <f>SUM(CD66:CD75)</f>
        <v>12.059999999999999</v>
      </c>
      <c r="CE65" s="480">
        <f>CD65/CC65*100</f>
        <v>141.88235294117646</v>
      </c>
      <c r="CF65" s="481">
        <f>CD65-CC65</f>
        <v>3.5599999999999987</v>
      </c>
      <c r="CG65" s="470">
        <f>SUM(CG66:CG75)</f>
        <v>600</v>
      </c>
      <c r="CH65" s="471">
        <f>SUM(CH66:CH75)</f>
        <v>372.61099999999999</v>
      </c>
      <c r="CI65" s="480">
        <f>CH65/CG65*100</f>
        <v>62.101833333333332</v>
      </c>
      <c r="CJ65" s="481">
        <f>CH65-CG65</f>
        <v>-227.38900000000001</v>
      </c>
      <c r="CK65" s="470">
        <f>SUM(CK66:CK75)</f>
        <v>28658.799999999999</v>
      </c>
      <c r="CL65" s="670">
        <f>CL66+CL67+CL68+CL69+CL70+CL71+CL72+CL73+CL74+CL75</f>
        <v>9190.3531899999998</v>
      </c>
      <c r="CM65" s="116">
        <f t="shared" si="13"/>
        <v>32.068171695953772</v>
      </c>
      <c r="CN65" s="116">
        <f t="shared" si="14"/>
        <v>-19468.446810000001</v>
      </c>
      <c r="CO65" s="141">
        <v>32.200000000000003</v>
      </c>
      <c r="CP65" s="137">
        <f t="shared" si="67"/>
        <v>8817.742189999999</v>
      </c>
      <c r="CQ65" s="137">
        <f t="shared" si="68"/>
        <v>27473.800000000003</v>
      </c>
      <c r="CS65" s="137">
        <f t="shared" si="69"/>
        <v>8817.742189999999</v>
      </c>
      <c r="CT65" s="137">
        <f t="shared" si="21"/>
        <v>9190.3531899999998</v>
      </c>
      <c r="CU65" s="137">
        <f t="shared" si="22"/>
        <v>9190.3531899999998</v>
      </c>
      <c r="CV65" s="137">
        <f t="shared" si="23"/>
        <v>8637.5760900000005</v>
      </c>
      <c r="CW65" s="137">
        <f t="shared" si="24"/>
        <v>28658.799999999999</v>
      </c>
      <c r="CX65" s="137"/>
      <c r="CY65" s="137"/>
    </row>
    <row r="66" spans="1:183" ht="13.5">
      <c r="A66" s="122"/>
      <c r="B66" s="866" t="s">
        <v>221</v>
      </c>
      <c r="C66" s="867"/>
      <c r="D66" s="868"/>
      <c r="E66" s="108">
        <v>1150</v>
      </c>
      <c r="F66" s="16">
        <v>289.50099999999998</v>
      </c>
      <c r="G66" s="108">
        <f t="shared" si="94"/>
        <v>25.173999999999996</v>
      </c>
      <c r="H66" s="108">
        <f>F66-E66</f>
        <v>-860.49900000000002</v>
      </c>
      <c r="I66" s="108">
        <v>2800</v>
      </c>
      <c r="J66" s="16">
        <v>803.55362000000002</v>
      </c>
      <c r="K66" s="108">
        <f t="shared" si="95"/>
        <v>28.69834357142857</v>
      </c>
      <c r="L66" s="122">
        <f t="shared" si="81"/>
        <v>-1996.4463799999999</v>
      </c>
      <c r="M66" s="108">
        <v>5700</v>
      </c>
      <c r="N66" s="216">
        <v>1840.6090200000001</v>
      </c>
      <c r="O66" s="462">
        <f t="shared" si="82"/>
        <v>32.291386315789481</v>
      </c>
      <c r="P66" s="463">
        <f t="shared" si="29"/>
        <v>-3859.3909800000001</v>
      </c>
      <c r="Q66" s="462">
        <v>4500</v>
      </c>
      <c r="R66" s="216">
        <v>1434.915</v>
      </c>
      <c r="S66" s="462">
        <f t="shared" si="83"/>
        <v>31.887</v>
      </c>
      <c r="T66" s="463">
        <f>R66-Q66</f>
        <v>-3065.085</v>
      </c>
      <c r="U66" s="462">
        <v>950</v>
      </c>
      <c r="V66" s="216">
        <v>141.27600000000001</v>
      </c>
      <c r="W66" s="462">
        <f t="shared" si="96"/>
        <v>14.871157894736845</v>
      </c>
      <c r="X66" s="463">
        <f>V66-U66</f>
        <v>-808.72399999999993</v>
      </c>
      <c r="Y66" s="462">
        <v>3800</v>
      </c>
      <c r="Z66" s="216">
        <v>983.96797000000004</v>
      </c>
      <c r="AA66" s="462">
        <f t="shared" si="84"/>
        <v>25.893893947368422</v>
      </c>
      <c r="AB66" s="463">
        <f t="shared" si="79"/>
        <v>-2816.0320299999998</v>
      </c>
      <c r="AC66" s="462">
        <v>2900</v>
      </c>
      <c r="AD66" s="216">
        <v>842.17100000000005</v>
      </c>
      <c r="AE66" s="462">
        <f t="shared" si="85"/>
        <v>29.040379310344829</v>
      </c>
      <c r="AF66" s="122">
        <f>AD66-AC66</f>
        <v>-2057.8289999999997</v>
      </c>
      <c r="AG66" s="451">
        <f t="shared" si="3"/>
        <v>21800</v>
      </c>
      <c r="AH66" s="452">
        <f t="shared" si="3"/>
        <v>6335.9936099999995</v>
      </c>
      <c r="AI66" s="452">
        <f t="shared" si="86"/>
        <v>29.064190871559632</v>
      </c>
      <c r="AJ66" s="461">
        <f t="shared" si="32"/>
        <v>-15464.00639</v>
      </c>
      <c r="AK66" s="108">
        <v>250</v>
      </c>
      <c r="AL66" s="216"/>
      <c r="AM66" s="462">
        <f>AL66/AK66*100</f>
        <v>0</v>
      </c>
      <c r="AN66" s="108">
        <f>AL66-AK66</f>
        <v>-250</v>
      </c>
      <c r="AO66" s="108">
        <v>75</v>
      </c>
      <c r="AP66" s="465"/>
      <c r="AQ66" s="462"/>
      <c r="AR66" s="462">
        <f>AP66-AO66</f>
        <v>-75</v>
      </c>
      <c r="AS66" s="462">
        <v>250</v>
      </c>
      <c r="AT66" s="465"/>
      <c r="AU66" s="462">
        <f t="shared" si="87"/>
        <v>0</v>
      </c>
      <c r="AV66" s="462">
        <f t="shared" si="88"/>
        <v>-250</v>
      </c>
      <c r="AW66" s="462">
        <v>200</v>
      </c>
      <c r="AX66" s="216"/>
      <c r="AY66" s="462"/>
      <c r="AZ66" s="462">
        <f>AX66-AW66</f>
        <v>-200</v>
      </c>
      <c r="BA66" s="451">
        <f t="shared" si="8"/>
        <v>775</v>
      </c>
      <c r="BB66" s="542">
        <f>AL66+AP66+AT66+AX66</f>
        <v>0</v>
      </c>
      <c r="BC66" s="452">
        <f>BB66/BA66*100</f>
        <v>0</v>
      </c>
      <c r="BD66" s="452">
        <f>BB66-BA66</f>
        <v>-775</v>
      </c>
      <c r="BE66" s="108"/>
      <c r="BF66" s="465"/>
      <c r="BG66" s="462"/>
      <c r="BH66" s="462">
        <f>BF66-BE66</f>
        <v>0</v>
      </c>
      <c r="BI66" s="462"/>
      <c r="BJ66" s="465"/>
      <c r="BK66" s="473"/>
      <c r="BL66" s="462">
        <f>BJ66-BI66</f>
        <v>0</v>
      </c>
      <c r="BM66" s="462"/>
      <c r="BN66" s="465"/>
      <c r="BO66" s="462"/>
      <c r="BP66" s="462">
        <f t="shared" si="89"/>
        <v>0</v>
      </c>
      <c r="BQ66" s="462"/>
      <c r="BR66" s="465"/>
      <c r="BS66" s="469">
        <v>0</v>
      </c>
      <c r="BT66" s="106">
        <f t="shared" si="19"/>
        <v>0</v>
      </c>
      <c r="BU66" s="108"/>
      <c r="BV66" s="452">
        <v>3.5</v>
      </c>
      <c r="BW66" s="108"/>
      <c r="BX66" s="122">
        <f t="shared" si="80"/>
        <v>3.5</v>
      </c>
      <c r="BY66" s="462"/>
      <c r="BZ66" s="216"/>
      <c r="CA66" s="474"/>
      <c r="CB66" s="463">
        <f t="shared" si="27"/>
        <v>0</v>
      </c>
      <c r="CC66" s="463"/>
      <c r="CD66" s="220"/>
      <c r="CE66" s="545"/>
      <c r="CF66" s="463"/>
      <c r="CG66" s="463"/>
      <c r="CH66" s="220"/>
      <c r="CI66" s="545"/>
      <c r="CJ66" s="463"/>
      <c r="CK66" s="468">
        <f>AG66+BA66+BI66+BM66+BQ66+BU66+BY66+CC66+CG66</f>
        <v>22575</v>
      </c>
      <c r="CL66" s="668">
        <f t="shared" si="93"/>
        <v>6339.4936099999995</v>
      </c>
      <c r="CM66" s="452">
        <f t="shared" si="13"/>
        <v>28.081920753045402</v>
      </c>
      <c r="CN66" s="452">
        <f t="shared" si="14"/>
        <v>-16235.50639</v>
      </c>
      <c r="CP66" s="142">
        <f t="shared" si="67"/>
        <v>6339.4936099999995</v>
      </c>
      <c r="CQ66" s="137">
        <f t="shared" si="68"/>
        <v>22575</v>
      </c>
      <c r="CS66" s="146">
        <f t="shared" si="69"/>
        <v>6339.4936099999995</v>
      </c>
      <c r="CT66" s="137">
        <f t="shared" si="21"/>
        <v>6339.4936099999995</v>
      </c>
      <c r="CU66" s="137">
        <f t="shared" si="22"/>
        <v>6339.4936099999995</v>
      </c>
      <c r="CV66" s="137">
        <f t="shared" si="23"/>
        <v>6335.9936099999995</v>
      </c>
      <c r="CW66" s="137">
        <f t="shared" si="24"/>
        <v>22575</v>
      </c>
      <c r="CX66" s="458"/>
      <c r="CY66" s="458"/>
    </row>
    <row r="67" spans="1:183" ht="13.5">
      <c r="A67" s="122"/>
      <c r="B67" s="866" t="s">
        <v>455</v>
      </c>
      <c r="C67" s="867"/>
      <c r="D67" s="868"/>
      <c r="E67" s="108">
        <v>97</v>
      </c>
      <c r="F67" s="16">
        <v>44.36</v>
      </c>
      <c r="G67" s="108">
        <f t="shared" si="94"/>
        <v>45.731958762886599</v>
      </c>
      <c r="H67" s="108">
        <f>F67-E67</f>
        <v>-52.64</v>
      </c>
      <c r="I67" s="108">
        <v>197</v>
      </c>
      <c r="J67" s="16">
        <v>43.2</v>
      </c>
      <c r="K67" s="108">
        <f t="shared" si="95"/>
        <v>21.928934010152286</v>
      </c>
      <c r="L67" s="122">
        <f t="shared" si="81"/>
        <v>-153.80000000000001</v>
      </c>
      <c r="M67" s="108">
        <v>197</v>
      </c>
      <c r="N67" s="216">
        <v>110.31</v>
      </c>
      <c r="O67" s="462">
        <f t="shared" si="82"/>
        <v>55.994923857868017</v>
      </c>
      <c r="P67" s="463">
        <f t="shared" si="29"/>
        <v>-86.69</v>
      </c>
      <c r="Q67" s="462">
        <v>444</v>
      </c>
      <c r="R67" s="216">
        <v>144.37209999999999</v>
      </c>
      <c r="S67" s="462">
        <f t="shared" si="83"/>
        <v>32.516238738738735</v>
      </c>
      <c r="T67" s="463">
        <f>R67-Q67</f>
        <v>-299.62790000000001</v>
      </c>
      <c r="U67" s="462">
        <v>97</v>
      </c>
      <c r="V67" s="216">
        <v>27</v>
      </c>
      <c r="W67" s="462">
        <f t="shared" si="96"/>
        <v>27.835051546391753</v>
      </c>
      <c r="X67" s="463">
        <f>V67-U67</f>
        <v>-70</v>
      </c>
      <c r="Y67" s="462">
        <v>247</v>
      </c>
      <c r="Z67" s="216">
        <v>57.595999999999997</v>
      </c>
      <c r="AA67" s="462">
        <f t="shared" si="84"/>
        <v>23.31821862348178</v>
      </c>
      <c r="AB67" s="463">
        <f t="shared" si="79"/>
        <v>-189.404</v>
      </c>
      <c r="AC67" s="462">
        <v>197</v>
      </c>
      <c r="AD67" s="216">
        <v>54.857999999999997</v>
      </c>
      <c r="AE67" s="462">
        <f t="shared" si="85"/>
        <v>27.846700507614212</v>
      </c>
      <c r="AF67" s="122">
        <f>AD67-AC67</f>
        <v>-142.142</v>
      </c>
      <c r="AG67" s="451">
        <f t="shared" si="3"/>
        <v>1476</v>
      </c>
      <c r="AH67" s="452">
        <f t="shared" si="3"/>
        <v>481.6961</v>
      </c>
      <c r="AI67" s="452">
        <f t="shared" si="86"/>
        <v>32.635237127371276</v>
      </c>
      <c r="AJ67" s="461">
        <f t="shared" si="32"/>
        <v>-994.3039</v>
      </c>
      <c r="AK67" s="108">
        <v>77</v>
      </c>
      <c r="AL67" s="216">
        <v>105.42871</v>
      </c>
      <c r="AM67" s="462">
        <f>AL67/AK67*100</f>
        <v>136.92040259740259</v>
      </c>
      <c r="AN67" s="108">
        <f>AL67-AK67</f>
        <v>28.428709999999995</v>
      </c>
      <c r="AO67" s="108">
        <v>27</v>
      </c>
      <c r="AP67" s="465">
        <v>9.35</v>
      </c>
      <c r="AQ67" s="462">
        <f>AP67/AO67*100</f>
        <v>34.629629629629626</v>
      </c>
      <c r="AR67" s="462">
        <f>AP67-AO67</f>
        <v>-17.649999999999999</v>
      </c>
      <c r="AS67" s="462">
        <v>47</v>
      </c>
      <c r="AT67" s="465">
        <v>85.531999999999996</v>
      </c>
      <c r="AU67" s="462">
        <v>0</v>
      </c>
      <c r="AV67" s="462">
        <f t="shared" si="88"/>
        <v>38.531999999999996</v>
      </c>
      <c r="AW67" s="462">
        <v>67</v>
      </c>
      <c r="AX67" s="216">
        <v>49.024999999999999</v>
      </c>
      <c r="AY67" s="462">
        <f>AX67/AW67*100</f>
        <v>73.171641791044777</v>
      </c>
      <c r="AZ67" s="462">
        <f>AX67-AW67</f>
        <v>-17.975000000000001</v>
      </c>
      <c r="BA67" s="451">
        <f t="shared" si="8"/>
        <v>218</v>
      </c>
      <c r="BB67" s="542">
        <f t="shared" ref="BB67:BB75" si="97">AL67+AP67+AT67+AX67</f>
        <v>249.33570999999998</v>
      </c>
      <c r="BC67" s="452">
        <f>BB67/BA67*100</f>
        <v>114.37417889908257</v>
      </c>
      <c r="BD67" s="452">
        <f>BB67-BA67</f>
        <v>31.335709999999978</v>
      </c>
      <c r="BE67" s="108">
        <v>42</v>
      </c>
      <c r="BF67" s="465">
        <v>10</v>
      </c>
      <c r="BG67" s="462">
        <f>BF67/BE67*100</f>
        <v>23.809523809523807</v>
      </c>
      <c r="BH67" s="462">
        <f>BF67-BE67</f>
        <v>-32</v>
      </c>
      <c r="BI67" s="462">
        <v>12</v>
      </c>
      <c r="BJ67" s="465"/>
      <c r="BK67" s="473">
        <f>BJ67/BI67*100</f>
        <v>0</v>
      </c>
      <c r="BL67" s="462">
        <f>BJ67-BI67</f>
        <v>-12</v>
      </c>
      <c r="BM67" s="462">
        <v>27</v>
      </c>
      <c r="BN67" s="465"/>
      <c r="BO67" s="462"/>
      <c r="BP67" s="462">
        <f t="shared" si="89"/>
        <v>-27</v>
      </c>
      <c r="BQ67" s="462">
        <v>200</v>
      </c>
      <c r="BR67" s="465"/>
      <c r="BS67" s="469">
        <f t="shared" si="18"/>
        <v>0</v>
      </c>
      <c r="BT67" s="106">
        <f t="shared" si="19"/>
        <v>-200</v>
      </c>
      <c r="BU67" s="108">
        <v>3.3</v>
      </c>
      <c r="BV67" s="216"/>
      <c r="BW67" s="108">
        <f t="shared" si="90"/>
        <v>0</v>
      </c>
      <c r="BX67" s="122">
        <f t="shared" si="80"/>
        <v>-3.3</v>
      </c>
      <c r="BY67" s="462">
        <v>85</v>
      </c>
      <c r="BZ67" s="216">
        <v>23.71</v>
      </c>
      <c r="CA67" s="474">
        <f>BZ67/BY67*100</f>
        <v>27.894117647058824</v>
      </c>
      <c r="CB67" s="463">
        <f t="shared" si="27"/>
        <v>-61.29</v>
      </c>
      <c r="CC67" s="219">
        <v>8.5</v>
      </c>
      <c r="CD67" s="220">
        <v>6.5</v>
      </c>
      <c r="CE67" s="545">
        <f t="shared" ref="CE67" si="98">CD67/CC67*100</f>
        <v>76.470588235294116</v>
      </c>
      <c r="CF67" s="463"/>
      <c r="CG67" s="219"/>
      <c r="CH67" s="216">
        <v>57.877000000000002</v>
      </c>
      <c r="CI67" s="545"/>
      <c r="CJ67" s="463"/>
      <c r="CK67" s="468">
        <f>AG67+BA67+BE67+BI67+BM67+BQ67+BU67+BY67+CC67+CG67</f>
        <v>2071.8000000000002</v>
      </c>
      <c r="CL67" s="668">
        <f t="shared" si="93"/>
        <v>829.11880999999994</v>
      </c>
      <c r="CM67" s="452">
        <f t="shared" si="13"/>
        <v>40.019249444927105</v>
      </c>
      <c r="CN67" s="452">
        <f t="shared" si="14"/>
        <v>-1242.6811900000002</v>
      </c>
      <c r="CP67" s="142">
        <f t="shared" si="67"/>
        <v>771.2418100000001</v>
      </c>
      <c r="CQ67" s="137">
        <f t="shared" si="68"/>
        <v>1871.8000000000002</v>
      </c>
      <c r="CS67" s="146">
        <f t="shared" si="69"/>
        <v>771.2418100000001</v>
      </c>
      <c r="CT67" s="137">
        <f t="shared" si="21"/>
        <v>829.11881000000005</v>
      </c>
      <c r="CU67" s="137">
        <f t="shared" si="22"/>
        <v>829.11881000000005</v>
      </c>
      <c r="CV67" s="137">
        <f t="shared" si="23"/>
        <v>741.03181000000006</v>
      </c>
      <c r="CW67" s="137">
        <f t="shared" si="24"/>
        <v>2071.8000000000002</v>
      </c>
      <c r="CX67" s="458"/>
      <c r="CY67" s="458"/>
    </row>
    <row r="68" spans="1:183" ht="13.5">
      <c r="A68" s="122"/>
      <c r="B68" s="866" t="s">
        <v>222</v>
      </c>
      <c r="C68" s="867"/>
      <c r="D68" s="868"/>
      <c r="E68" s="108">
        <v>15</v>
      </c>
      <c r="F68" s="16">
        <v>5.8754999999999997</v>
      </c>
      <c r="G68" s="108">
        <f t="shared" si="94"/>
        <v>39.17</v>
      </c>
      <c r="H68" s="108">
        <f t="shared" ref="H68:H75" si="99">F68-E68</f>
        <v>-9.1245000000000012</v>
      </c>
      <c r="I68" s="108">
        <v>20</v>
      </c>
      <c r="J68" s="16">
        <v>3.99</v>
      </c>
      <c r="K68" s="108">
        <f t="shared" si="95"/>
        <v>19.950000000000003</v>
      </c>
      <c r="L68" s="122">
        <f t="shared" si="81"/>
        <v>-16.009999999999998</v>
      </c>
      <c r="M68" s="108">
        <v>30</v>
      </c>
      <c r="N68" s="216">
        <v>28.225999999999999</v>
      </c>
      <c r="O68" s="462">
        <f t="shared" si="82"/>
        <v>94.086666666666659</v>
      </c>
      <c r="P68" s="463">
        <f t="shared" si="29"/>
        <v>-1.7740000000000009</v>
      </c>
      <c r="Q68" s="462">
        <v>30</v>
      </c>
      <c r="R68" s="216">
        <v>20.289000000000001</v>
      </c>
      <c r="S68" s="462">
        <f>R68/Q68*100</f>
        <v>67.63</v>
      </c>
      <c r="T68" s="463">
        <f t="shared" ref="T68:T75" si="100">R68-Q68</f>
        <v>-9.7109999999999985</v>
      </c>
      <c r="U68" s="462">
        <v>15</v>
      </c>
      <c r="V68" s="216">
        <v>12.298999999999999</v>
      </c>
      <c r="W68" s="462">
        <f t="shared" si="96"/>
        <v>81.993333333333325</v>
      </c>
      <c r="X68" s="463">
        <f t="shared" ref="X68:X75" si="101">V68-U68</f>
        <v>-2.7010000000000005</v>
      </c>
      <c r="Y68" s="462">
        <v>25</v>
      </c>
      <c r="Z68" s="216">
        <v>11.461</v>
      </c>
      <c r="AA68" s="462">
        <f t="shared" si="84"/>
        <v>45.844000000000001</v>
      </c>
      <c r="AB68" s="463">
        <f t="shared" si="79"/>
        <v>-13.539</v>
      </c>
      <c r="AC68" s="462">
        <v>20</v>
      </c>
      <c r="AD68" s="216">
        <v>10.173999999999999</v>
      </c>
      <c r="AE68" s="462">
        <f t="shared" si="85"/>
        <v>50.86999999999999</v>
      </c>
      <c r="AF68" s="122">
        <f>AD68-AC68</f>
        <v>-9.8260000000000005</v>
      </c>
      <c r="AG68" s="451">
        <f t="shared" si="3"/>
        <v>155</v>
      </c>
      <c r="AH68" s="452">
        <f t="shared" si="3"/>
        <v>92.314499999999981</v>
      </c>
      <c r="AI68" s="452">
        <f t="shared" si="86"/>
        <v>59.557741935483854</v>
      </c>
      <c r="AJ68" s="461">
        <f t="shared" si="32"/>
        <v>-62.685500000000019</v>
      </c>
      <c r="AK68" s="108">
        <v>10</v>
      </c>
      <c r="AL68" s="216"/>
      <c r="AM68" s="462">
        <f>AL68/AK68*100</f>
        <v>0</v>
      </c>
      <c r="AN68" s="108">
        <f t="shared" ref="AN68:AN75" si="102">AL68-AK68</f>
        <v>-10</v>
      </c>
      <c r="AO68" s="108">
        <v>5</v>
      </c>
      <c r="AP68" s="465"/>
      <c r="AQ68" s="462"/>
      <c r="AR68" s="462">
        <f t="shared" ref="AR68:AR75" si="103">AP68-AO68</f>
        <v>-5</v>
      </c>
      <c r="AS68" s="462">
        <v>10</v>
      </c>
      <c r="AT68" s="465"/>
      <c r="AU68" s="462"/>
      <c r="AV68" s="462">
        <f t="shared" si="88"/>
        <v>-10</v>
      </c>
      <c r="AW68" s="462">
        <v>10</v>
      </c>
      <c r="AX68" s="216"/>
      <c r="AY68" s="462"/>
      <c r="AZ68" s="462">
        <f t="shared" ref="AZ68:AZ75" si="104">AX68-AW68</f>
        <v>-10</v>
      </c>
      <c r="BA68" s="451">
        <f t="shared" si="8"/>
        <v>35</v>
      </c>
      <c r="BB68" s="542">
        <f t="shared" si="97"/>
        <v>0</v>
      </c>
      <c r="BC68" s="452"/>
      <c r="BD68" s="452">
        <f t="shared" ref="BD68:BD75" si="105">BB68-BA68</f>
        <v>-35</v>
      </c>
      <c r="BE68" s="108">
        <v>5</v>
      </c>
      <c r="BF68" s="465"/>
      <c r="BG68" s="462"/>
      <c r="BH68" s="462">
        <f t="shared" ref="BH68:BH75" si="106">BF68-BE68</f>
        <v>-5</v>
      </c>
      <c r="BI68" s="462">
        <v>5</v>
      </c>
      <c r="BJ68" s="465"/>
      <c r="BK68" s="473"/>
      <c r="BL68" s="462">
        <f t="shared" ref="BL68:BL75" si="107">BJ68-BI68</f>
        <v>-5</v>
      </c>
      <c r="BM68" s="462">
        <v>5</v>
      </c>
      <c r="BN68" s="465"/>
      <c r="BO68" s="462"/>
      <c r="BP68" s="462">
        <f t="shared" si="89"/>
        <v>-5</v>
      </c>
      <c r="BQ68" s="462">
        <v>15</v>
      </c>
      <c r="BR68" s="465"/>
      <c r="BS68" s="469">
        <f t="shared" si="18"/>
        <v>0</v>
      </c>
      <c r="BT68" s="106">
        <f t="shared" si="19"/>
        <v>-15</v>
      </c>
      <c r="BU68" s="108"/>
      <c r="BV68" s="452"/>
      <c r="BW68" s="108"/>
      <c r="BX68" s="122"/>
      <c r="BY68" s="462"/>
      <c r="BZ68" s="216"/>
      <c r="CA68" s="474"/>
      <c r="CB68" s="463">
        <f t="shared" si="27"/>
        <v>0</v>
      </c>
      <c r="CC68" s="463"/>
      <c r="CD68" s="475"/>
      <c r="CE68" s="475"/>
      <c r="CF68" s="463"/>
      <c r="CG68" s="462"/>
      <c r="CH68" s="465"/>
      <c r="CI68" s="545"/>
      <c r="CJ68" s="463"/>
      <c r="CK68" s="468">
        <f t="shared" ref="CK68:CK75" si="108">AG68+BA68+BE68+BI68+BM68+BQ68+BU68+BY68+CC68+CG68</f>
        <v>220</v>
      </c>
      <c r="CL68" s="668">
        <f t="shared" si="93"/>
        <v>92.314499999999981</v>
      </c>
      <c r="CM68" s="452">
        <f t="shared" si="13"/>
        <v>41.961136363636356</v>
      </c>
      <c r="CN68" s="452">
        <f t="shared" si="14"/>
        <v>-127.68550000000002</v>
      </c>
      <c r="CP68" s="142">
        <f t="shared" si="67"/>
        <v>92.314499999999981</v>
      </c>
      <c r="CQ68" s="137">
        <f t="shared" si="68"/>
        <v>205</v>
      </c>
      <c r="CS68" s="146">
        <f t="shared" si="69"/>
        <v>92.314499999999981</v>
      </c>
      <c r="CT68" s="137">
        <f t="shared" si="21"/>
        <v>92.314499999999981</v>
      </c>
      <c r="CU68" s="137">
        <f t="shared" si="22"/>
        <v>92.314499999999981</v>
      </c>
      <c r="CV68" s="137">
        <f t="shared" si="23"/>
        <v>92.314499999999981</v>
      </c>
      <c r="CW68" s="137">
        <f t="shared" si="24"/>
        <v>220</v>
      </c>
      <c r="CX68" s="458"/>
      <c r="CY68" s="458"/>
    </row>
    <row r="69" spans="1:183" ht="13.5">
      <c r="A69" s="122"/>
      <c r="B69" s="866" t="s">
        <v>881</v>
      </c>
      <c r="C69" s="867"/>
      <c r="D69" s="868"/>
      <c r="E69" s="108">
        <v>70</v>
      </c>
      <c r="F69" s="16"/>
      <c r="G69" s="108">
        <f t="shared" si="94"/>
        <v>0</v>
      </c>
      <c r="H69" s="108">
        <f t="shared" si="99"/>
        <v>-70</v>
      </c>
      <c r="I69" s="108">
        <v>140</v>
      </c>
      <c r="J69" s="16">
        <v>77.873999999999995</v>
      </c>
      <c r="K69" s="108">
        <f t="shared" si="95"/>
        <v>55.624285714285712</v>
      </c>
      <c r="L69" s="122">
        <f t="shared" si="81"/>
        <v>-62.126000000000005</v>
      </c>
      <c r="M69" s="108">
        <v>285</v>
      </c>
      <c r="N69" s="216">
        <v>26.95</v>
      </c>
      <c r="O69" s="462">
        <f t="shared" si="82"/>
        <v>9.4561403508771935</v>
      </c>
      <c r="P69" s="463">
        <f t="shared" si="29"/>
        <v>-258.05</v>
      </c>
      <c r="Q69" s="462">
        <v>270</v>
      </c>
      <c r="R69" s="216">
        <v>108.1</v>
      </c>
      <c r="S69" s="462">
        <f>R69/Q69*100</f>
        <v>40.037037037037038</v>
      </c>
      <c r="T69" s="463">
        <f t="shared" si="100"/>
        <v>-161.9</v>
      </c>
      <c r="U69" s="462">
        <v>60</v>
      </c>
      <c r="V69" s="216"/>
      <c r="W69" s="462">
        <f t="shared" si="96"/>
        <v>0</v>
      </c>
      <c r="X69" s="463">
        <f t="shared" si="101"/>
        <v>-60</v>
      </c>
      <c r="Y69" s="462">
        <v>180</v>
      </c>
      <c r="Z69" s="216">
        <v>97.046000000000006</v>
      </c>
      <c r="AA69" s="462">
        <f t="shared" si="84"/>
        <v>53.914444444444442</v>
      </c>
      <c r="AB69" s="463">
        <f t="shared" si="79"/>
        <v>-82.953999999999994</v>
      </c>
      <c r="AC69" s="462">
        <v>140</v>
      </c>
      <c r="AD69" s="216">
        <v>49</v>
      </c>
      <c r="AE69" s="462">
        <f>AD69/AC69*100</f>
        <v>35</v>
      </c>
      <c r="AF69" s="122">
        <f t="shared" ref="AF69:AF75" si="109">AD69-AC69</f>
        <v>-91</v>
      </c>
      <c r="AG69" s="451">
        <f t="shared" si="3"/>
        <v>1145</v>
      </c>
      <c r="AH69" s="452">
        <f t="shared" si="3"/>
        <v>358.96999999999997</v>
      </c>
      <c r="AI69" s="452">
        <f t="shared" si="86"/>
        <v>31.351091703056767</v>
      </c>
      <c r="AJ69" s="461">
        <f t="shared" si="32"/>
        <v>-786.03</v>
      </c>
      <c r="AK69" s="108">
        <v>15</v>
      </c>
      <c r="AL69" s="216">
        <v>6</v>
      </c>
      <c r="AM69" s="462">
        <f>AL69/AK69*100</f>
        <v>40</v>
      </c>
      <c r="AN69" s="108">
        <f t="shared" si="102"/>
        <v>-9</v>
      </c>
      <c r="AO69" s="108">
        <v>10</v>
      </c>
      <c r="AP69" s="465"/>
      <c r="AQ69" s="462"/>
      <c r="AR69" s="462">
        <f t="shared" si="103"/>
        <v>-10</v>
      </c>
      <c r="AS69" s="462">
        <v>20</v>
      </c>
      <c r="AT69" s="465"/>
      <c r="AU69" s="462"/>
      <c r="AV69" s="462">
        <f t="shared" si="88"/>
        <v>-20</v>
      </c>
      <c r="AW69" s="462">
        <v>20</v>
      </c>
      <c r="AX69" s="216">
        <v>2.7114500000000001</v>
      </c>
      <c r="AY69" s="462">
        <f>AX69/AW69*100</f>
        <v>13.557250000000002</v>
      </c>
      <c r="AZ69" s="462">
        <f t="shared" si="104"/>
        <v>-17.288550000000001</v>
      </c>
      <c r="BA69" s="451">
        <f t="shared" si="8"/>
        <v>65</v>
      </c>
      <c r="BB69" s="542">
        <f t="shared" si="97"/>
        <v>8.7114499999999992</v>
      </c>
      <c r="BC69" s="452">
        <f>BB69/BA69*100</f>
        <v>13.402230769230769</v>
      </c>
      <c r="BD69" s="452">
        <f t="shared" si="105"/>
        <v>-56.288550000000001</v>
      </c>
      <c r="BE69" s="108"/>
      <c r="BF69" s="465"/>
      <c r="BG69" s="462"/>
      <c r="BH69" s="462">
        <f t="shared" si="106"/>
        <v>0</v>
      </c>
      <c r="BI69" s="462"/>
      <c r="BJ69" s="465"/>
      <c r="BK69" s="473"/>
      <c r="BL69" s="462">
        <f t="shared" si="107"/>
        <v>0</v>
      </c>
      <c r="BM69" s="462"/>
      <c r="BN69" s="465"/>
      <c r="BO69" s="462"/>
      <c r="BP69" s="462">
        <f t="shared" si="89"/>
        <v>0</v>
      </c>
      <c r="BQ69" s="462">
        <v>150</v>
      </c>
      <c r="BR69" s="465"/>
      <c r="BS69" s="469">
        <f t="shared" si="18"/>
        <v>0</v>
      </c>
      <c r="BT69" s="106">
        <f t="shared" si="19"/>
        <v>-150</v>
      </c>
      <c r="BU69" s="108"/>
      <c r="BV69" s="452">
        <v>2.4216000000000002</v>
      </c>
      <c r="BW69" s="108"/>
      <c r="BX69" s="122"/>
      <c r="BY69" s="462">
        <v>90</v>
      </c>
      <c r="BZ69" s="216"/>
      <c r="CA69" s="474"/>
      <c r="CB69" s="463">
        <f t="shared" si="27"/>
        <v>-90</v>
      </c>
      <c r="CC69" s="463"/>
      <c r="CD69" s="475"/>
      <c r="CE69" s="463"/>
      <c r="CF69" s="463"/>
      <c r="CG69" s="462">
        <v>50</v>
      </c>
      <c r="CH69" s="465">
        <v>17.79</v>
      </c>
      <c r="CI69" s="545">
        <f t="shared" ref="CI69:CI74" si="110">CH69/CG69*100</f>
        <v>35.58</v>
      </c>
      <c r="CJ69" s="463"/>
      <c r="CK69" s="468">
        <f t="shared" si="108"/>
        <v>1500</v>
      </c>
      <c r="CL69" s="668">
        <f t="shared" si="93"/>
        <v>387.89305000000002</v>
      </c>
      <c r="CM69" s="452">
        <f t="shared" si="13"/>
        <v>25.859536666666667</v>
      </c>
      <c r="CN69" s="452">
        <f t="shared" si="14"/>
        <v>-1112.1069499999999</v>
      </c>
      <c r="CP69" s="142">
        <f t="shared" si="67"/>
        <v>370.10305</v>
      </c>
      <c r="CQ69" s="137">
        <f t="shared" si="68"/>
        <v>1300</v>
      </c>
      <c r="CS69" s="146">
        <f t="shared" si="69"/>
        <v>370.10305</v>
      </c>
      <c r="CT69" s="137">
        <f t="shared" si="21"/>
        <v>387.89305000000002</v>
      </c>
      <c r="CU69" s="137">
        <f t="shared" si="22"/>
        <v>387.89305000000002</v>
      </c>
      <c r="CV69" s="137">
        <f t="shared" si="23"/>
        <v>367.68144999999998</v>
      </c>
      <c r="CW69" s="137">
        <f t="shared" si="24"/>
        <v>1500</v>
      </c>
      <c r="CX69" s="458"/>
      <c r="CY69" s="458"/>
    </row>
    <row r="70" spans="1:183" ht="13.5">
      <c r="A70" s="122"/>
      <c r="B70" s="866" t="s">
        <v>224</v>
      </c>
      <c r="C70" s="867"/>
      <c r="D70" s="868"/>
      <c r="E70" s="108"/>
      <c r="F70" s="16">
        <v>111.065</v>
      </c>
      <c r="G70" s="108">
        <v>0</v>
      </c>
      <c r="H70" s="108">
        <f t="shared" si="99"/>
        <v>111.065</v>
      </c>
      <c r="I70" s="108"/>
      <c r="J70" s="16"/>
      <c r="K70" s="108">
        <v>0</v>
      </c>
      <c r="L70" s="122">
        <f t="shared" si="81"/>
        <v>0</v>
      </c>
      <c r="M70" s="108"/>
      <c r="N70" s="216">
        <v>71</v>
      </c>
      <c r="O70" s="462">
        <v>0</v>
      </c>
      <c r="P70" s="463">
        <f t="shared" si="29"/>
        <v>71</v>
      </c>
      <c r="Q70" s="462"/>
      <c r="R70" s="216">
        <v>117.068</v>
      </c>
      <c r="S70" s="462">
        <v>0</v>
      </c>
      <c r="T70" s="463">
        <f t="shared" si="100"/>
        <v>117.068</v>
      </c>
      <c r="U70" s="462"/>
      <c r="V70" s="216">
        <v>30</v>
      </c>
      <c r="W70" s="462">
        <v>0</v>
      </c>
      <c r="X70" s="463">
        <f t="shared" si="101"/>
        <v>30</v>
      </c>
      <c r="Y70" s="462"/>
      <c r="Z70" s="216">
        <v>182.60816</v>
      </c>
      <c r="AA70" s="462"/>
      <c r="AB70" s="463">
        <f t="shared" si="79"/>
        <v>182.60816</v>
      </c>
      <c r="AC70" s="462"/>
      <c r="AD70" s="216">
        <v>78.4268</v>
      </c>
      <c r="AE70" s="462"/>
      <c r="AF70" s="122">
        <f t="shared" si="109"/>
        <v>78.4268</v>
      </c>
      <c r="AG70" s="451">
        <f t="shared" si="3"/>
        <v>0</v>
      </c>
      <c r="AH70" s="452">
        <f t="shared" si="3"/>
        <v>590.16795999999999</v>
      </c>
      <c r="AI70" s="452"/>
      <c r="AJ70" s="461">
        <f t="shared" si="32"/>
        <v>590.16795999999999</v>
      </c>
      <c r="AK70" s="108"/>
      <c r="AL70" s="216">
        <v>34</v>
      </c>
      <c r="AM70" s="462"/>
      <c r="AN70" s="108">
        <f t="shared" si="102"/>
        <v>34</v>
      </c>
      <c r="AO70" s="108"/>
      <c r="AP70" s="465"/>
      <c r="AQ70" s="462"/>
      <c r="AR70" s="462">
        <f t="shared" si="103"/>
        <v>0</v>
      </c>
      <c r="AS70" s="462"/>
      <c r="AT70" s="465">
        <v>122.03995999999999</v>
      </c>
      <c r="AU70" s="462"/>
      <c r="AV70" s="462">
        <f t="shared" si="88"/>
        <v>122.03995999999999</v>
      </c>
      <c r="AW70" s="462"/>
      <c r="AX70" s="216">
        <v>94.65</v>
      </c>
      <c r="AY70" s="462"/>
      <c r="AZ70" s="462">
        <f t="shared" si="104"/>
        <v>94.65</v>
      </c>
      <c r="BA70" s="451">
        <f t="shared" si="8"/>
        <v>0</v>
      </c>
      <c r="BB70" s="542">
        <f t="shared" si="97"/>
        <v>250.68996000000001</v>
      </c>
      <c r="BC70" s="452"/>
      <c r="BD70" s="452">
        <f t="shared" si="105"/>
        <v>250.68996000000001</v>
      </c>
      <c r="BE70" s="108"/>
      <c r="BF70" s="465">
        <v>12.911</v>
      </c>
      <c r="BG70" s="462"/>
      <c r="BH70" s="462">
        <f t="shared" si="106"/>
        <v>12.911</v>
      </c>
      <c r="BI70" s="462"/>
      <c r="BJ70" s="465"/>
      <c r="BK70" s="473"/>
      <c r="BL70" s="462">
        <f t="shared" si="107"/>
        <v>0</v>
      </c>
      <c r="BM70" s="462"/>
      <c r="BN70" s="465">
        <v>6.12</v>
      </c>
      <c r="BO70" s="462"/>
      <c r="BP70" s="462">
        <f t="shared" si="89"/>
        <v>6.12</v>
      </c>
      <c r="BQ70" s="462"/>
      <c r="BR70" s="465"/>
      <c r="BS70" s="469">
        <v>0</v>
      </c>
      <c r="BT70" s="106">
        <f t="shared" si="19"/>
        <v>0</v>
      </c>
      <c r="BU70" s="108">
        <v>2</v>
      </c>
      <c r="BV70" s="452"/>
      <c r="BW70" s="108"/>
      <c r="BX70" s="122"/>
      <c r="BY70" s="462">
        <v>173</v>
      </c>
      <c r="BZ70" s="216">
        <v>81.374499999999998</v>
      </c>
      <c r="CA70" s="474"/>
      <c r="CB70" s="463"/>
      <c r="CC70" s="463"/>
      <c r="CD70" s="475">
        <v>5.56</v>
      </c>
      <c r="CE70" s="463"/>
      <c r="CF70" s="463"/>
      <c r="CG70" s="462">
        <v>150</v>
      </c>
      <c r="CH70" s="465">
        <v>198.929</v>
      </c>
      <c r="CI70" s="545">
        <f t="shared" si="110"/>
        <v>132.61933333333334</v>
      </c>
      <c r="CJ70" s="463"/>
      <c r="CK70" s="468">
        <f t="shared" si="108"/>
        <v>325</v>
      </c>
      <c r="CL70" s="668">
        <f t="shared" si="93"/>
        <v>1145.75242</v>
      </c>
      <c r="CM70" s="452">
        <f>CL70/CK70*100</f>
        <v>352.53920615384618</v>
      </c>
      <c r="CN70" s="452">
        <f>CL70-CK70</f>
        <v>820.75242000000003</v>
      </c>
      <c r="CP70" s="142">
        <f t="shared" si="67"/>
        <v>946.82341999999983</v>
      </c>
      <c r="CQ70" s="137">
        <f t="shared" si="68"/>
        <v>175</v>
      </c>
      <c r="CS70" s="146">
        <f t="shared" si="69"/>
        <v>946.82341999999983</v>
      </c>
      <c r="CT70" s="137">
        <f t="shared" si="21"/>
        <v>1145.7524199999998</v>
      </c>
      <c r="CU70" s="137">
        <f t="shared" si="22"/>
        <v>1145.7524199999998</v>
      </c>
      <c r="CV70" s="137">
        <f t="shared" si="23"/>
        <v>859.88891999999987</v>
      </c>
      <c r="CW70" s="137">
        <f t="shared" si="24"/>
        <v>325</v>
      </c>
      <c r="CX70" s="458"/>
      <c r="CY70" s="458"/>
    </row>
    <row r="71" spans="1:183" ht="13.5" hidden="1">
      <c r="A71" s="122"/>
      <c r="B71" s="866" t="s">
        <v>620</v>
      </c>
      <c r="C71" s="867"/>
      <c r="D71" s="868"/>
      <c r="E71" s="108">
        <f t="shared" ref="E71:E75" si="111">F71</f>
        <v>0</v>
      </c>
      <c r="F71" s="16"/>
      <c r="G71" s="108"/>
      <c r="H71" s="108">
        <f t="shared" si="99"/>
        <v>0</v>
      </c>
      <c r="I71" s="108"/>
      <c r="J71" s="16"/>
      <c r="K71" s="108"/>
      <c r="L71" s="122">
        <f t="shared" si="81"/>
        <v>0</v>
      </c>
      <c r="M71" s="108">
        <f t="shared" ref="M71:M75" si="112">N71</f>
        <v>0</v>
      </c>
      <c r="N71" s="216"/>
      <c r="O71" s="462"/>
      <c r="P71" s="463">
        <f t="shared" si="29"/>
        <v>0</v>
      </c>
      <c r="Q71" s="462">
        <v>0</v>
      </c>
      <c r="R71" s="216"/>
      <c r="S71" s="462"/>
      <c r="T71" s="463">
        <f t="shared" si="100"/>
        <v>0</v>
      </c>
      <c r="U71" s="462"/>
      <c r="V71" s="216"/>
      <c r="W71" s="462"/>
      <c r="X71" s="463">
        <f t="shared" si="101"/>
        <v>0</v>
      </c>
      <c r="Y71" s="462"/>
      <c r="Z71" s="216"/>
      <c r="AA71" s="462"/>
      <c r="AB71" s="463">
        <f t="shared" si="79"/>
        <v>0</v>
      </c>
      <c r="AC71" s="462"/>
      <c r="AD71" s="216"/>
      <c r="AE71" s="462"/>
      <c r="AF71" s="122">
        <f t="shared" si="109"/>
        <v>0</v>
      </c>
      <c r="AG71" s="451">
        <f t="shared" si="3"/>
        <v>0</v>
      </c>
      <c r="AH71" s="452">
        <f t="shared" si="3"/>
        <v>0</v>
      </c>
      <c r="AI71" s="452"/>
      <c r="AJ71" s="461">
        <f t="shared" si="32"/>
        <v>0</v>
      </c>
      <c r="AK71" s="108"/>
      <c r="AL71" s="216"/>
      <c r="AM71" s="462"/>
      <c r="AN71" s="108">
        <f t="shared" si="102"/>
        <v>0</v>
      </c>
      <c r="AO71" s="108"/>
      <c r="AP71" s="465"/>
      <c r="AQ71" s="462"/>
      <c r="AR71" s="462">
        <f t="shared" si="103"/>
        <v>0</v>
      </c>
      <c r="AS71" s="462"/>
      <c r="AT71" s="465"/>
      <c r="AU71" s="462"/>
      <c r="AV71" s="462">
        <f t="shared" si="88"/>
        <v>0</v>
      </c>
      <c r="AW71" s="462"/>
      <c r="AX71" s="216"/>
      <c r="AY71" s="462"/>
      <c r="AZ71" s="462">
        <f t="shared" si="104"/>
        <v>0</v>
      </c>
      <c r="BA71" s="451">
        <f t="shared" si="8"/>
        <v>0</v>
      </c>
      <c r="BB71" s="542">
        <f t="shared" si="97"/>
        <v>0</v>
      </c>
      <c r="BC71" s="452"/>
      <c r="BD71" s="452">
        <f t="shared" si="105"/>
        <v>0</v>
      </c>
      <c r="BE71" s="108"/>
      <c r="BF71" s="465"/>
      <c r="BG71" s="462"/>
      <c r="BH71" s="462">
        <f t="shared" si="106"/>
        <v>0</v>
      </c>
      <c r="BI71" s="462"/>
      <c r="BJ71" s="465"/>
      <c r="BK71" s="473"/>
      <c r="BL71" s="462">
        <f t="shared" si="107"/>
        <v>0</v>
      </c>
      <c r="BM71" s="462"/>
      <c r="BN71" s="465"/>
      <c r="BO71" s="462"/>
      <c r="BP71" s="462">
        <f t="shared" si="89"/>
        <v>0</v>
      </c>
      <c r="BQ71" s="462"/>
      <c r="BR71" s="465"/>
      <c r="BS71" s="469">
        <v>0</v>
      </c>
      <c r="BT71" s="106">
        <f t="shared" si="19"/>
        <v>0</v>
      </c>
      <c r="BU71" s="108"/>
      <c r="BV71" s="452"/>
      <c r="BW71" s="108"/>
      <c r="BX71" s="122"/>
      <c r="BY71" s="462"/>
      <c r="BZ71" s="216"/>
      <c r="CA71" s="474"/>
      <c r="CB71" s="463">
        <f t="shared" si="27"/>
        <v>0</v>
      </c>
      <c r="CC71" s="463"/>
      <c r="CD71" s="475"/>
      <c r="CE71" s="463"/>
      <c r="CF71" s="463"/>
      <c r="CG71" s="462"/>
      <c r="CH71" s="465"/>
      <c r="CI71" s="545"/>
      <c r="CJ71" s="463"/>
      <c r="CK71" s="468">
        <f t="shared" si="108"/>
        <v>0</v>
      </c>
      <c r="CL71" s="668">
        <f t="shared" si="93"/>
        <v>0</v>
      </c>
      <c r="CM71" s="452">
        <v>0</v>
      </c>
      <c r="CN71" s="452">
        <f>CL71-CK71</f>
        <v>0</v>
      </c>
      <c r="CP71" s="142">
        <f t="shared" si="67"/>
        <v>0</v>
      </c>
      <c r="CQ71" s="137">
        <f t="shared" si="68"/>
        <v>0</v>
      </c>
      <c r="CS71" s="146">
        <f t="shared" si="69"/>
        <v>0</v>
      </c>
      <c r="CT71" s="137">
        <f t="shared" si="21"/>
        <v>0</v>
      </c>
      <c r="CU71" s="137">
        <f t="shared" si="22"/>
        <v>0</v>
      </c>
      <c r="CV71" s="137">
        <f t="shared" si="23"/>
        <v>0</v>
      </c>
      <c r="CW71" s="137">
        <f t="shared" si="24"/>
        <v>0</v>
      </c>
      <c r="CX71" s="458"/>
      <c r="CY71" s="458"/>
    </row>
    <row r="72" spans="1:183" ht="13.5" hidden="1">
      <c r="A72" s="122"/>
      <c r="B72" s="866" t="s">
        <v>244</v>
      </c>
      <c r="C72" s="867"/>
      <c r="D72" s="868"/>
      <c r="E72" s="108">
        <f t="shared" si="111"/>
        <v>0</v>
      </c>
      <c r="F72" s="16"/>
      <c r="G72" s="108"/>
      <c r="H72" s="108">
        <f t="shared" si="99"/>
        <v>0</v>
      </c>
      <c r="I72" s="108">
        <f t="shared" ref="I72:I75" si="113">J72</f>
        <v>0</v>
      </c>
      <c r="J72" s="16"/>
      <c r="K72" s="108"/>
      <c r="L72" s="122">
        <f t="shared" si="81"/>
        <v>0</v>
      </c>
      <c r="M72" s="108">
        <f t="shared" si="112"/>
        <v>0</v>
      </c>
      <c r="N72" s="216"/>
      <c r="O72" s="462"/>
      <c r="P72" s="463">
        <f t="shared" si="29"/>
        <v>0</v>
      </c>
      <c r="Q72" s="462">
        <f t="shared" ref="Q72:Q75" si="114">R72</f>
        <v>0</v>
      </c>
      <c r="R72" s="216"/>
      <c r="S72" s="462"/>
      <c r="T72" s="463">
        <f t="shared" si="100"/>
        <v>0</v>
      </c>
      <c r="U72" s="462"/>
      <c r="V72" s="216"/>
      <c r="W72" s="462"/>
      <c r="X72" s="463">
        <f t="shared" si="101"/>
        <v>0</v>
      </c>
      <c r="Y72" s="462"/>
      <c r="Z72" s="216"/>
      <c r="AA72" s="462"/>
      <c r="AB72" s="463">
        <f t="shared" si="79"/>
        <v>0</v>
      </c>
      <c r="AC72" s="462"/>
      <c r="AD72" s="216"/>
      <c r="AE72" s="462"/>
      <c r="AF72" s="122">
        <f t="shared" si="109"/>
        <v>0</v>
      </c>
      <c r="AG72" s="451">
        <f t="shared" si="3"/>
        <v>0</v>
      </c>
      <c r="AH72" s="452">
        <f t="shared" si="3"/>
        <v>0</v>
      </c>
      <c r="AI72" s="452" t="e">
        <f t="shared" si="86"/>
        <v>#DIV/0!</v>
      </c>
      <c r="AJ72" s="461">
        <f t="shared" si="32"/>
        <v>0</v>
      </c>
      <c r="AK72" s="108"/>
      <c r="AL72" s="216"/>
      <c r="AM72" s="462"/>
      <c r="AN72" s="108">
        <f t="shared" si="102"/>
        <v>0</v>
      </c>
      <c r="AO72" s="108"/>
      <c r="AP72" s="465"/>
      <c r="AQ72" s="462"/>
      <c r="AR72" s="462">
        <f t="shared" si="103"/>
        <v>0</v>
      </c>
      <c r="AS72" s="462"/>
      <c r="AT72" s="465"/>
      <c r="AU72" s="462"/>
      <c r="AV72" s="462">
        <f t="shared" si="88"/>
        <v>0</v>
      </c>
      <c r="AW72" s="462"/>
      <c r="AX72" s="216"/>
      <c r="AY72" s="462"/>
      <c r="AZ72" s="462">
        <f t="shared" si="104"/>
        <v>0</v>
      </c>
      <c r="BA72" s="451">
        <f t="shared" si="8"/>
        <v>0</v>
      </c>
      <c r="BB72" s="542">
        <f t="shared" si="97"/>
        <v>0</v>
      </c>
      <c r="BC72" s="452"/>
      <c r="BD72" s="452">
        <f t="shared" si="105"/>
        <v>0</v>
      </c>
      <c r="BE72" s="108"/>
      <c r="BF72" s="465"/>
      <c r="BG72" s="462"/>
      <c r="BH72" s="462">
        <f t="shared" si="106"/>
        <v>0</v>
      </c>
      <c r="BI72" s="462"/>
      <c r="BJ72" s="465"/>
      <c r="BK72" s="473"/>
      <c r="BL72" s="462">
        <f t="shared" si="107"/>
        <v>0</v>
      </c>
      <c r="BM72" s="462"/>
      <c r="BN72" s="465"/>
      <c r="BO72" s="462"/>
      <c r="BP72" s="462">
        <f t="shared" si="89"/>
        <v>0</v>
      </c>
      <c r="BQ72" s="462"/>
      <c r="BR72" s="465"/>
      <c r="BS72" s="469" t="e">
        <f t="shared" si="18"/>
        <v>#DIV/0!</v>
      </c>
      <c r="BT72" s="106">
        <f t="shared" si="19"/>
        <v>0</v>
      </c>
      <c r="BU72" s="108"/>
      <c r="BV72" s="452"/>
      <c r="BW72" s="108"/>
      <c r="BX72" s="122"/>
      <c r="BY72" s="462"/>
      <c r="BZ72" s="216"/>
      <c r="CA72" s="474" t="e">
        <f>BZ72/BY72*100</f>
        <v>#DIV/0!</v>
      </c>
      <c r="CB72" s="463"/>
      <c r="CC72" s="463"/>
      <c r="CD72" s="475"/>
      <c r="CE72" s="463"/>
      <c r="CF72" s="463"/>
      <c r="CG72" s="462"/>
      <c r="CH72" s="465"/>
      <c r="CI72" s="545" t="e">
        <f t="shared" si="110"/>
        <v>#DIV/0!</v>
      </c>
      <c r="CJ72" s="463"/>
      <c r="CK72" s="468">
        <f t="shared" si="108"/>
        <v>0</v>
      </c>
      <c r="CL72" s="668">
        <f t="shared" si="93"/>
        <v>0</v>
      </c>
      <c r="CM72" s="452" t="e">
        <f>CL72/CK72*100</f>
        <v>#DIV/0!</v>
      </c>
      <c r="CN72" s="452">
        <f>CL72-CK72</f>
        <v>0</v>
      </c>
      <c r="CP72" s="142">
        <f t="shared" si="67"/>
        <v>0</v>
      </c>
      <c r="CQ72" s="137">
        <f t="shared" si="68"/>
        <v>0</v>
      </c>
      <c r="CS72" s="146">
        <f t="shared" si="69"/>
        <v>0</v>
      </c>
      <c r="CT72" s="137">
        <f t="shared" si="21"/>
        <v>0</v>
      </c>
      <c r="CU72" s="137">
        <f t="shared" si="22"/>
        <v>0</v>
      </c>
      <c r="CV72" s="137">
        <f t="shared" si="23"/>
        <v>0</v>
      </c>
      <c r="CW72" s="137">
        <f t="shared" si="24"/>
        <v>0</v>
      </c>
      <c r="CX72" s="458"/>
      <c r="CY72" s="458"/>
    </row>
    <row r="73" spans="1:183" ht="13.5">
      <c r="A73" s="122"/>
      <c r="B73" s="866" t="s">
        <v>148</v>
      </c>
      <c r="C73" s="867"/>
      <c r="D73" s="868"/>
      <c r="E73" s="108">
        <f t="shared" si="111"/>
        <v>0</v>
      </c>
      <c r="F73" s="16"/>
      <c r="G73" s="108"/>
      <c r="H73" s="108">
        <f t="shared" si="99"/>
        <v>0</v>
      </c>
      <c r="I73" s="108">
        <f t="shared" si="113"/>
        <v>0</v>
      </c>
      <c r="J73" s="16"/>
      <c r="K73" s="108"/>
      <c r="L73" s="122">
        <f t="shared" si="81"/>
        <v>0</v>
      </c>
      <c r="M73" s="108">
        <f t="shared" si="112"/>
        <v>0</v>
      </c>
      <c r="N73" s="216"/>
      <c r="O73" s="462"/>
      <c r="P73" s="463">
        <f t="shared" si="29"/>
        <v>0</v>
      </c>
      <c r="Q73" s="462">
        <f t="shared" si="114"/>
        <v>0</v>
      </c>
      <c r="R73" s="216"/>
      <c r="S73" s="462"/>
      <c r="T73" s="463">
        <f t="shared" si="100"/>
        <v>0</v>
      </c>
      <c r="U73" s="462"/>
      <c r="V73" s="216"/>
      <c r="W73" s="462"/>
      <c r="X73" s="463">
        <f t="shared" si="101"/>
        <v>0</v>
      </c>
      <c r="Y73" s="462"/>
      <c r="Z73" s="216"/>
      <c r="AA73" s="462"/>
      <c r="AB73" s="463">
        <f t="shared" si="79"/>
        <v>0</v>
      </c>
      <c r="AC73" s="462"/>
      <c r="AD73" s="216"/>
      <c r="AE73" s="462"/>
      <c r="AF73" s="122">
        <f t="shared" si="109"/>
        <v>0</v>
      </c>
      <c r="AG73" s="451">
        <f t="shared" si="3"/>
        <v>0</v>
      </c>
      <c r="AH73" s="452">
        <f t="shared" si="3"/>
        <v>0</v>
      </c>
      <c r="AI73" s="452"/>
      <c r="AJ73" s="461">
        <f t="shared" si="32"/>
        <v>0</v>
      </c>
      <c r="AK73" s="108"/>
      <c r="AL73" s="216"/>
      <c r="AM73" s="462"/>
      <c r="AN73" s="108">
        <f t="shared" si="102"/>
        <v>0</v>
      </c>
      <c r="AO73" s="108"/>
      <c r="AP73" s="465"/>
      <c r="AQ73" s="462"/>
      <c r="AR73" s="462">
        <f t="shared" si="103"/>
        <v>0</v>
      </c>
      <c r="AS73" s="462"/>
      <c r="AT73" s="465"/>
      <c r="AU73" s="462"/>
      <c r="AV73" s="462">
        <f t="shared" si="88"/>
        <v>0</v>
      </c>
      <c r="AW73" s="462"/>
      <c r="AX73" s="216"/>
      <c r="AY73" s="462"/>
      <c r="AZ73" s="462">
        <f t="shared" si="104"/>
        <v>0</v>
      </c>
      <c r="BA73" s="451">
        <f t="shared" si="8"/>
        <v>0</v>
      </c>
      <c r="BB73" s="542">
        <f t="shared" si="97"/>
        <v>0</v>
      </c>
      <c r="BC73" s="452"/>
      <c r="BD73" s="452">
        <f t="shared" si="105"/>
        <v>0</v>
      </c>
      <c r="BE73" s="108"/>
      <c r="BF73" s="465"/>
      <c r="BG73" s="462"/>
      <c r="BH73" s="462">
        <f t="shared" si="106"/>
        <v>0</v>
      </c>
      <c r="BI73" s="462"/>
      <c r="BJ73" s="465"/>
      <c r="BK73" s="473"/>
      <c r="BL73" s="462">
        <f t="shared" si="107"/>
        <v>0</v>
      </c>
      <c r="BM73" s="462"/>
      <c r="BN73" s="465"/>
      <c r="BO73" s="462"/>
      <c r="BP73" s="462">
        <f t="shared" si="89"/>
        <v>0</v>
      </c>
      <c r="BQ73" s="462"/>
      <c r="BR73" s="465"/>
      <c r="BS73" s="469">
        <v>0</v>
      </c>
      <c r="BT73" s="106">
        <f t="shared" si="19"/>
        <v>0</v>
      </c>
      <c r="BU73" s="108"/>
      <c r="BV73" s="452"/>
      <c r="BW73" s="108"/>
      <c r="BX73" s="122"/>
      <c r="BY73" s="462">
        <v>25</v>
      </c>
      <c r="BZ73" s="216"/>
      <c r="CA73" s="474">
        <v>0</v>
      </c>
      <c r="CB73" s="463">
        <f t="shared" si="27"/>
        <v>-25</v>
      </c>
      <c r="CC73" s="463"/>
      <c r="CD73" s="475"/>
      <c r="CE73" s="463"/>
      <c r="CF73" s="463"/>
      <c r="CG73" s="462"/>
      <c r="CH73" s="465"/>
      <c r="CI73" s="545"/>
      <c r="CJ73" s="463"/>
      <c r="CK73" s="468">
        <f t="shared" si="108"/>
        <v>25</v>
      </c>
      <c r="CL73" s="668">
        <f t="shared" si="93"/>
        <v>0</v>
      </c>
      <c r="CM73" s="452">
        <v>0</v>
      </c>
      <c r="CN73" s="452">
        <f t="shared" si="14"/>
        <v>-25</v>
      </c>
      <c r="CP73" s="142">
        <f t="shared" si="67"/>
        <v>0</v>
      </c>
      <c r="CQ73" s="137">
        <f t="shared" si="68"/>
        <v>25</v>
      </c>
      <c r="CS73" s="146">
        <f t="shared" si="69"/>
        <v>0</v>
      </c>
      <c r="CT73" s="137">
        <f t="shared" si="21"/>
        <v>0</v>
      </c>
      <c r="CU73" s="137">
        <f t="shared" si="22"/>
        <v>0</v>
      </c>
      <c r="CV73" s="137">
        <f t="shared" si="23"/>
        <v>0</v>
      </c>
      <c r="CW73" s="137">
        <f t="shared" si="24"/>
        <v>25</v>
      </c>
      <c r="CX73" s="458"/>
      <c r="CY73" s="458"/>
    </row>
    <row r="74" spans="1:183" ht="13.5">
      <c r="A74" s="122"/>
      <c r="B74" s="866" t="s">
        <v>226</v>
      </c>
      <c r="C74" s="867"/>
      <c r="D74" s="868"/>
      <c r="E74" s="108">
        <v>40</v>
      </c>
      <c r="F74" s="16"/>
      <c r="G74" s="108"/>
      <c r="H74" s="108">
        <f t="shared" si="99"/>
        <v>-40</v>
      </c>
      <c r="I74" s="108">
        <v>100</v>
      </c>
      <c r="J74" s="16"/>
      <c r="K74" s="108"/>
      <c r="L74" s="122">
        <f t="shared" si="81"/>
        <v>-100</v>
      </c>
      <c r="M74" s="108">
        <v>150</v>
      </c>
      <c r="N74" s="216"/>
      <c r="O74" s="462"/>
      <c r="P74" s="463">
        <f t="shared" si="29"/>
        <v>-150</v>
      </c>
      <c r="Q74" s="462">
        <v>150</v>
      </c>
      <c r="R74" s="216">
        <v>112.47199999999999</v>
      </c>
      <c r="S74" s="462"/>
      <c r="T74" s="463">
        <f t="shared" si="100"/>
        <v>-37.528000000000006</v>
      </c>
      <c r="U74" s="462">
        <v>80</v>
      </c>
      <c r="V74" s="216">
        <v>13</v>
      </c>
      <c r="W74" s="462"/>
      <c r="X74" s="463">
        <f t="shared" si="101"/>
        <v>-67</v>
      </c>
      <c r="Y74" s="462">
        <v>100</v>
      </c>
      <c r="Z74" s="216">
        <v>60</v>
      </c>
      <c r="AA74" s="462"/>
      <c r="AB74" s="463">
        <f t="shared" si="79"/>
        <v>-40</v>
      </c>
      <c r="AC74" s="462">
        <v>100</v>
      </c>
      <c r="AD74" s="216">
        <v>12.163</v>
      </c>
      <c r="AE74" s="462"/>
      <c r="AF74" s="122">
        <f t="shared" si="109"/>
        <v>-87.837000000000003</v>
      </c>
      <c r="AG74" s="451">
        <f t="shared" si="3"/>
        <v>720</v>
      </c>
      <c r="AH74" s="452">
        <f t="shared" si="3"/>
        <v>197.63499999999999</v>
      </c>
      <c r="AI74" s="452"/>
      <c r="AJ74" s="461">
        <f t="shared" si="32"/>
        <v>-522.36500000000001</v>
      </c>
      <c r="AK74" s="108">
        <v>100</v>
      </c>
      <c r="AL74" s="216"/>
      <c r="AM74" s="462"/>
      <c r="AN74" s="108">
        <f t="shared" si="102"/>
        <v>-100</v>
      </c>
      <c r="AO74" s="108">
        <v>20</v>
      </c>
      <c r="AP74" s="465"/>
      <c r="AQ74" s="462"/>
      <c r="AR74" s="462">
        <f t="shared" si="103"/>
        <v>-20</v>
      </c>
      <c r="AS74" s="462">
        <v>100</v>
      </c>
      <c r="AT74" s="465">
        <v>26.040800000000001</v>
      </c>
      <c r="AU74" s="462"/>
      <c r="AV74" s="462">
        <f t="shared" si="88"/>
        <v>-73.959199999999996</v>
      </c>
      <c r="AW74" s="462">
        <v>100</v>
      </c>
      <c r="AX74" s="216">
        <v>6.5</v>
      </c>
      <c r="AY74" s="462"/>
      <c r="AZ74" s="462">
        <f t="shared" si="104"/>
        <v>-93.5</v>
      </c>
      <c r="BA74" s="451">
        <f t="shared" si="8"/>
        <v>320</v>
      </c>
      <c r="BB74" s="542">
        <f t="shared" si="97"/>
        <v>32.540800000000004</v>
      </c>
      <c r="BC74" s="452"/>
      <c r="BD74" s="452">
        <f t="shared" si="105"/>
        <v>-287.45920000000001</v>
      </c>
      <c r="BE74" s="108">
        <v>20</v>
      </c>
      <c r="BF74" s="465">
        <v>2.4900000000000002</v>
      </c>
      <c r="BG74" s="462"/>
      <c r="BH74" s="462">
        <f t="shared" si="106"/>
        <v>-17.509999999999998</v>
      </c>
      <c r="BI74" s="462">
        <v>15</v>
      </c>
      <c r="BJ74" s="465"/>
      <c r="BK74" s="473"/>
      <c r="BL74" s="462">
        <f t="shared" si="107"/>
        <v>-15</v>
      </c>
      <c r="BM74" s="462">
        <v>15</v>
      </c>
      <c r="BN74" s="465"/>
      <c r="BO74" s="462"/>
      <c r="BP74" s="462">
        <f t="shared" si="89"/>
        <v>-15</v>
      </c>
      <c r="BQ74" s="462">
        <v>200</v>
      </c>
      <c r="BR74" s="465"/>
      <c r="BS74" s="469">
        <v>0</v>
      </c>
      <c r="BT74" s="106">
        <f t="shared" si="19"/>
        <v>-200</v>
      </c>
      <c r="BU74" s="108"/>
      <c r="BV74" s="452"/>
      <c r="BW74" s="108"/>
      <c r="BX74" s="122"/>
      <c r="BY74" s="462"/>
      <c r="BZ74" s="216">
        <v>17.100000000000001</v>
      </c>
      <c r="CA74" s="474"/>
      <c r="CB74" s="463">
        <f t="shared" si="27"/>
        <v>17.100000000000001</v>
      </c>
      <c r="CC74" s="463"/>
      <c r="CD74" s="475"/>
      <c r="CE74" s="463"/>
      <c r="CF74" s="463"/>
      <c r="CG74" s="462">
        <v>400</v>
      </c>
      <c r="CH74" s="465">
        <v>98.015000000000001</v>
      </c>
      <c r="CI74" s="545">
        <f t="shared" si="110"/>
        <v>24.50375</v>
      </c>
      <c r="CJ74" s="463"/>
      <c r="CK74" s="468">
        <f t="shared" si="108"/>
        <v>1690</v>
      </c>
      <c r="CL74" s="668">
        <f t="shared" si="93"/>
        <v>347.7808</v>
      </c>
      <c r="CM74" s="452">
        <v>0</v>
      </c>
      <c r="CN74" s="452">
        <f t="shared" si="14"/>
        <v>-1342.2192</v>
      </c>
      <c r="CP74" s="142">
        <f t="shared" si="67"/>
        <v>249.76579999999998</v>
      </c>
      <c r="CQ74" s="137">
        <f t="shared" si="68"/>
        <v>1090</v>
      </c>
      <c r="CS74" s="146">
        <f t="shared" si="69"/>
        <v>249.76579999999998</v>
      </c>
      <c r="CT74" s="137">
        <f t="shared" si="21"/>
        <v>347.7808</v>
      </c>
      <c r="CU74" s="137">
        <f t="shared" si="22"/>
        <v>347.7808</v>
      </c>
      <c r="CV74" s="137">
        <f t="shared" si="23"/>
        <v>232.66579999999999</v>
      </c>
      <c r="CW74" s="137">
        <f t="shared" si="24"/>
        <v>1690</v>
      </c>
      <c r="CX74" s="458"/>
      <c r="CY74" s="458"/>
    </row>
    <row r="75" spans="1:183" ht="13.5">
      <c r="A75" s="122"/>
      <c r="B75" s="866" t="s">
        <v>227</v>
      </c>
      <c r="C75" s="867"/>
      <c r="D75" s="868"/>
      <c r="E75" s="108">
        <f t="shared" si="111"/>
        <v>0</v>
      </c>
      <c r="F75" s="16"/>
      <c r="G75" s="108"/>
      <c r="H75" s="108">
        <f t="shared" si="99"/>
        <v>0</v>
      </c>
      <c r="I75" s="108">
        <f t="shared" si="113"/>
        <v>0</v>
      </c>
      <c r="J75" s="16"/>
      <c r="K75" s="108"/>
      <c r="L75" s="122">
        <f t="shared" si="81"/>
        <v>0</v>
      </c>
      <c r="M75" s="108">
        <f t="shared" si="112"/>
        <v>0</v>
      </c>
      <c r="N75" s="16"/>
      <c r="O75" s="108"/>
      <c r="P75" s="122">
        <f t="shared" si="29"/>
        <v>0</v>
      </c>
      <c r="Q75" s="108">
        <f t="shared" si="114"/>
        <v>0</v>
      </c>
      <c r="R75" s="16"/>
      <c r="S75" s="108"/>
      <c r="T75" s="122">
        <f t="shared" si="100"/>
        <v>0</v>
      </c>
      <c r="U75" s="108"/>
      <c r="V75" s="16"/>
      <c r="W75" s="108"/>
      <c r="X75" s="122">
        <f t="shared" si="101"/>
        <v>0</v>
      </c>
      <c r="Y75" s="108"/>
      <c r="Z75" s="16"/>
      <c r="AA75" s="108"/>
      <c r="AB75" s="122">
        <f t="shared" si="79"/>
        <v>0</v>
      </c>
      <c r="AC75" s="108"/>
      <c r="AD75" s="16"/>
      <c r="AE75" s="108"/>
      <c r="AF75" s="122">
        <f t="shared" si="109"/>
        <v>0</v>
      </c>
      <c r="AG75" s="451">
        <f t="shared" si="3"/>
        <v>0</v>
      </c>
      <c r="AH75" s="452">
        <f t="shared" si="3"/>
        <v>0</v>
      </c>
      <c r="AI75" s="452"/>
      <c r="AJ75" s="461">
        <f t="shared" si="32"/>
        <v>0</v>
      </c>
      <c r="AK75" s="108"/>
      <c r="AL75" s="16"/>
      <c r="AM75" s="108"/>
      <c r="AN75" s="108">
        <f t="shared" si="102"/>
        <v>0</v>
      </c>
      <c r="AO75" s="108"/>
      <c r="AP75" s="465"/>
      <c r="AQ75" s="462"/>
      <c r="AR75" s="462">
        <f t="shared" si="103"/>
        <v>0</v>
      </c>
      <c r="AS75" s="462"/>
      <c r="AT75" s="465">
        <v>8</v>
      </c>
      <c r="AU75" s="462"/>
      <c r="AV75" s="462">
        <f t="shared" si="88"/>
        <v>8</v>
      </c>
      <c r="AW75" s="462"/>
      <c r="AX75" s="216"/>
      <c r="AY75" s="462"/>
      <c r="AZ75" s="462">
        <f t="shared" si="104"/>
        <v>0</v>
      </c>
      <c r="BA75" s="451">
        <f t="shared" si="8"/>
        <v>0</v>
      </c>
      <c r="BB75" s="542">
        <f t="shared" si="97"/>
        <v>8</v>
      </c>
      <c r="BC75" s="452"/>
      <c r="BD75" s="452">
        <f t="shared" si="105"/>
        <v>8</v>
      </c>
      <c r="BE75" s="108"/>
      <c r="BF75" s="465"/>
      <c r="BG75" s="462"/>
      <c r="BH75" s="462">
        <f t="shared" si="106"/>
        <v>0</v>
      </c>
      <c r="BI75" s="462"/>
      <c r="BJ75" s="465"/>
      <c r="BK75" s="473"/>
      <c r="BL75" s="462">
        <f t="shared" si="107"/>
        <v>0</v>
      </c>
      <c r="BM75" s="462"/>
      <c r="BN75" s="465"/>
      <c r="BO75" s="462"/>
      <c r="BP75" s="462">
        <f t="shared" si="89"/>
        <v>0</v>
      </c>
      <c r="BQ75" s="462">
        <v>20</v>
      </c>
      <c r="BR75" s="465"/>
      <c r="BS75" s="469">
        <v>0</v>
      </c>
      <c r="BT75" s="106">
        <f t="shared" si="19"/>
        <v>-20</v>
      </c>
      <c r="BU75" s="108"/>
      <c r="BV75" s="452"/>
      <c r="BW75" s="108"/>
      <c r="BX75" s="122">
        <f>BV75-BU75</f>
        <v>0</v>
      </c>
      <c r="BY75" s="462">
        <v>232</v>
      </c>
      <c r="BZ75" s="216">
        <v>40</v>
      </c>
      <c r="CA75" s="474">
        <f>BZ75/BY75*100</f>
        <v>17.241379310344829</v>
      </c>
      <c r="CB75" s="463">
        <f t="shared" si="27"/>
        <v>-192</v>
      </c>
      <c r="CC75" s="463"/>
      <c r="CD75" s="475"/>
      <c r="CE75" s="463"/>
      <c r="CF75" s="463"/>
      <c r="CG75" s="463"/>
      <c r="CH75" s="475"/>
      <c r="CI75" s="545"/>
      <c r="CJ75" s="463"/>
      <c r="CK75" s="468">
        <f t="shared" si="108"/>
        <v>252</v>
      </c>
      <c r="CL75" s="668">
        <f t="shared" si="93"/>
        <v>48</v>
      </c>
      <c r="CM75" s="452">
        <f t="shared" si="13"/>
        <v>19.047619047619047</v>
      </c>
      <c r="CN75" s="452">
        <f t="shared" si="14"/>
        <v>-204</v>
      </c>
      <c r="CP75" s="142">
        <f t="shared" si="67"/>
        <v>48</v>
      </c>
      <c r="CQ75" s="137">
        <f t="shared" si="68"/>
        <v>232</v>
      </c>
      <c r="CS75" s="146">
        <f t="shared" si="69"/>
        <v>48</v>
      </c>
      <c r="CT75" s="137">
        <f t="shared" si="21"/>
        <v>48</v>
      </c>
      <c r="CU75" s="137">
        <f t="shared" si="22"/>
        <v>48</v>
      </c>
      <c r="CV75" s="137">
        <f t="shared" si="23"/>
        <v>8</v>
      </c>
      <c r="CW75" s="137">
        <f t="shared" si="24"/>
        <v>252</v>
      </c>
      <c r="CX75" s="458"/>
      <c r="CY75" s="458"/>
    </row>
    <row r="76" spans="1:183" s="137" customFormat="1">
      <c r="A76" s="114"/>
      <c r="B76" s="869" t="s">
        <v>228</v>
      </c>
      <c r="C76" s="870"/>
      <c r="D76" s="871"/>
      <c r="E76" s="113">
        <f>E5+E56</f>
        <v>1661</v>
      </c>
      <c r="F76" s="78">
        <f>F5+F56</f>
        <v>529.01265999999998</v>
      </c>
      <c r="G76" s="113">
        <f>F76/E76*100</f>
        <v>31.849046357615897</v>
      </c>
      <c r="H76" s="113">
        <f>F76-E76</f>
        <v>-1131.9873400000001</v>
      </c>
      <c r="I76" s="113">
        <f>I5+I56</f>
        <v>3638</v>
      </c>
      <c r="J76" s="78">
        <f>J5+J56</f>
        <v>1071.6683600000001</v>
      </c>
      <c r="K76" s="113">
        <f>J76/I76*100</f>
        <v>29.457623969213859</v>
      </c>
      <c r="L76" s="114">
        <f>J76-I76</f>
        <v>-2566.3316399999999</v>
      </c>
      <c r="M76" s="113">
        <f>M5+M56</f>
        <v>6889</v>
      </c>
      <c r="N76" s="78">
        <f>N5+N56</f>
        <v>2323.14392</v>
      </c>
      <c r="O76" s="114">
        <f>N76/M76*100</f>
        <v>33.722512991725942</v>
      </c>
      <c r="P76" s="114">
        <f t="shared" si="29"/>
        <v>-4565.8560799999996</v>
      </c>
      <c r="Q76" s="113">
        <f>Q5+Q56</f>
        <v>5793</v>
      </c>
      <c r="R76" s="78">
        <f>R5+R56</f>
        <v>2202.3345899999995</v>
      </c>
      <c r="S76" s="113">
        <f>R76/Q76*100</f>
        <v>38.017168824443289</v>
      </c>
      <c r="T76" s="114">
        <f>R76-Q76</f>
        <v>-3590.6654100000005</v>
      </c>
      <c r="U76" s="113">
        <f>U5+U56</f>
        <v>1556</v>
      </c>
      <c r="V76" s="78">
        <f>V5+V56</f>
        <v>347.12257</v>
      </c>
      <c r="W76" s="113">
        <f>V76/U76*100</f>
        <v>22.308648457583548</v>
      </c>
      <c r="X76" s="114">
        <f>V76-U76</f>
        <v>-1208.87743</v>
      </c>
      <c r="Y76" s="113">
        <f>Y5+Y56</f>
        <v>4734</v>
      </c>
      <c r="Z76" s="78">
        <f>Z5+Z56</f>
        <v>1673.85502</v>
      </c>
      <c r="AA76" s="113">
        <f>Z76/Y76*100</f>
        <v>35.358154203633291</v>
      </c>
      <c r="AB76" s="114">
        <f>Z76-Y76</f>
        <v>-3060.14498</v>
      </c>
      <c r="AC76" s="113">
        <f>AC5+AC56</f>
        <v>3634</v>
      </c>
      <c r="AD76" s="78">
        <f>AD5+AD56</f>
        <v>1238.0391500000001</v>
      </c>
      <c r="AE76" s="113">
        <f>AD76/AC76*100</f>
        <v>34.06822096862961</v>
      </c>
      <c r="AF76" s="114">
        <f>AD76-AC76</f>
        <v>-2395.9608499999999</v>
      </c>
      <c r="AG76" s="113">
        <f>E76+I76+M76+Q76+U76+Y76+AC76</f>
        <v>27905</v>
      </c>
      <c r="AH76" s="78">
        <f>AH5+AH56</f>
        <v>9384.1762699999999</v>
      </c>
      <c r="AI76" s="113">
        <f t="shared" si="86"/>
        <v>33.629013689302994</v>
      </c>
      <c r="AJ76" s="114">
        <f t="shared" si="32"/>
        <v>-18520.82373</v>
      </c>
      <c r="AK76" s="113">
        <f>AK5+AK56</f>
        <v>545</v>
      </c>
      <c r="AL76" s="78">
        <f>AL5+AL56</f>
        <v>230.12375</v>
      </c>
      <c r="AM76" s="113">
        <f>AL76/AK76*100</f>
        <v>42.224541284403671</v>
      </c>
      <c r="AN76" s="113">
        <f>AL76-AK76</f>
        <v>-314.87625000000003</v>
      </c>
      <c r="AO76" s="113">
        <f>AO5+AO56</f>
        <v>150</v>
      </c>
      <c r="AP76" s="78">
        <f>AP5+AP56</f>
        <v>11.399999999999999</v>
      </c>
      <c r="AQ76" s="113">
        <f>AP76/AO76*100</f>
        <v>7.5999999999999988</v>
      </c>
      <c r="AR76" s="113">
        <f>AP76-AO76</f>
        <v>-138.6</v>
      </c>
      <c r="AS76" s="113">
        <f>AS5+AS56</f>
        <v>470</v>
      </c>
      <c r="AT76" s="78">
        <f>AT5+AT56</f>
        <v>286.65116</v>
      </c>
      <c r="AU76" s="113">
        <f>AT76/AS76*100</f>
        <v>60.989608510638291</v>
      </c>
      <c r="AV76" s="113">
        <f>AT76-AS76</f>
        <v>-183.34884</v>
      </c>
      <c r="AW76" s="113">
        <f>AW5+AW56</f>
        <v>445</v>
      </c>
      <c r="AX76" s="248">
        <f>AX5+AX56</f>
        <v>202.70245</v>
      </c>
      <c r="AY76" s="113">
        <f>AX76/AW76*100</f>
        <v>45.551112359550558</v>
      </c>
      <c r="AZ76" s="113">
        <f>AX76-AW76</f>
        <v>-242.29755</v>
      </c>
      <c r="BA76" s="113">
        <f>AK76+AO76+AS76+AW76</f>
        <v>1610</v>
      </c>
      <c r="BB76" s="78">
        <f>BB5+BB56</f>
        <v>730.87735999999995</v>
      </c>
      <c r="BC76" s="113">
        <f>BB76/BA76*100</f>
        <v>45.396109316770186</v>
      </c>
      <c r="BD76" s="113">
        <f>BB76-BA76</f>
        <v>-879.12264000000005</v>
      </c>
      <c r="BE76" s="113">
        <f>BE5+BE56</f>
        <v>74</v>
      </c>
      <c r="BF76" s="248">
        <f>BF5+BF56</f>
        <v>35.800000000000004</v>
      </c>
      <c r="BG76" s="113">
        <f>BF76/BE76*100</f>
        <v>48.378378378378386</v>
      </c>
      <c r="BH76" s="113">
        <f>BF76-BE76</f>
        <v>-38.199999999999996</v>
      </c>
      <c r="BI76" s="113">
        <f>BI5+BI56</f>
        <v>39</v>
      </c>
      <c r="BJ76" s="113">
        <f>BJ5+BJ56</f>
        <v>0</v>
      </c>
      <c r="BK76" s="113">
        <f>BJ76/BI76*100</f>
        <v>0</v>
      </c>
      <c r="BL76" s="113">
        <f>BJ76-BI76</f>
        <v>-39</v>
      </c>
      <c r="BM76" s="113">
        <f>BM5+BM56</f>
        <v>54</v>
      </c>
      <c r="BN76" s="248">
        <f>BN5+BN56</f>
        <v>41</v>
      </c>
      <c r="BO76" s="113">
        <f>BN76/BM76*100</f>
        <v>75.925925925925924</v>
      </c>
      <c r="BP76" s="113">
        <f>BN76-BM76</f>
        <v>-13</v>
      </c>
      <c r="BQ76" s="78">
        <f>BQ5+BQ56</f>
        <v>705</v>
      </c>
      <c r="BR76" s="78">
        <f>BR5+BR56</f>
        <v>0</v>
      </c>
      <c r="BS76" s="113">
        <f t="shared" si="18"/>
        <v>0</v>
      </c>
      <c r="BT76" s="113">
        <f t="shared" si="19"/>
        <v>-705</v>
      </c>
      <c r="BU76" s="113">
        <f>BU5+BU56</f>
        <v>48.599999999999994</v>
      </c>
      <c r="BV76" s="248">
        <f>BV5+BV56</f>
        <v>13.188599999999999</v>
      </c>
      <c r="BW76" s="113">
        <f>BV76/BU76*100</f>
        <v>27.137037037037036</v>
      </c>
      <c r="BX76" s="114">
        <f>BV76-BU76</f>
        <v>-35.411399999999993</v>
      </c>
      <c r="BY76" s="248">
        <f>BY5+BY56</f>
        <v>2500</v>
      </c>
      <c r="BZ76" s="248">
        <f>BZ5+BZ56</f>
        <v>706.41899999999998</v>
      </c>
      <c r="CA76" s="476">
        <f>BZ76/BY76*100</f>
        <v>28.256759999999996</v>
      </c>
      <c r="CB76" s="477">
        <f t="shared" si="27"/>
        <v>-1793.5810000000001</v>
      </c>
      <c r="CC76" s="248">
        <f>CC5+CC56</f>
        <v>37</v>
      </c>
      <c r="CD76" s="248">
        <f>CD5+CD56</f>
        <v>18.86</v>
      </c>
      <c r="CE76" s="476">
        <f>CD76/CC76*100</f>
        <v>50.972972972972975</v>
      </c>
      <c r="CF76" s="477">
        <f>CD76-CC76</f>
        <v>-18.14</v>
      </c>
      <c r="CG76" s="248">
        <f>CG5+CG56</f>
        <v>933</v>
      </c>
      <c r="CH76" s="248">
        <f>CH5+CH56</f>
        <v>510.58156000000002</v>
      </c>
      <c r="CI76" s="476">
        <f>CH76/CG76*100</f>
        <v>54.724711682743845</v>
      </c>
      <c r="CJ76" s="477">
        <f>CH76-CG76</f>
        <v>-422.41843999999998</v>
      </c>
      <c r="CK76" s="466">
        <f>AG76+BA76+BE76+BI76+BM76+BQ76++BU76+BY76+CC76+CG76</f>
        <v>33905.599999999999</v>
      </c>
      <c r="CL76" s="248">
        <f>CL5+CL56</f>
        <v>11441.90279</v>
      </c>
      <c r="CM76" s="113">
        <f t="shared" si="13"/>
        <v>33.746351015761412</v>
      </c>
      <c r="CN76" s="113">
        <f t="shared" si="14"/>
        <v>-22463.697209999998</v>
      </c>
      <c r="CO76" s="133"/>
      <c r="CP76" s="137">
        <f>F76+J76+N76+R76+V76+Z76+AD76+AL76+AP76+AT76+AX76+BF76+BJ76+BN76+BV76+BZ76+CD76</f>
        <v>10931.321229999998</v>
      </c>
      <c r="CQ76" s="137">
        <f t="shared" si="68"/>
        <v>32267.599999999999</v>
      </c>
      <c r="CS76" s="137">
        <f t="shared" si="69"/>
        <v>10931.321229999998</v>
      </c>
      <c r="CT76" s="137">
        <f t="shared" si="21"/>
        <v>11441.902789999998</v>
      </c>
      <c r="CU76" s="137">
        <f t="shared" si="22"/>
        <v>11441.902789999998</v>
      </c>
      <c r="CV76" s="367">
        <f t="shared" si="23"/>
        <v>10192.853629999998</v>
      </c>
      <c r="CW76" s="137">
        <f t="shared" si="24"/>
        <v>33905.599999999999</v>
      </c>
      <c r="CY76" s="367"/>
    </row>
    <row r="77" spans="1:183">
      <c r="J77" s="460"/>
      <c r="S77" s="129"/>
      <c r="Z77" s="460"/>
      <c r="CB77" s="129"/>
      <c r="CK77" s="129"/>
      <c r="CL77" s="673"/>
      <c r="CM77" s="129"/>
      <c r="CP77" s="129"/>
      <c r="CQ77" s="129"/>
      <c r="CR77" s="129"/>
      <c r="CS77" s="129"/>
      <c r="CT77" s="129"/>
      <c r="CU77" s="129"/>
      <c r="CV77" s="129"/>
      <c r="CW77" s="129"/>
      <c r="CX77" s="455"/>
      <c r="CY77" s="455"/>
      <c r="CZ77" s="455"/>
      <c r="DA77" s="455"/>
      <c r="DB77" s="455"/>
      <c r="DC77" s="455"/>
      <c r="DD77" s="455"/>
      <c r="DE77" s="455"/>
      <c r="DF77" s="455"/>
      <c r="DG77" s="455"/>
      <c r="DH77" s="455"/>
      <c r="DI77" s="455"/>
      <c r="DJ77" s="455"/>
      <c r="DK77" s="455"/>
      <c r="DL77" s="455"/>
      <c r="DM77" s="455"/>
      <c r="DN77" s="455"/>
      <c r="DO77" s="455"/>
      <c r="DP77" s="455"/>
      <c r="DQ77" s="455"/>
      <c r="DR77" s="455"/>
      <c r="DS77" s="455"/>
      <c r="DT77" s="455"/>
      <c r="DU77" s="455"/>
      <c r="DV77" s="455"/>
      <c r="DW77" s="455"/>
      <c r="DX77" s="455"/>
      <c r="DY77" s="455"/>
      <c r="DZ77" s="455"/>
      <c r="EA77" s="455"/>
      <c r="EB77" s="455"/>
      <c r="EC77" s="455"/>
      <c r="ED77" s="455"/>
      <c r="EE77" s="455"/>
      <c r="EF77" s="455"/>
      <c r="EG77" s="455"/>
      <c r="EH77" s="455"/>
      <c r="EI77" s="455"/>
      <c r="EJ77" s="455"/>
      <c r="EK77" s="455"/>
      <c r="EL77" s="455"/>
      <c r="EM77" s="455"/>
      <c r="EN77" s="455"/>
      <c r="EO77" s="455"/>
      <c r="EP77" s="455"/>
      <c r="EQ77" s="455"/>
      <c r="ER77" s="455"/>
      <c r="ES77" s="455"/>
      <c r="ET77" s="455"/>
      <c r="EU77" s="455"/>
      <c r="EV77" s="455"/>
      <c r="EW77" s="455"/>
      <c r="EX77" s="455"/>
      <c r="EY77" s="455"/>
      <c r="EZ77" s="455"/>
      <c r="FA77" s="455"/>
      <c r="FB77" s="455"/>
      <c r="FC77" s="455"/>
      <c r="FD77" s="455"/>
      <c r="FE77" s="455"/>
      <c r="FF77" s="455"/>
      <c r="FG77" s="455"/>
      <c r="FH77" s="455"/>
      <c r="FI77" s="455"/>
      <c r="FJ77" s="455"/>
      <c r="FK77" s="455"/>
      <c r="FL77" s="455"/>
      <c r="FM77" s="455"/>
      <c r="FN77" s="455"/>
      <c r="FO77" s="455"/>
      <c r="FP77" s="455"/>
      <c r="FQ77" s="455"/>
      <c r="FR77" s="455"/>
      <c r="FS77" s="455"/>
      <c r="FT77" s="455"/>
      <c r="FU77" s="455"/>
      <c r="FV77" s="455"/>
      <c r="FW77" s="455"/>
      <c r="FX77" s="455"/>
      <c r="FY77" s="455"/>
      <c r="FZ77" s="455"/>
      <c r="GA77" s="455"/>
    </row>
    <row r="78" spans="1:183">
      <c r="E78" s="456"/>
      <c r="G78" s="112"/>
      <c r="U78" s="456"/>
      <c r="AC78" s="456"/>
      <c r="AG78" s="456"/>
      <c r="AT78" s="4"/>
      <c r="BA78" s="456"/>
      <c r="CB78" s="129"/>
      <c r="CD78" s="456"/>
      <c r="CH78" s="456"/>
    </row>
    <row r="79" spans="1:183">
      <c r="CB79" s="129"/>
    </row>
    <row r="80" spans="1:183">
      <c r="AH80" s="460"/>
      <c r="CB80" s="129"/>
    </row>
    <row r="81" spans="2:89">
      <c r="B81" s="456"/>
      <c r="CB81" s="129"/>
      <c r="CK81" s="460"/>
    </row>
    <row r="82" spans="2:89">
      <c r="B82" s="456"/>
      <c r="AG82" s="275"/>
      <c r="CB82" s="129"/>
    </row>
    <row r="83" spans="2:89">
      <c r="CB83" s="129"/>
    </row>
    <row r="84" spans="2:89">
      <c r="CB84" s="129"/>
    </row>
    <row r="85" spans="2:89">
      <c r="CB85" s="129"/>
    </row>
    <row r="86" spans="2:89">
      <c r="CB86" s="129"/>
    </row>
    <row r="87" spans="2:89">
      <c r="CB87" s="129"/>
    </row>
    <row r="88" spans="2:89">
      <c r="CB88" s="129"/>
    </row>
    <row r="89" spans="2:89">
      <c r="CB89" s="129"/>
    </row>
    <row r="90" spans="2:89">
      <c r="CB90" s="129"/>
    </row>
    <row r="91" spans="2:89">
      <c r="CB91" s="129"/>
    </row>
    <row r="92" spans="2:89">
      <c r="CB92" s="129"/>
    </row>
    <row r="93" spans="2:89">
      <c r="CB93" s="129"/>
    </row>
    <row r="94" spans="2:89">
      <c r="CB94" s="129"/>
    </row>
    <row r="95" spans="2:89">
      <c r="CB95" s="129"/>
    </row>
    <row r="96" spans="2:89">
      <c r="CB96" s="129"/>
    </row>
    <row r="97" spans="80:80">
      <c r="CB97" s="129"/>
    </row>
    <row r="98" spans="80:80">
      <c r="CB98" s="129"/>
    </row>
    <row r="99" spans="80:80">
      <c r="CB99" s="129"/>
    </row>
    <row r="100" spans="80:80">
      <c r="CB100" s="129"/>
    </row>
    <row r="101" spans="80:80">
      <c r="CB101" s="129"/>
    </row>
    <row r="102" spans="80:80">
      <c r="CB102" s="129"/>
    </row>
    <row r="103" spans="80:80">
      <c r="CB103" s="129"/>
    </row>
    <row r="104" spans="80:80">
      <c r="CB104" s="129"/>
    </row>
    <row r="105" spans="80:80">
      <c r="CB105" s="129"/>
    </row>
    <row r="106" spans="80:80">
      <c r="CB106" s="129"/>
    </row>
    <row r="107" spans="80:80">
      <c r="CB107" s="129"/>
    </row>
    <row r="108" spans="80:80">
      <c r="CB108" s="129"/>
    </row>
    <row r="109" spans="80:80">
      <c r="CB109" s="129"/>
    </row>
    <row r="110" spans="80:80">
      <c r="CB110" s="129"/>
    </row>
    <row r="111" spans="80:80">
      <c r="CB111" s="129"/>
    </row>
    <row r="112" spans="80:80">
      <c r="CB112" s="129"/>
    </row>
    <row r="113" spans="80:80">
      <c r="CB113" s="129"/>
    </row>
    <row r="114" spans="80:80">
      <c r="CB114" s="129"/>
    </row>
    <row r="115" spans="80:80">
      <c r="CB115" s="129"/>
    </row>
    <row r="116" spans="80:80">
      <c r="CB116" s="129"/>
    </row>
    <row r="117" spans="80:80">
      <c r="CB117" s="129"/>
    </row>
    <row r="118" spans="80:80">
      <c r="CB118" s="129"/>
    </row>
    <row r="119" spans="80:80">
      <c r="CB119" s="129"/>
    </row>
    <row r="120" spans="80:80">
      <c r="CB120" s="129"/>
    </row>
    <row r="121" spans="80:80">
      <c r="CB121" s="129"/>
    </row>
    <row r="122" spans="80:80">
      <c r="CB122" s="129"/>
    </row>
    <row r="123" spans="80:80">
      <c r="CB123" s="129"/>
    </row>
    <row r="124" spans="80:80">
      <c r="CB124" s="129"/>
    </row>
    <row r="125" spans="80:80">
      <c r="CB125" s="129"/>
    </row>
    <row r="126" spans="80:80">
      <c r="CB126" s="129"/>
    </row>
    <row r="127" spans="80:80">
      <c r="CB127" s="129"/>
    </row>
    <row r="128" spans="80:80">
      <c r="CB128" s="129"/>
    </row>
    <row r="129" spans="80:80">
      <c r="CB129" s="129"/>
    </row>
    <row r="130" spans="80:80">
      <c r="CB130" s="129"/>
    </row>
    <row r="131" spans="80:80">
      <c r="CB131" s="129"/>
    </row>
    <row r="132" spans="80:80">
      <c r="CB132" s="129"/>
    </row>
    <row r="133" spans="80:80">
      <c r="CB133" s="129"/>
    </row>
    <row r="134" spans="80:80">
      <c r="CB134" s="129"/>
    </row>
    <row r="135" spans="80:80">
      <c r="CB135" s="129"/>
    </row>
    <row r="136" spans="80:80">
      <c r="CB136" s="129"/>
    </row>
    <row r="137" spans="80:80">
      <c r="CB137" s="129"/>
    </row>
    <row r="138" spans="80:80">
      <c r="CB138" s="129"/>
    </row>
    <row r="139" spans="80:80">
      <c r="CB139" s="129"/>
    </row>
    <row r="140" spans="80:80">
      <c r="CB140" s="129"/>
    </row>
    <row r="141" spans="80:80">
      <c r="CB141" s="129"/>
    </row>
    <row r="142" spans="80:80">
      <c r="CB142" s="129"/>
    </row>
    <row r="143" spans="80:80">
      <c r="CB143" s="129"/>
    </row>
    <row r="144" spans="80:80">
      <c r="CB144" s="129"/>
    </row>
    <row r="145" spans="80:80">
      <c r="CB145" s="129"/>
    </row>
    <row r="146" spans="80:80">
      <c r="CB146" s="129"/>
    </row>
    <row r="147" spans="80:80">
      <c r="CB147" s="129"/>
    </row>
    <row r="148" spans="80:80">
      <c r="CB148" s="129"/>
    </row>
    <row r="149" spans="80:80">
      <c r="CB149" s="129"/>
    </row>
    <row r="150" spans="80:80">
      <c r="CB150" s="129"/>
    </row>
    <row r="151" spans="80:80">
      <c r="CB151" s="129"/>
    </row>
    <row r="152" spans="80:80">
      <c r="CB152" s="129"/>
    </row>
    <row r="153" spans="80:80">
      <c r="CB153" s="129"/>
    </row>
    <row r="154" spans="80:80">
      <c r="CB154" s="129"/>
    </row>
    <row r="155" spans="80:80">
      <c r="CB155" s="129"/>
    </row>
    <row r="156" spans="80:80">
      <c r="CB156" s="129"/>
    </row>
    <row r="157" spans="80:80">
      <c r="CB157" s="129"/>
    </row>
    <row r="158" spans="80:80">
      <c r="CB158" s="129"/>
    </row>
    <row r="159" spans="80:80">
      <c r="CB159" s="129"/>
    </row>
    <row r="160" spans="80:80">
      <c r="CB160" s="129"/>
    </row>
    <row r="161" spans="80:80">
      <c r="CB161" s="129"/>
    </row>
    <row r="162" spans="80:80">
      <c r="CB162" s="129"/>
    </row>
    <row r="163" spans="80:80">
      <c r="CB163" s="129"/>
    </row>
    <row r="164" spans="80:80">
      <c r="CB164" s="129"/>
    </row>
    <row r="165" spans="80:80">
      <c r="CB165" s="129"/>
    </row>
    <row r="166" spans="80:80">
      <c r="CB166" s="129"/>
    </row>
    <row r="167" spans="80:80">
      <c r="CB167" s="129"/>
    </row>
    <row r="168" spans="80:80">
      <c r="CB168" s="129"/>
    </row>
    <row r="169" spans="80:80">
      <c r="CB169" s="129"/>
    </row>
    <row r="170" spans="80:80">
      <c r="CB170" s="129"/>
    </row>
    <row r="171" spans="80:80">
      <c r="CB171" s="129"/>
    </row>
    <row r="172" spans="80:80">
      <c r="CB172" s="129"/>
    </row>
    <row r="173" spans="80:80">
      <c r="CB173" s="129"/>
    </row>
    <row r="174" spans="80:80">
      <c r="CB174" s="129"/>
    </row>
    <row r="175" spans="80:80">
      <c r="CB175" s="129"/>
    </row>
    <row r="176" spans="80:80">
      <c r="CB176" s="129"/>
    </row>
    <row r="177" spans="80:80">
      <c r="CB177" s="129"/>
    </row>
    <row r="178" spans="80:80">
      <c r="CB178" s="129"/>
    </row>
    <row r="179" spans="80:80">
      <c r="CB179" s="129"/>
    </row>
    <row r="180" spans="80:80">
      <c r="CB180" s="129"/>
    </row>
    <row r="181" spans="80:80">
      <c r="CB181" s="129"/>
    </row>
    <row r="182" spans="80:80">
      <c r="CB182" s="129"/>
    </row>
    <row r="183" spans="80:80">
      <c r="CB183" s="129"/>
    </row>
    <row r="184" spans="80:80">
      <c r="CB184" s="129"/>
    </row>
    <row r="185" spans="80:80">
      <c r="CB185" s="129"/>
    </row>
    <row r="186" spans="80:80">
      <c r="CB186" s="129"/>
    </row>
    <row r="187" spans="80:80">
      <c r="CB187" s="129"/>
    </row>
    <row r="188" spans="80:80">
      <c r="CB188" s="129"/>
    </row>
    <row r="189" spans="80:80">
      <c r="CB189" s="129"/>
    </row>
    <row r="190" spans="80:80">
      <c r="CB190" s="129"/>
    </row>
    <row r="191" spans="80:80">
      <c r="CB191" s="129"/>
    </row>
    <row r="192" spans="80:80">
      <c r="CB192" s="129"/>
    </row>
    <row r="193" spans="80:80">
      <c r="CB193" s="129"/>
    </row>
    <row r="194" spans="80:80">
      <c r="CB194" s="129"/>
    </row>
    <row r="195" spans="80:80">
      <c r="CB195" s="129"/>
    </row>
    <row r="196" spans="80:80">
      <c r="CB196" s="129"/>
    </row>
    <row r="197" spans="80:80">
      <c r="CB197" s="129"/>
    </row>
    <row r="198" spans="80:80">
      <c r="CB198" s="129"/>
    </row>
    <row r="199" spans="80:80">
      <c r="CB199" s="129"/>
    </row>
    <row r="200" spans="80:80">
      <c r="CB200" s="129"/>
    </row>
    <row r="201" spans="80:80">
      <c r="CB201" s="129"/>
    </row>
    <row r="202" spans="80:80">
      <c r="CB202" s="129"/>
    </row>
    <row r="203" spans="80:80">
      <c r="CB203" s="129"/>
    </row>
    <row r="204" spans="80:80">
      <c r="CB204" s="129"/>
    </row>
    <row r="205" spans="80:80">
      <c r="CB205" s="129"/>
    </row>
    <row r="206" spans="80:80">
      <c r="CB206" s="129"/>
    </row>
    <row r="207" spans="80:80">
      <c r="CB207" s="129"/>
    </row>
    <row r="208" spans="80:80">
      <c r="CB208" s="129"/>
    </row>
    <row r="209" spans="80:80">
      <c r="CB209" s="129"/>
    </row>
    <row r="210" spans="80:80">
      <c r="CB210" s="129"/>
    </row>
    <row r="211" spans="80:80">
      <c r="CB211" s="129"/>
    </row>
    <row r="212" spans="80:80">
      <c r="CB212" s="129"/>
    </row>
    <row r="213" spans="80:80">
      <c r="CB213" s="129"/>
    </row>
    <row r="214" spans="80:80">
      <c r="CB214" s="129"/>
    </row>
    <row r="215" spans="80:80">
      <c r="CB215" s="129"/>
    </row>
    <row r="216" spans="80:80">
      <c r="CB216" s="129"/>
    </row>
    <row r="217" spans="80:80">
      <c r="CB217" s="129"/>
    </row>
    <row r="218" spans="80:80">
      <c r="CB218" s="129"/>
    </row>
    <row r="219" spans="80:80">
      <c r="CB219" s="129"/>
    </row>
    <row r="220" spans="80:80">
      <c r="CB220" s="129"/>
    </row>
    <row r="221" spans="80:80">
      <c r="CB221" s="129"/>
    </row>
    <row r="222" spans="80:80">
      <c r="CB222" s="129"/>
    </row>
    <row r="223" spans="80:80">
      <c r="CB223" s="129"/>
    </row>
    <row r="224" spans="80:80">
      <c r="CB224" s="129"/>
    </row>
    <row r="225" spans="80:80">
      <c r="CB225" s="129"/>
    </row>
    <row r="226" spans="80:80">
      <c r="CB226" s="129"/>
    </row>
    <row r="227" spans="80:80">
      <c r="CB227" s="129"/>
    </row>
    <row r="228" spans="80:80">
      <c r="CB228" s="129"/>
    </row>
    <row r="229" spans="80:80">
      <c r="CB229" s="129"/>
    </row>
    <row r="230" spans="80:80">
      <c r="CB230" s="129"/>
    </row>
    <row r="231" spans="80:80">
      <c r="CB231" s="129"/>
    </row>
    <row r="232" spans="80:80">
      <c r="CB232" s="129"/>
    </row>
    <row r="233" spans="80:80">
      <c r="CB233" s="129"/>
    </row>
    <row r="234" spans="80:80">
      <c r="CB234" s="129"/>
    </row>
    <row r="235" spans="80:80">
      <c r="CB235" s="129"/>
    </row>
    <row r="236" spans="80:80">
      <c r="CB236" s="129"/>
    </row>
    <row r="237" spans="80:80">
      <c r="CB237" s="129"/>
    </row>
    <row r="238" spans="80:80">
      <c r="CB238" s="129"/>
    </row>
    <row r="239" spans="80:80">
      <c r="CB239" s="129"/>
    </row>
    <row r="240" spans="80:80">
      <c r="CB240" s="129"/>
    </row>
    <row r="241" spans="80:80">
      <c r="CB241" s="129"/>
    </row>
    <row r="242" spans="80:80">
      <c r="CB242" s="129"/>
    </row>
    <row r="243" spans="80:80">
      <c r="CB243" s="129"/>
    </row>
    <row r="244" spans="80:80">
      <c r="CB244" s="129"/>
    </row>
    <row r="245" spans="80:80">
      <c r="CB245" s="129"/>
    </row>
    <row r="246" spans="80:80">
      <c r="CB246" s="129"/>
    </row>
    <row r="247" spans="80:80">
      <c r="CB247" s="129"/>
    </row>
    <row r="248" spans="80:80">
      <c r="CB248" s="129"/>
    </row>
    <row r="249" spans="80:80">
      <c r="CB249" s="129"/>
    </row>
    <row r="250" spans="80:80">
      <c r="CB250" s="129"/>
    </row>
    <row r="251" spans="80:80">
      <c r="CB251" s="129"/>
    </row>
    <row r="252" spans="80:80">
      <c r="CB252" s="129"/>
    </row>
    <row r="253" spans="80:80">
      <c r="CB253" s="129"/>
    </row>
    <row r="254" spans="80:80">
      <c r="CB254" s="129"/>
    </row>
    <row r="255" spans="80:80">
      <c r="CB255" s="129"/>
    </row>
    <row r="256" spans="80:80">
      <c r="CB256" s="129"/>
    </row>
    <row r="257" spans="80:80">
      <c r="CB257" s="129"/>
    </row>
    <row r="258" spans="80:80">
      <c r="CB258" s="129"/>
    </row>
    <row r="259" spans="80:80">
      <c r="CB259" s="129"/>
    </row>
    <row r="260" spans="80:80">
      <c r="CB260" s="129"/>
    </row>
    <row r="261" spans="80:80">
      <c r="CB261" s="129"/>
    </row>
    <row r="262" spans="80:80">
      <c r="CB262" s="129"/>
    </row>
    <row r="263" spans="80:80">
      <c r="CB263" s="129"/>
    </row>
    <row r="264" spans="80:80">
      <c r="CB264" s="129"/>
    </row>
    <row r="265" spans="80:80">
      <c r="CB265" s="129"/>
    </row>
    <row r="266" spans="80:80">
      <c r="CB266" s="129"/>
    </row>
    <row r="267" spans="80:80">
      <c r="CB267" s="129"/>
    </row>
    <row r="268" spans="80:80">
      <c r="CB268" s="129"/>
    </row>
    <row r="269" spans="80:80">
      <c r="CB269" s="129"/>
    </row>
    <row r="270" spans="80:80">
      <c r="CB270" s="129"/>
    </row>
    <row r="271" spans="80:80">
      <c r="CB271" s="129"/>
    </row>
    <row r="272" spans="80:80">
      <c r="CB272" s="129"/>
    </row>
    <row r="273" spans="80:80">
      <c r="CB273" s="129"/>
    </row>
    <row r="274" spans="80:80">
      <c r="CB274" s="129"/>
    </row>
    <row r="275" spans="80:80">
      <c r="CB275" s="129"/>
    </row>
    <row r="276" spans="80:80">
      <c r="CB276" s="129"/>
    </row>
    <row r="277" spans="80:80">
      <c r="CB277" s="129"/>
    </row>
    <row r="278" spans="80:80">
      <c r="CB278" s="129"/>
    </row>
    <row r="279" spans="80:80">
      <c r="CB279" s="129"/>
    </row>
    <row r="280" spans="80:80">
      <c r="CB280" s="129"/>
    </row>
    <row r="281" spans="80:80">
      <c r="CB281" s="129"/>
    </row>
    <row r="282" spans="80:80">
      <c r="CB282" s="129"/>
    </row>
    <row r="283" spans="80:80">
      <c r="CB283" s="129"/>
    </row>
    <row r="284" spans="80:80">
      <c r="CB284" s="129"/>
    </row>
    <row r="285" spans="80:80">
      <c r="CB285" s="129"/>
    </row>
    <row r="286" spans="80:80">
      <c r="CB286" s="129"/>
    </row>
    <row r="287" spans="80:80">
      <c r="CB287" s="129"/>
    </row>
    <row r="288" spans="80:80">
      <c r="CB288" s="129"/>
    </row>
    <row r="289" spans="80:80">
      <c r="CB289" s="129"/>
    </row>
    <row r="290" spans="80:80">
      <c r="CB290" s="129"/>
    </row>
    <row r="291" spans="80:80">
      <c r="CB291" s="129"/>
    </row>
    <row r="292" spans="80:80">
      <c r="CB292" s="129"/>
    </row>
    <row r="293" spans="80:80">
      <c r="CB293" s="129"/>
    </row>
    <row r="294" spans="80:80">
      <c r="CB294" s="129"/>
    </row>
    <row r="295" spans="80:80">
      <c r="CB295" s="129"/>
    </row>
    <row r="296" spans="80:80">
      <c r="CB296" s="129"/>
    </row>
    <row r="297" spans="80:80">
      <c r="CB297" s="129"/>
    </row>
    <row r="298" spans="80:80">
      <c r="CB298" s="129"/>
    </row>
    <row r="299" spans="80:80">
      <c r="CB299" s="129"/>
    </row>
    <row r="300" spans="80:80">
      <c r="CB300" s="129"/>
    </row>
    <row r="301" spans="80:80">
      <c r="CB301" s="129"/>
    </row>
    <row r="302" spans="80:80">
      <c r="CB302" s="129"/>
    </row>
    <row r="303" spans="80:80">
      <c r="CB303" s="129"/>
    </row>
    <row r="304" spans="80:80">
      <c r="CB304" s="129"/>
    </row>
    <row r="305" spans="80:80">
      <c r="CB305" s="129"/>
    </row>
    <row r="306" spans="80:80">
      <c r="CB306" s="129"/>
    </row>
    <row r="307" spans="80:80">
      <c r="CB307" s="129"/>
    </row>
    <row r="308" spans="80:80">
      <c r="CB308" s="129"/>
    </row>
    <row r="309" spans="80:80">
      <c r="CB309" s="129"/>
    </row>
    <row r="310" spans="80:80">
      <c r="CB310" s="129"/>
    </row>
    <row r="311" spans="80:80">
      <c r="CB311" s="129"/>
    </row>
    <row r="312" spans="80:80">
      <c r="CB312" s="129"/>
    </row>
    <row r="313" spans="80:80">
      <c r="CB313" s="129"/>
    </row>
    <row r="314" spans="80:80">
      <c r="CB314" s="129"/>
    </row>
    <row r="315" spans="80:80">
      <c r="CB315" s="129"/>
    </row>
    <row r="316" spans="80:80">
      <c r="CB316" s="129"/>
    </row>
    <row r="317" spans="80:80">
      <c r="CB317" s="129"/>
    </row>
    <row r="318" spans="80:80">
      <c r="CB318" s="129"/>
    </row>
    <row r="319" spans="80:80">
      <c r="CB319" s="129"/>
    </row>
    <row r="320" spans="80:80">
      <c r="CB320" s="129"/>
    </row>
    <row r="321" spans="80:80">
      <c r="CB321" s="129"/>
    </row>
    <row r="322" spans="80:80">
      <c r="CB322" s="129"/>
    </row>
    <row r="323" spans="80:80">
      <c r="CB323" s="129"/>
    </row>
    <row r="324" spans="80:80">
      <c r="CB324" s="129"/>
    </row>
    <row r="325" spans="80:80">
      <c r="CB325" s="129"/>
    </row>
    <row r="326" spans="80:80">
      <c r="CB326" s="129"/>
    </row>
    <row r="327" spans="80:80">
      <c r="CB327" s="129"/>
    </row>
    <row r="328" spans="80:80">
      <c r="CB328" s="129"/>
    </row>
    <row r="329" spans="80:80">
      <c r="CB329" s="129"/>
    </row>
    <row r="330" spans="80:80">
      <c r="CB330" s="129"/>
    </row>
    <row r="331" spans="80:80">
      <c r="CB331" s="129"/>
    </row>
    <row r="332" spans="80:80">
      <c r="CB332" s="129"/>
    </row>
    <row r="333" spans="80:80">
      <c r="CB333" s="129"/>
    </row>
    <row r="334" spans="80:80">
      <c r="CB334" s="129"/>
    </row>
    <row r="335" spans="80:80">
      <c r="CB335" s="129"/>
    </row>
    <row r="336" spans="80:80">
      <c r="CB336" s="129"/>
    </row>
    <row r="337" spans="80:80">
      <c r="CB337" s="129"/>
    </row>
    <row r="338" spans="80:80">
      <c r="CB338" s="129"/>
    </row>
    <row r="339" spans="80:80">
      <c r="CB339" s="129"/>
    </row>
    <row r="340" spans="80:80">
      <c r="CB340" s="129"/>
    </row>
    <row r="341" spans="80:80">
      <c r="CB341" s="129"/>
    </row>
    <row r="342" spans="80:80">
      <c r="CB342" s="129"/>
    </row>
    <row r="343" spans="80:80">
      <c r="CB343" s="129"/>
    </row>
    <row r="344" spans="80:80">
      <c r="CB344" s="129"/>
    </row>
    <row r="345" spans="80:80">
      <c r="CB345" s="129"/>
    </row>
    <row r="346" spans="80:80">
      <c r="CB346" s="129"/>
    </row>
    <row r="347" spans="80:80">
      <c r="CB347" s="129"/>
    </row>
    <row r="348" spans="80:80">
      <c r="CB348" s="129"/>
    </row>
    <row r="349" spans="80:80">
      <c r="CB349" s="129"/>
    </row>
    <row r="350" spans="80:80">
      <c r="CB350" s="129"/>
    </row>
    <row r="351" spans="80:80">
      <c r="CB351" s="129"/>
    </row>
    <row r="352" spans="80:80">
      <c r="CB352" s="129"/>
    </row>
    <row r="353" spans="80:80">
      <c r="CB353" s="129"/>
    </row>
    <row r="354" spans="80:80">
      <c r="CB354" s="129"/>
    </row>
    <row r="355" spans="80:80">
      <c r="CB355" s="129"/>
    </row>
    <row r="356" spans="80:80">
      <c r="CB356" s="129"/>
    </row>
    <row r="357" spans="80:80">
      <c r="CB357" s="129"/>
    </row>
    <row r="358" spans="80:80">
      <c r="CB358" s="129"/>
    </row>
    <row r="359" spans="80:80">
      <c r="CB359" s="129"/>
    </row>
    <row r="360" spans="80:80">
      <c r="CB360" s="129"/>
    </row>
    <row r="361" spans="80:80">
      <c r="CB361" s="129"/>
    </row>
    <row r="362" spans="80:80">
      <c r="CB362" s="129"/>
    </row>
    <row r="363" spans="80:80">
      <c r="CB363" s="129"/>
    </row>
    <row r="364" spans="80:80">
      <c r="CB364" s="129"/>
    </row>
    <row r="365" spans="80:80">
      <c r="CB365" s="129"/>
    </row>
    <row r="366" spans="80:80">
      <c r="CB366" s="129"/>
    </row>
    <row r="367" spans="80:80">
      <c r="CB367" s="129"/>
    </row>
    <row r="368" spans="80:80">
      <c r="CB368" s="129"/>
    </row>
    <row r="369" spans="80:80">
      <c r="CB369" s="129"/>
    </row>
    <row r="370" spans="80:80">
      <c r="CB370" s="129"/>
    </row>
    <row r="371" spans="80:80">
      <c r="CB371" s="129"/>
    </row>
    <row r="372" spans="80:80">
      <c r="CB372" s="129"/>
    </row>
    <row r="373" spans="80:80">
      <c r="CB373" s="129"/>
    </row>
    <row r="374" spans="80:80">
      <c r="CB374" s="129"/>
    </row>
    <row r="375" spans="80:80">
      <c r="CB375" s="129"/>
    </row>
    <row r="376" spans="80:80">
      <c r="CB376" s="129"/>
    </row>
    <row r="377" spans="80:80">
      <c r="CB377" s="129"/>
    </row>
    <row r="378" spans="80:80">
      <c r="CB378" s="129"/>
    </row>
    <row r="379" spans="80:80">
      <c r="CB379" s="129"/>
    </row>
    <row r="380" spans="80:80">
      <c r="CB380" s="129"/>
    </row>
    <row r="381" spans="80:80">
      <c r="CB381" s="129"/>
    </row>
    <row r="382" spans="80:80">
      <c r="CB382" s="129"/>
    </row>
    <row r="383" spans="80:80">
      <c r="CB383" s="129"/>
    </row>
    <row r="384" spans="80:80">
      <c r="CB384" s="129"/>
    </row>
    <row r="385" spans="80:80">
      <c r="CB385" s="129"/>
    </row>
    <row r="386" spans="80:80">
      <c r="CB386" s="129"/>
    </row>
    <row r="387" spans="80:80">
      <c r="CB387" s="129"/>
    </row>
    <row r="388" spans="80:80">
      <c r="CB388" s="129"/>
    </row>
    <row r="389" spans="80:80">
      <c r="CB389" s="129"/>
    </row>
    <row r="390" spans="80:80">
      <c r="CB390" s="129"/>
    </row>
    <row r="391" spans="80:80">
      <c r="CB391" s="129"/>
    </row>
    <row r="392" spans="80:80">
      <c r="CB392" s="129"/>
    </row>
    <row r="393" spans="80:80">
      <c r="CB393" s="129"/>
    </row>
    <row r="394" spans="80:80">
      <c r="CB394" s="129"/>
    </row>
    <row r="395" spans="80:80">
      <c r="CB395" s="129"/>
    </row>
    <row r="396" spans="80:80">
      <c r="CB396" s="129"/>
    </row>
    <row r="397" spans="80:80">
      <c r="CB397" s="129"/>
    </row>
    <row r="398" spans="80:80">
      <c r="CB398" s="129"/>
    </row>
    <row r="399" spans="80:80">
      <c r="CB399" s="129"/>
    </row>
    <row r="400" spans="80:80">
      <c r="CB400" s="129"/>
    </row>
    <row r="401" spans="80:80">
      <c r="CB401" s="129"/>
    </row>
    <row r="402" spans="80:80">
      <c r="CB402" s="129"/>
    </row>
    <row r="403" spans="80:80">
      <c r="CB403" s="129"/>
    </row>
    <row r="404" spans="80:80">
      <c r="CB404" s="129"/>
    </row>
    <row r="405" spans="80:80">
      <c r="CB405" s="129"/>
    </row>
    <row r="406" spans="80:80">
      <c r="CB406" s="129"/>
    </row>
    <row r="407" spans="80:80">
      <c r="CB407" s="129"/>
    </row>
    <row r="408" spans="80:80">
      <c r="CB408" s="129"/>
    </row>
    <row r="409" spans="80:80">
      <c r="CB409" s="129"/>
    </row>
    <row r="410" spans="80:80">
      <c r="CB410" s="129"/>
    </row>
    <row r="411" spans="80:80">
      <c r="CB411" s="129"/>
    </row>
    <row r="412" spans="80:80">
      <c r="CB412" s="129"/>
    </row>
    <row r="413" spans="80:80">
      <c r="CB413" s="129"/>
    </row>
    <row r="414" spans="80:80">
      <c r="CB414" s="129"/>
    </row>
    <row r="415" spans="80:80">
      <c r="CB415" s="129"/>
    </row>
    <row r="416" spans="80:80">
      <c r="CB416" s="129"/>
    </row>
    <row r="417" spans="80:80">
      <c r="CB417" s="129"/>
    </row>
    <row r="418" spans="80:80">
      <c r="CB418" s="129"/>
    </row>
    <row r="419" spans="80:80">
      <c r="CB419" s="129"/>
    </row>
    <row r="420" spans="80:80">
      <c r="CB420" s="129"/>
    </row>
    <row r="421" spans="80:80">
      <c r="CB421" s="129"/>
    </row>
    <row r="422" spans="80:80">
      <c r="CB422" s="129"/>
    </row>
    <row r="423" spans="80:80">
      <c r="CB423" s="129"/>
    </row>
    <row r="424" spans="80:80">
      <c r="CB424" s="129"/>
    </row>
    <row r="425" spans="80:80">
      <c r="CB425" s="129"/>
    </row>
    <row r="426" spans="80:80">
      <c r="CB426" s="129"/>
    </row>
    <row r="427" spans="80:80">
      <c r="CB427" s="129"/>
    </row>
    <row r="428" spans="80:80">
      <c r="CB428" s="129"/>
    </row>
    <row r="429" spans="80:80">
      <c r="CB429" s="129"/>
    </row>
    <row r="430" spans="80:80">
      <c r="CB430" s="129"/>
    </row>
    <row r="431" spans="80:80">
      <c r="CB431" s="129"/>
    </row>
    <row r="432" spans="80:80">
      <c r="CB432" s="129"/>
    </row>
    <row r="433" spans="80:80">
      <c r="CB433" s="129"/>
    </row>
    <row r="434" spans="80:80">
      <c r="CB434" s="129"/>
    </row>
    <row r="435" spans="80:80">
      <c r="CB435" s="129"/>
    </row>
    <row r="436" spans="80:80">
      <c r="CB436" s="129"/>
    </row>
    <row r="437" spans="80:80">
      <c r="CB437" s="129"/>
    </row>
    <row r="438" spans="80:80">
      <c r="CB438" s="129"/>
    </row>
    <row r="439" spans="80:80">
      <c r="CB439" s="129"/>
    </row>
    <row r="440" spans="80:80">
      <c r="CB440" s="129"/>
    </row>
    <row r="441" spans="80:80">
      <c r="CB441" s="129"/>
    </row>
    <row r="442" spans="80:80">
      <c r="CB442" s="129"/>
    </row>
    <row r="443" spans="80:80">
      <c r="CB443" s="129"/>
    </row>
    <row r="444" spans="80:80">
      <c r="CB444" s="129"/>
    </row>
    <row r="445" spans="80:80">
      <c r="CB445" s="129"/>
    </row>
    <row r="446" spans="80:80">
      <c r="CB446" s="129"/>
    </row>
    <row r="447" spans="80:80">
      <c r="CB447" s="129"/>
    </row>
    <row r="448" spans="80:80">
      <c r="CB448" s="129"/>
    </row>
    <row r="449" spans="80:80">
      <c r="CB449" s="129"/>
    </row>
    <row r="450" spans="80:80">
      <c r="CB450" s="129"/>
    </row>
    <row r="451" spans="80:80">
      <c r="CB451" s="129"/>
    </row>
    <row r="452" spans="80:80">
      <c r="CB452" s="129"/>
    </row>
    <row r="453" spans="80:80">
      <c r="CB453" s="129"/>
    </row>
    <row r="454" spans="80:80">
      <c r="CB454" s="129"/>
    </row>
    <row r="455" spans="80:80">
      <c r="CB455" s="129"/>
    </row>
    <row r="456" spans="80:80">
      <c r="CB456" s="129"/>
    </row>
    <row r="457" spans="80:80">
      <c r="CB457" s="129"/>
    </row>
    <row r="458" spans="80:80">
      <c r="CB458" s="129"/>
    </row>
    <row r="459" spans="80:80">
      <c r="CB459" s="129"/>
    </row>
    <row r="460" spans="80:80">
      <c r="CB460" s="129"/>
    </row>
    <row r="461" spans="80:80">
      <c r="CB461" s="129"/>
    </row>
    <row r="462" spans="80:80">
      <c r="CB462" s="129"/>
    </row>
    <row r="463" spans="80:80">
      <c r="CB463" s="129"/>
    </row>
    <row r="464" spans="80:80">
      <c r="CB464" s="129"/>
    </row>
    <row r="465" spans="80:80">
      <c r="CB465" s="129"/>
    </row>
    <row r="466" spans="80:80">
      <c r="CB466" s="129"/>
    </row>
    <row r="467" spans="80:80">
      <c r="CB467" s="129"/>
    </row>
    <row r="468" spans="80:80">
      <c r="CB468" s="129"/>
    </row>
    <row r="469" spans="80:80">
      <c r="CB469" s="129"/>
    </row>
    <row r="470" spans="80:80">
      <c r="CB470" s="129"/>
    </row>
    <row r="471" spans="80:80">
      <c r="CB471" s="129"/>
    </row>
    <row r="472" spans="80:80">
      <c r="CB472" s="129"/>
    </row>
    <row r="473" spans="80:80">
      <c r="CB473" s="129"/>
    </row>
    <row r="474" spans="80:80">
      <c r="CB474" s="129"/>
    </row>
    <row r="475" spans="80:80">
      <c r="CB475" s="129"/>
    </row>
    <row r="476" spans="80:80">
      <c r="CB476" s="129"/>
    </row>
    <row r="477" spans="80:80">
      <c r="CB477" s="129"/>
    </row>
    <row r="478" spans="80:80">
      <c r="CB478" s="129"/>
    </row>
    <row r="479" spans="80:80">
      <c r="CB479" s="129"/>
    </row>
    <row r="480" spans="80:80">
      <c r="CB480" s="129"/>
    </row>
    <row r="481" spans="80:80">
      <c r="CB481" s="129"/>
    </row>
    <row r="482" spans="80:80">
      <c r="CB482" s="129"/>
    </row>
    <row r="483" spans="80:80">
      <c r="CB483" s="129"/>
    </row>
    <row r="484" spans="80:80">
      <c r="CB484" s="129"/>
    </row>
    <row r="485" spans="80:80">
      <c r="CB485" s="129"/>
    </row>
    <row r="486" spans="80:80">
      <c r="CB486" s="129"/>
    </row>
    <row r="487" spans="80:80">
      <c r="CB487" s="129"/>
    </row>
    <row r="488" spans="80:80">
      <c r="CB488" s="129"/>
    </row>
    <row r="489" spans="80:80">
      <c r="CB489" s="129"/>
    </row>
    <row r="490" spans="80:80">
      <c r="CB490" s="129"/>
    </row>
    <row r="491" spans="80:80">
      <c r="CB491" s="129"/>
    </row>
    <row r="492" spans="80:80">
      <c r="CB492" s="129"/>
    </row>
    <row r="493" spans="80:80">
      <c r="CB493" s="129"/>
    </row>
    <row r="494" spans="80:80">
      <c r="CB494" s="129"/>
    </row>
    <row r="495" spans="80:80">
      <c r="CB495" s="129"/>
    </row>
    <row r="496" spans="80:80">
      <c r="CB496" s="129"/>
    </row>
    <row r="497" spans="80:80">
      <c r="CB497" s="129"/>
    </row>
    <row r="498" spans="80:80">
      <c r="CB498" s="129"/>
    </row>
    <row r="499" spans="80:80">
      <c r="CB499" s="129"/>
    </row>
    <row r="500" spans="80:80">
      <c r="CB500" s="129"/>
    </row>
    <row r="501" spans="80:80">
      <c r="CB501" s="129"/>
    </row>
    <row r="502" spans="80:80">
      <c r="CB502" s="129"/>
    </row>
    <row r="503" spans="80:80">
      <c r="CB503" s="129"/>
    </row>
    <row r="504" spans="80:80">
      <c r="CB504" s="129"/>
    </row>
    <row r="505" spans="80:80">
      <c r="CB505" s="129"/>
    </row>
    <row r="506" spans="80:80">
      <c r="CB506" s="129"/>
    </row>
    <row r="507" spans="80:80">
      <c r="CB507" s="129"/>
    </row>
    <row r="508" spans="80:80">
      <c r="CB508" s="129"/>
    </row>
    <row r="509" spans="80:80">
      <c r="CB509" s="129"/>
    </row>
    <row r="510" spans="80:80">
      <c r="CB510" s="129"/>
    </row>
    <row r="511" spans="80:80">
      <c r="CB511" s="129"/>
    </row>
    <row r="512" spans="80:80">
      <c r="CB512" s="129"/>
    </row>
    <row r="513" spans="80:80">
      <c r="CB513" s="129"/>
    </row>
    <row r="514" spans="80:80">
      <c r="CB514" s="129"/>
    </row>
    <row r="515" spans="80:80">
      <c r="CB515" s="129"/>
    </row>
    <row r="516" spans="80:80">
      <c r="CB516" s="129"/>
    </row>
    <row r="517" spans="80:80">
      <c r="CB517" s="129"/>
    </row>
    <row r="518" spans="80:80">
      <c r="CB518" s="129"/>
    </row>
    <row r="519" spans="80:80">
      <c r="CB519" s="129"/>
    </row>
    <row r="520" spans="80:80">
      <c r="CB520" s="129"/>
    </row>
    <row r="521" spans="80:80">
      <c r="CB521" s="129"/>
    </row>
    <row r="522" spans="80:80">
      <c r="CB522" s="129"/>
    </row>
    <row r="523" spans="80:80">
      <c r="CB523" s="129"/>
    </row>
    <row r="524" spans="80:80">
      <c r="CB524" s="129"/>
    </row>
    <row r="525" spans="80:80">
      <c r="CB525" s="129"/>
    </row>
    <row r="526" spans="80:80">
      <c r="CB526" s="129"/>
    </row>
    <row r="527" spans="80:80">
      <c r="CB527" s="129"/>
    </row>
    <row r="528" spans="80:80">
      <c r="CB528" s="129"/>
    </row>
    <row r="529" spans="80:80">
      <c r="CB529" s="129"/>
    </row>
    <row r="530" spans="80:80">
      <c r="CB530" s="129"/>
    </row>
    <row r="531" spans="80:80">
      <c r="CB531" s="129"/>
    </row>
    <row r="532" spans="80:80">
      <c r="CB532" s="129"/>
    </row>
    <row r="533" spans="80:80">
      <c r="CB533" s="129"/>
    </row>
    <row r="534" spans="80:80">
      <c r="CB534" s="129"/>
    </row>
    <row r="535" spans="80:80">
      <c r="CB535" s="129"/>
    </row>
    <row r="536" spans="80:80">
      <c r="CB536" s="129"/>
    </row>
    <row r="537" spans="80:80">
      <c r="CB537" s="129"/>
    </row>
    <row r="538" spans="80:80">
      <c r="CB538" s="129"/>
    </row>
    <row r="539" spans="80:80">
      <c r="CB539" s="129"/>
    </row>
    <row r="540" spans="80:80">
      <c r="CB540" s="129"/>
    </row>
    <row r="541" spans="80:80">
      <c r="CB541" s="129"/>
    </row>
    <row r="542" spans="80:80">
      <c r="CB542" s="129"/>
    </row>
    <row r="543" spans="80:80">
      <c r="CB543" s="129"/>
    </row>
    <row r="544" spans="80:80">
      <c r="CB544" s="129"/>
    </row>
    <row r="545" spans="80:80">
      <c r="CB545" s="129"/>
    </row>
    <row r="546" spans="80:80">
      <c r="CB546" s="129"/>
    </row>
    <row r="547" spans="80:80">
      <c r="CB547" s="129"/>
    </row>
    <row r="548" spans="80:80">
      <c r="CB548" s="129"/>
    </row>
    <row r="549" spans="80:80">
      <c r="CB549" s="129"/>
    </row>
    <row r="550" spans="80:80">
      <c r="CB550" s="129"/>
    </row>
    <row r="551" spans="80:80">
      <c r="CB551" s="129"/>
    </row>
    <row r="552" spans="80:80">
      <c r="CB552" s="129"/>
    </row>
    <row r="553" spans="80:80">
      <c r="CB553" s="129"/>
    </row>
    <row r="554" spans="80:80">
      <c r="CB554" s="129"/>
    </row>
    <row r="555" spans="80:80">
      <c r="CB555" s="129"/>
    </row>
    <row r="556" spans="80:80">
      <c r="CB556" s="129"/>
    </row>
    <row r="557" spans="80:80">
      <c r="CB557" s="129"/>
    </row>
    <row r="558" spans="80:80">
      <c r="CB558" s="129"/>
    </row>
    <row r="559" spans="80:80">
      <c r="CB559" s="129"/>
    </row>
    <row r="560" spans="80:80">
      <c r="CB560" s="129"/>
    </row>
    <row r="561" spans="80:80">
      <c r="CB561" s="129"/>
    </row>
    <row r="562" spans="80:80">
      <c r="CB562" s="129"/>
    </row>
    <row r="563" spans="80:80">
      <c r="CB563" s="129"/>
    </row>
    <row r="564" spans="80:80">
      <c r="CB564" s="129"/>
    </row>
    <row r="565" spans="80:80">
      <c r="CB565" s="129"/>
    </row>
    <row r="566" spans="80:80">
      <c r="CB566" s="129"/>
    </row>
    <row r="567" spans="80:80">
      <c r="CB567" s="129"/>
    </row>
    <row r="568" spans="80:80">
      <c r="CB568" s="129"/>
    </row>
    <row r="569" spans="80:80">
      <c r="CB569" s="129"/>
    </row>
    <row r="570" spans="80:80">
      <c r="CB570" s="129"/>
    </row>
    <row r="571" spans="80:80">
      <c r="CB571" s="129"/>
    </row>
    <row r="572" spans="80:80">
      <c r="CB572" s="129"/>
    </row>
    <row r="573" spans="80:80">
      <c r="CB573" s="129"/>
    </row>
    <row r="574" spans="80:80">
      <c r="CB574" s="129"/>
    </row>
    <row r="575" spans="80:80">
      <c r="CB575" s="129"/>
    </row>
    <row r="576" spans="80:80">
      <c r="CB576" s="129"/>
    </row>
    <row r="577" spans="80:80">
      <c r="CB577" s="129"/>
    </row>
    <row r="578" spans="80:80">
      <c r="CB578" s="129"/>
    </row>
    <row r="579" spans="80:80">
      <c r="CB579" s="129"/>
    </row>
    <row r="580" spans="80:80">
      <c r="CB580" s="129"/>
    </row>
    <row r="581" spans="80:80">
      <c r="CB581" s="129"/>
    </row>
    <row r="582" spans="80:80">
      <c r="CB582" s="129"/>
    </row>
    <row r="583" spans="80:80">
      <c r="CB583" s="129"/>
    </row>
    <row r="584" spans="80:80">
      <c r="CB584" s="129"/>
    </row>
    <row r="585" spans="80:80">
      <c r="CB585" s="129"/>
    </row>
    <row r="586" spans="80:80">
      <c r="CB586" s="129"/>
    </row>
    <row r="587" spans="80:80">
      <c r="CB587" s="129"/>
    </row>
    <row r="588" spans="80:80">
      <c r="CB588" s="129"/>
    </row>
    <row r="589" spans="80:80">
      <c r="CB589" s="129"/>
    </row>
    <row r="590" spans="80:80">
      <c r="CB590" s="129"/>
    </row>
    <row r="591" spans="80:80">
      <c r="CB591" s="129"/>
    </row>
    <row r="592" spans="80:80">
      <c r="CB592" s="129"/>
    </row>
    <row r="593" spans="80:80">
      <c r="CB593" s="129"/>
    </row>
    <row r="594" spans="80:80">
      <c r="CB594" s="129"/>
    </row>
    <row r="595" spans="80:80">
      <c r="CB595" s="129"/>
    </row>
    <row r="596" spans="80:80">
      <c r="CB596" s="129"/>
    </row>
    <row r="597" spans="80:80">
      <c r="CB597" s="129"/>
    </row>
    <row r="598" spans="80:80">
      <c r="CB598" s="129"/>
    </row>
    <row r="599" spans="80:80">
      <c r="CB599" s="129"/>
    </row>
    <row r="600" spans="80:80">
      <c r="CB600" s="129"/>
    </row>
    <row r="601" spans="80:80">
      <c r="CB601" s="129"/>
    </row>
    <row r="602" spans="80:80">
      <c r="CB602" s="129"/>
    </row>
    <row r="603" spans="80:80">
      <c r="CB603" s="129"/>
    </row>
    <row r="604" spans="80:80">
      <c r="CB604" s="129"/>
    </row>
    <row r="605" spans="80:80">
      <c r="CB605" s="129"/>
    </row>
    <row r="606" spans="80:80">
      <c r="CB606" s="129"/>
    </row>
    <row r="607" spans="80:80">
      <c r="CB607" s="129"/>
    </row>
    <row r="608" spans="80:80">
      <c r="CB608" s="129"/>
    </row>
    <row r="609" spans="80:80">
      <c r="CB609" s="129"/>
    </row>
    <row r="610" spans="80:80">
      <c r="CB610" s="129"/>
    </row>
    <row r="611" spans="80:80">
      <c r="CB611" s="129"/>
    </row>
    <row r="612" spans="80:80">
      <c r="CB612" s="129"/>
    </row>
    <row r="613" spans="80:80">
      <c r="CB613" s="129"/>
    </row>
    <row r="614" spans="80:80">
      <c r="CB614" s="129"/>
    </row>
    <row r="615" spans="80:80">
      <c r="CB615" s="129"/>
    </row>
    <row r="616" spans="80:80">
      <c r="CB616" s="129"/>
    </row>
    <row r="617" spans="80:80">
      <c r="CB617" s="129"/>
    </row>
    <row r="618" spans="80:80">
      <c r="CB618" s="129"/>
    </row>
    <row r="619" spans="80:80">
      <c r="CB619" s="129"/>
    </row>
    <row r="620" spans="80:80">
      <c r="CB620" s="129"/>
    </row>
    <row r="621" spans="80:80">
      <c r="CB621" s="129"/>
    </row>
    <row r="622" spans="80:80">
      <c r="CB622" s="129"/>
    </row>
    <row r="623" spans="80:80">
      <c r="CB623" s="129"/>
    </row>
    <row r="624" spans="80:80">
      <c r="CB624" s="129"/>
    </row>
    <row r="625" spans="80:80">
      <c r="CB625" s="129"/>
    </row>
    <row r="626" spans="80:80">
      <c r="CB626" s="129"/>
    </row>
    <row r="627" spans="80:80">
      <c r="CB627" s="129"/>
    </row>
    <row r="628" spans="80:80">
      <c r="CB628" s="129"/>
    </row>
    <row r="629" spans="80:80">
      <c r="CB629" s="129"/>
    </row>
    <row r="630" spans="80:80">
      <c r="CB630" s="129"/>
    </row>
    <row r="631" spans="80:80">
      <c r="CB631" s="129"/>
    </row>
    <row r="632" spans="80:80">
      <c r="CB632" s="129"/>
    </row>
    <row r="633" spans="80:80">
      <c r="CB633" s="129"/>
    </row>
    <row r="634" spans="80:80">
      <c r="CB634" s="129"/>
    </row>
    <row r="635" spans="80:80">
      <c r="CB635" s="129"/>
    </row>
    <row r="636" spans="80:80">
      <c r="CB636" s="129"/>
    </row>
    <row r="637" spans="80:80">
      <c r="CB637" s="129"/>
    </row>
    <row r="638" spans="80:80">
      <c r="CB638" s="129"/>
    </row>
    <row r="639" spans="80:80">
      <c r="CB639" s="129"/>
    </row>
    <row r="640" spans="80:80">
      <c r="CB640" s="129"/>
    </row>
    <row r="641" spans="80:80">
      <c r="CB641" s="129"/>
    </row>
    <row r="642" spans="80:80">
      <c r="CB642" s="129"/>
    </row>
    <row r="643" spans="80:80">
      <c r="CB643" s="129"/>
    </row>
    <row r="644" spans="80:80">
      <c r="CB644" s="129"/>
    </row>
    <row r="645" spans="80:80">
      <c r="CB645" s="129"/>
    </row>
    <row r="646" spans="80:80">
      <c r="CB646" s="129"/>
    </row>
    <row r="647" spans="80:80">
      <c r="CB647" s="129"/>
    </row>
    <row r="648" spans="80:80">
      <c r="CB648" s="129"/>
    </row>
    <row r="649" spans="80:80">
      <c r="CB649" s="129"/>
    </row>
    <row r="650" spans="80:80">
      <c r="CB650" s="129"/>
    </row>
    <row r="651" spans="80:80">
      <c r="CB651" s="129"/>
    </row>
    <row r="652" spans="80:80">
      <c r="CB652" s="129"/>
    </row>
    <row r="653" spans="80:80">
      <c r="CB653" s="129"/>
    </row>
    <row r="654" spans="80:80">
      <c r="CB654" s="129"/>
    </row>
    <row r="655" spans="80:80">
      <c r="CB655" s="129"/>
    </row>
    <row r="656" spans="80:80">
      <c r="CB656" s="129"/>
    </row>
    <row r="657" spans="80:80">
      <c r="CB657" s="129"/>
    </row>
    <row r="658" spans="80:80">
      <c r="CB658" s="129"/>
    </row>
    <row r="659" spans="80:80">
      <c r="CB659" s="129"/>
    </row>
    <row r="660" spans="80:80">
      <c r="CB660" s="129"/>
    </row>
    <row r="661" spans="80:80">
      <c r="CB661" s="129"/>
    </row>
    <row r="662" spans="80:80">
      <c r="CB662" s="129"/>
    </row>
    <row r="663" spans="80:80">
      <c r="CB663" s="129"/>
    </row>
    <row r="664" spans="80:80">
      <c r="CB664" s="129"/>
    </row>
    <row r="665" spans="80:80">
      <c r="CB665" s="129"/>
    </row>
    <row r="666" spans="80:80">
      <c r="CB666" s="129"/>
    </row>
    <row r="667" spans="80:80">
      <c r="CB667" s="129"/>
    </row>
    <row r="668" spans="80:80">
      <c r="CB668" s="129"/>
    </row>
    <row r="669" spans="80:80">
      <c r="CB669" s="129"/>
    </row>
    <row r="670" spans="80:80">
      <c r="CB670" s="129"/>
    </row>
    <row r="671" spans="80:80">
      <c r="CB671" s="129"/>
    </row>
    <row r="672" spans="80:80">
      <c r="CB672" s="129"/>
    </row>
    <row r="673" spans="80:80">
      <c r="CB673" s="129"/>
    </row>
    <row r="674" spans="80:80">
      <c r="CB674" s="129"/>
    </row>
    <row r="675" spans="80:80">
      <c r="CB675" s="129"/>
    </row>
    <row r="676" spans="80:80">
      <c r="CB676" s="129"/>
    </row>
    <row r="677" spans="80:80">
      <c r="CB677" s="129"/>
    </row>
    <row r="678" spans="80:80">
      <c r="CB678" s="129"/>
    </row>
    <row r="679" spans="80:80">
      <c r="CB679" s="129"/>
    </row>
    <row r="680" spans="80:80">
      <c r="CB680" s="129"/>
    </row>
    <row r="681" spans="80:80">
      <c r="CB681" s="129"/>
    </row>
    <row r="682" spans="80:80">
      <c r="CB682" s="129"/>
    </row>
    <row r="683" spans="80:80">
      <c r="CB683" s="129"/>
    </row>
    <row r="684" spans="80:80">
      <c r="CB684" s="129"/>
    </row>
    <row r="685" spans="80:80">
      <c r="CB685" s="129"/>
    </row>
    <row r="686" spans="80:80">
      <c r="CB686" s="129"/>
    </row>
    <row r="687" spans="80:80">
      <c r="CB687" s="129"/>
    </row>
    <row r="688" spans="80:80">
      <c r="CB688" s="129"/>
    </row>
    <row r="689" spans="80:80">
      <c r="CB689" s="129"/>
    </row>
    <row r="690" spans="80:80">
      <c r="CB690" s="129"/>
    </row>
    <row r="691" spans="80:80">
      <c r="CB691" s="129"/>
    </row>
    <row r="692" spans="80:80">
      <c r="CB692" s="129"/>
    </row>
    <row r="693" spans="80:80">
      <c r="CB693" s="129"/>
    </row>
    <row r="694" spans="80:80">
      <c r="CB694" s="129"/>
    </row>
    <row r="695" spans="80:80">
      <c r="CB695" s="129"/>
    </row>
    <row r="696" spans="80:80">
      <c r="CB696" s="129"/>
    </row>
    <row r="697" spans="80:80">
      <c r="CB697" s="129"/>
    </row>
    <row r="698" spans="80:80">
      <c r="CB698" s="129"/>
    </row>
    <row r="699" spans="80:80">
      <c r="CB699" s="129"/>
    </row>
    <row r="700" spans="80:80">
      <c r="CB700" s="129"/>
    </row>
    <row r="701" spans="80:80">
      <c r="CB701" s="129"/>
    </row>
    <row r="702" spans="80:80">
      <c r="CB702" s="129"/>
    </row>
    <row r="703" spans="80:80">
      <c r="CB703" s="129"/>
    </row>
    <row r="704" spans="80:80">
      <c r="CB704" s="129"/>
    </row>
    <row r="705" spans="80:80">
      <c r="CB705" s="129"/>
    </row>
    <row r="706" spans="80:80">
      <c r="CB706" s="129"/>
    </row>
    <row r="707" spans="80:80">
      <c r="CB707" s="129"/>
    </row>
    <row r="708" spans="80:80">
      <c r="CB708" s="129"/>
    </row>
    <row r="709" spans="80:80">
      <c r="CB709" s="129"/>
    </row>
    <row r="710" spans="80:80">
      <c r="CB710" s="129"/>
    </row>
    <row r="711" spans="80:80">
      <c r="CB711" s="129"/>
    </row>
    <row r="712" spans="80:80">
      <c r="CB712" s="129"/>
    </row>
    <row r="713" spans="80:80">
      <c r="CB713" s="129"/>
    </row>
    <row r="714" spans="80:80">
      <c r="CB714" s="129"/>
    </row>
    <row r="715" spans="80:80">
      <c r="CB715" s="129"/>
    </row>
    <row r="716" spans="80:80">
      <c r="CB716" s="129"/>
    </row>
    <row r="717" spans="80:80">
      <c r="CB717" s="129"/>
    </row>
    <row r="718" spans="80:80">
      <c r="CB718" s="129"/>
    </row>
    <row r="719" spans="80:80">
      <c r="CB719" s="129"/>
    </row>
    <row r="720" spans="80:80">
      <c r="CB720" s="129"/>
    </row>
    <row r="721" spans="80:80">
      <c r="CB721" s="129"/>
    </row>
    <row r="722" spans="80:80">
      <c r="CB722" s="129"/>
    </row>
    <row r="723" spans="80:80">
      <c r="CB723" s="129"/>
    </row>
    <row r="724" spans="80:80">
      <c r="CB724" s="129"/>
    </row>
    <row r="725" spans="80:80">
      <c r="CB725" s="129"/>
    </row>
    <row r="726" spans="80:80">
      <c r="CB726" s="129"/>
    </row>
    <row r="727" spans="80:80">
      <c r="CB727" s="129"/>
    </row>
    <row r="728" spans="80:80">
      <c r="CB728" s="129"/>
    </row>
    <row r="729" spans="80:80">
      <c r="CB729" s="129"/>
    </row>
    <row r="730" spans="80:80">
      <c r="CB730" s="129"/>
    </row>
    <row r="731" spans="80:80">
      <c r="CB731" s="129"/>
    </row>
    <row r="732" spans="80:80">
      <c r="CB732" s="129"/>
    </row>
    <row r="733" spans="80:80">
      <c r="CB733" s="129"/>
    </row>
    <row r="734" spans="80:80">
      <c r="CB734" s="129"/>
    </row>
    <row r="735" spans="80:80">
      <c r="CB735" s="129"/>
    </row>
    <row r="736" spans="80:80">
      <c r="CB736" s="129"/>
    </row>
    <row r="737" spans="80:80">
      <c r="CB737" s="129"/>
    </row>
    <row r="738" spans="80:80">
      <c r="CB738" s="129"/>
    </row>
    <row r="739" spans="80:80">
      <c r="CB739" s="129"/>
    </row>
    <row r="740" spans="80:80">
      <c r="CB740" s="129"/>
    </row>
    <row r="741" spans="80:80">
      <c r="CB741" s="129"/>
    </row>
    <row r="742" spans="80:80">
      <c r="CB742" s="129"/>
    </row>
    <row r="743" spans="80:80">
      <c r="CB743" s="129"/>
    </row>
    <row r="744" spans="80:80">
      <c r="CB744" s="129"/>
    </row>
    <row r="745" spans="80:80">
      <c r="CB745" s="129"/>
    </row>
    <row r="746" spans="80:80">
      <c r="CB746" s="129"/>
    </row>
    <row r="747" spans="80:80">
      <c r="CB747" s="129"/>
    </row>
    <row r="748" spans="80:80">
      <c r="CB748" s="129"/>
    </row>
    <row r="749" spans="80:80">
      <c r="CB749" s="129"/>
    </row>
    <row r="750" spans="80:80">
      <c r="CB750" s="129"/>
    </row>
    <row r="751" spans="80:80">
      <c r="CB751" s="129"/>
    </row>
    <row r="752" spans="80:80">
      <c r="CB752" s="129"/>
    </row>
    <row r="753" spans="80:80">
      <c r="CB753" s="129"/>
    </row>
    <row r="754" spans="80:80">
      <c r="CB754" s="129"/>
    </row>
    <row r="755" spans="80:80">
      <c r="CB755" s="129"/>
    </row>
    <row r="756" spans="80:80">
      <c r="CB756" s="129"/>
    </row>
    <row r="757" spans="80:80">
      <c r="CB757" s="129"/>
    </row>
    <row r="758" spans="80:80">
      <c r="CB758" s="129"/>
    </row>
    <row r="759" spans="80:80">
      <c r="CB759" s="129"/>
    </row>
    <row r="760" spans="80:80">
      <c r="CB760" s="129"/>
    </row>
    <row r="761" spans="80:80">
      <c r="CB761" s="129"/>
    </row>
    <row r="762" spans="80:80">
      <c r="CB762" s="129"/>
    </row>
    <row r="763" spans="80:80">
      <c r="CB763" s="129"/>
    </row>
    <row r="764" spans="80:80">
      <c r="CB764" s="129"/>
    </row>
    <row r="765" spans="80:80">
      <c r="CB765" s="129"/>
    </row>
    <row r="766" spans="80:80">
      <c r="CB766" s="129"/>
    </row>
    <row r="767" spans="80:80">
      <c r="CB767" s="129"/>
    </row>
    <row r="768" spans="80:80">
      <c r="CB768" s="129"/>
    </row>
    <row r="769" spans="80:80">
      <c r="CB769" s="129"/>
    </row>
    <row r="770" spans="80:80">
      <c r="CB770" s="129"/>
    </row>
    <row r="771" spans="80:80">
      <c r="CB771" s="129"/>
    </row>
    <row r="772" spans="80:80">
      <c r="CB772" s="129"/>
    </row>
    <row r="773" spans="80:80">
      <c r="CB773" s="129"/>
    </row>
    <row r="774" spans="80:80">
      <c r="CB774" s="129"/>
    </row>
    <row r="775" spans="80:80">
      <c r="CB775" s="129"/>
    </row>
    <row r="776" spans="80:80">
      <c r="CB776" s="129"/>
    </row>
    <row r="777" spans="80:80">
      <c r="CB777" s="129"/>
    </row>
    <row r="778" spans="80:80">
      <c r="CB778" s="129"/>
    </row>
    <row r="779" spans="80:80">
      <c r="CB779" s="129"/>
    </row>
    <row r="780" spans="80:80">
      <c r="CB780" s="129"/>
    </row>
    <row r="781" spans="80:80">
      <c r="CB781" s="129"/>
    </row>
    <row r="782" spans="80:80">
      <c r="CB782" s="129"/>
    </row>
    <row r="783" spans="80:80">
      <c r="CB783" s="129"/>
    </row>
    <row r="784" spans="80:80">
      <c r="CB784" s="129"/>
    </row>
    <row r="785" spans="80:80">
      <c r="CB785" s="129"/>
    </row>
    <row r="786" spans="80:80">
      <c r="CB786" s="129"/>
    </row>
    <row r="787" spans="80:80">
      <c r="CB787" s="129"/>
    </row>
    <row r="788" spans="80:80">
      <c r="CB788" s="129"/>
    </row>
    <row r="789" spans="80:80">
      <c r="CB789" s="129"/>
    </row>
    <row r="790" spans="80:80">
      <c r="CB790" s="129"/>
    </row>
    <row r="791" spans="80:80">
      <c r="CB791" s="129"/>
    </row>
    <row r="792" spans="80:80">
      <c r="CB792" s="129"/>
    </row>
    <row r="793" spans="80:80">
      <c r="CB793" s="129"/>
    </row>
    <row r="794" spans="80:80">
      <c r="CB794" s="129"/>
    </row>
    <row r="795" spans="80:80">
      <c r="CB795" s="129"/>
    </row>
    <row r="796" spans="80:80">
      <c r="CB796" s="129"/>
    </row>
    <row r="797" spans="80:80">
      <c r="CB797" s="129"/>
    </row>
    <row r="798" spans="80:80">
      <c r="CB798" s="129"/>
    </row>
    <row r="799" spans="80:80">
      <c r="CB799" s="129"/>
    </row>
    <row r="800" spans="80:80">
      <c r="CB800" s="129"/>
    </row>
    <row r="801" spans="80:80">
      <c r="CB801" s="129"/>
    </row>
    <row r="802" spans="80:80">
      <c r="CB802" s="129"/>
    </row>
    <row r="803" spans="80:80">
      <c r="CB803" s="129"/>
    </row>
    <row r="804" spans="80:80">
      <c r="CB804" s="129"/>
    </row>
    <row r="805" spans="80:80">
      <c r="CB805" s="129"/>
    </row>
    <row r="806" spans="80:80">
      <c r="CB806" s="129"/>
    </row>
    <row r="807" spans="80:80">
      <c r="CB807" s="129"/>
    </row>
    <row r="808" spans="80:80">
      <c r="CB808" s="129"/>
    </row>
    <row r="809" spans="80:80">
      <c r="CB809" s="129"/>
    </row>
    <row r="810" spans="80:80">
      <c r="CB810" s="129"/>
    </row>
    <row r="811" spans="80:80">
      <c r="CB811" s="129"/>
    </row>
    <row r="812" spans="80:80">
      <c r="CB812" s="129"/>
    </row>
    <row r="813" spans="80:80">
      <c r="CB813" s="129"/>
    </row>
    <row r="814" spans="80:80">
      <c r="CB814" s="129"/>
    </row>
    <row r="815" spans="80:80">
      <c r="CB815" s="129"/>
    </row>
    <row r="816" spans="80:80">
      <c r="CB816" s="129"/>
    </row>
    <row r="817" spans="80:80">
      <c r="CB817" s="129"/>
    </row>
    <row r="818" spans="80:80">
      <c r="CB818" s="129"/>
    </row>
    <row r="819" spans="80:80">
      <c r="CB819" s="129"/>
    </row>
    <row r="820" spans="80:80">
      <c r="CB820" s="129"/>
    </row>
    <row r="821" spans="80:80">
      <c r="CB821" s="129"/>
    </row>
    <row r="822" spans="80:80">
      <c r="CB822" s="129"/>
    </row>
    <row r="823" spans="80:80">
      <c r="CB823" s="129"/>
    </row>
    <row r="824" spans="80:80">
      <c r="CB824" s="129"/>
    </row>
    <row r="825" spans="80:80">
      <c r="CB825" s="129"/>
    </row>
    <row r="826" spans="80:80">
      <c r="CB826" s="129"/>
    </row>
    <row r="827" spans="80:80">
      <c r="CB827" s="129"/>
    </row>
    <row r="828" spans="80:80">
      <c r="CB828" s="129"/>
    </row>
    <row r="829" spans="80:80">
      <c r="CB829" s="129"/>
    </row>
    <row r="830" spans="80:80">
      <c r="CB830" s="129"/>
    </row>
    <row r="831" spans="80:80">
      <c r="CB831" s="129"/>
    </row>
    <row r="832" spans="80:80">
      <c r="CB832" s="129"/>
    </row>
    <row r="833" spans="80:80">
      <c r="CB833" s="129"/>
    </row>
    <row r="834" spans="80:80">
      <c r="CB834" s="129"/>
    </row>
    <row r="835" spans="80:80">
      <c r="CB835" s="129"/>
    </row>
    <row r="836" spans="80:80">
      <c r="CB836" s="129"/>
    </row>
    <row r="837" spans="80:80">
      <c r="CB837" s="129"/>
    </row>
    <row r="838" spans="80:80">
      <c r="CB838" s="129"/>
    </row>
    <row r="839" spans="80:80">
      <c r="CB839" s="129"/>
    </row>
    <row r="840" spans="80:80">
      <c r="CB840" s="129"/>
    </row>
    <row r="841" spans="80:80">
      <c r="CB841" s="129"/>
    </row>
    <row r="842" spans="80:80">
      <c r="CB842" s="129"/>
    </row>
    <row r="843" spans="80:80">
      <c r="CB843" s="129"/>
    </row>
    <row r="844" spans="80:80">
      <c r="CB844" s="129"/>
    </row>
    <row r="845" spans="80:80">
      <c r="CB845" s="129"/>
    </row>
    <row r="846" spans="80:80">
      <c r="CB846" s="129"/>
    </row>
    <row r="847" spans="80:80">
      <c r="CB847" s="129"/>
    </row>
    <row r="848" spans="80:80">
      <c r="CB848" s="129"/>
    </row>
    <row r="849" spans="80:80">
      <c r="CB849" s="129"/>
    </row>
    <row r="850" spans="80:80">
      <c r="CB850" s="129"/>
    </row>
    <row r="851" spans="80:80">
      <c r="CB851" s="129"/>
    </row>
    <row r="852" spans="80:80">
      <c r="CB852" s="129"/>
    </row>
    <row r="853" spans="80:80">
      <c r="CB853" s="129"/>
    </row>
    <row r="854" spans="80:80">
      <c r="CB854" s="129"/>
    </row>
    <row r="855" spans="80:80">
      <c r="CB855" s="129"/>
    </row>
    <row r="856" spans="80:80">
      <c r="CB856" s="129"/>
    </row>
    <row r="857" spans="80:80">
      <c r="CB857" s="129"/>
    </row>
    <row r="858" spans="80:80">
      <c r="CB858" s="129"/>
    </row>
    <row r="859" spans="80:80">
      <c r="CB859" s="129"/>
    </row>
    <row r="860" spans="80:80">
      <c r="CB860" s="129"/>
    </row>
    <row r="861" spans="80:80">
      <c r="CB861" s="129"/>
    </row>
    <row r="862" spans="80:80">
      <c r="CB862" s="129"/>
    </row>
    <row r="863" spans="80:80">
      <c r="CB863" s="129"/>
    </row>
    <row r="864" spans="80:80">
      <c r="CB864" s="129"/>
    </row>
    <row r="865" spans="80:80">
      <c r="CB865" s="129"/>
    </row>
    <row r="866" spans="80:80">
      <c r="CB866" s="129"/>
    </row>
    <row r="867" spans="80:80">
      <c r="CB867" s="129"/>
    </row>
    <row r="868" spans="80:80">
      <c r="CB868" s="129"/>
    </row>
    <row r="869" spans="80:80">
      <c r="CB869" s="129"/>
    </row>
    <row r="870" spans="80:80">
      <c r="CB870" s="129"/>
    </row>
    <row r="871" spans="80:80">
      <c r="CB871" s="129"/>
    </row>
    <row r="872" spans="80:80">
      <c r="CB872" s="129"/>
    </row>
    <row r="873" spans="80:80">
      <c r="CB873" s="129"/>
    </row>
    <row r="874" spans="80:80">
      <c r="CB874" s="129"/>
    </row>
    <row r="875" spans="80:80">
      <c r="CB875" s="129"/>
    </row>
    <row r="876" spans="80:80">
      <c r="CB876" s="129"/>
    </row>
    <row r="877" spans="80:80">
      <c r="CB877" s="129"/>
    </row>
    <row r="878" spans="80:80">
      <c r="CB878" s="129"/>
    </row>
    <row r="879" spans="80:80">
      <c r="CB879" s="129"/>
    </row>
    <row r="880" spans="80:80">
      <c r="CB880" s="129"/>
    </row>
    <row r="881" spans="80:80">
      <c r="CB881" s="129"/>
    </row>
    <row r="882" spans="80:80">
      <c r="CB882" s="129"/>
    </row>
    <row r="883" spans="80:80">
      <c r="CB883" s="129"/>
    </row>
    <row r="884" spans="80:80">
      <c r="CB884" s="129"/>
    </row>
    <row r="885" spans="80:80">
      <c r="CB885" s="129"/>
    </row>
    <row r="886" spans="80:80">
      <c r="CB886" s="129"/>
    </row>
    <row r="887" spans="80:80">
      <c r="CB887" s="129"/>
    </row>
    <row r="888" spans="80:80">
      <c r="CB888" s="129"/>
    </row>
    <row r="889" spans="80:80">
      <c r="CB889" s="129"/>
    </row>
    <row r="890" spans="80:80">
      <c r="CB890" s="129"/>
    </row>
  </sheetData>
  <mergeCells count="99">
    <mergeCell ref="B59:D59"/>
    <mergeCell ref="B60:D60"/>
    <mergeCell ref="B61:D61"/>
    <mergeCell ref="B62:D62"/>
    <mergeCell ref="CT3:CT4"/>
    <mergeCell ref="Y3:AB3"/>
    <mergeCell ref="AC3:AF3"/>
    <mergeCell ref="AG3:AJ3"/>
    <mergeCell ref="AK3:AN3"/>
    <mergeCell ref="AO3:AR3"/>
    <mergeCell ref="CC3:CF3"/>
    <mergeCell ref="CK3:CN3"/>
    <mergeCell ref="B4:D4"/>
    <mergeCell ref="B5:D5"/>
    <mergeCell ref="B26:D26"/>
    <mergeCell ref="B23:D23"/>
    <mergeCell ref="CU3:CU4"/>
    <mergeCell ref="CV3:CV4"/>
    <mergeCell ref="A1:W1"/>
    <mergeCell ref="AS3:AV3"/>
    <mergeCell ref="CG3:CJ3"/>
    <mergeCell ref="A3:D3"/>
    <mergeCell ref="E3:H3"/>
    <mergeCell ref="I3:L3"/>
    <mergeCell ref="M3:P3"/>
    <mergeCell ref="Q3:T3"/>
    <mergeCell ref="U3:X3"/>
    <mergeCell ref="BM3:BP3"/>
    <mergeCell ref="BU3:BX3"/>
    <mergeCell ref="BQ3:BT3"/>
    <mergeCell ref="BY3:CB3"/>
    <mergeCell ref="BI3:BL3"/>
    <mergeCell ref="B13:D13"/>
    <mergeCell ref="B7:D7"/>
    <mergeCell ref="AW3:AZ3"/>
    <mergeCell ref="BA3:BD3"/>
    <mergeCell ref="BE3:BH3"/>
    <mergeCell ref="B8:D8"/>
    <mergeCell ref="B9:D9"/>
    <mergeCell ref="B10:D10"/>
    <mergeCell ref="B11:D11"/>
    <mergeCell ref="B12:D12"/>
    <mergeCell ref="B65:D65"/>
    <mergeCell ref="B47:D47"/>
    <mergeCell ref="B49:D49"/>
    <mergeCell ref="B46:D46"/>
    <mergeCell ref="B40:D40"/>
    <mergeCell ref="B63:D63"/>
    <mergeCell ref="B53:D53"/>
    <mergeCell ref="B50:D50"/>
    <mergeCell ref="B51:D51"/>
    <mergeCell ref="B52:D52"/>
    <mergeCell ref="B55:D55"/>
    <mergeCell ref="B56:D56"/>
    <mergeCell ref="B41:D41"/>
    <mergeCell ref="B42:D42"/>
    <mergeCell ref="B43:D43"/>
    <mergeCell ref="B58:D58"/>
    <mergeCell ref="B76:D76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22:D22"/>
    <mergeCell ref="CW3:CW4"/>
    <mergeCell ref="CX3:CX4"/>
    <mergeCell ref="CY3:CY4"/>
    <mergeCell ref="B57:D57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</mergeCells>
  <pageMargins left="0" right="0" top="0" bottom="0" header="0" footer="0"/>
  <pageSetup paperSize="9"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U42"/>
  <sheetViews>
    <sheetView view="pageBreakPreview" zoomScale="68" zoomScaleNormal="73" zoomScaleSheetLayoutView="6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5" sqref="D25"/>
    </sheetView>
  </sheetViews>
  <sheetFormatPr defaultRowHeight="12.75"/>
  <cols>
    <col min="1" max="1" width="44.7109375" customWidth="1"/>
    <col min="2" max="2" width="14" style="645" customWidth="1"/>
    <col min="3" max="3" width="11.42578125" customWidth="1"/>
    <col min="4" max="4" width="10.42578125" customWidth="1"/>
    <col min="5" max="5" width="15.5703125" style="700" customWidth="1"/>
    <col min="6" max="6" width="11" customWidth="1"/>
    <col min="7" max="7" width="10.42578125" customWidth="1"/>
    <col min="8" max="8" width="10.85546875" customWidth="1"/>
    <col min="9" max="9" width="12.5703125" customWidth="1"/>
    <col min="10" max="10" width="11.5703125" customWidth="1"/>
    <col min="11" max="11" width="15.28515625" style="645" customWidth="1"/>
    <col min="12" max="12" width="11.5703125" customWidth="1"/>
    <col min="13" max="13" width="12.7109375" customWidth="1"/>
    <col min="14" max="14" width="12.140625" hidden="1" customWidth="1"/>
    <col min="15" max="15" width="11.7109375" hidden="1" customWidth="1"/>
    <col min="16" max="16" width="15.42578125" customWidth="1"/>
    <col min="18" max="18" width="20.85546875" customWidth="1"/>
    <col min="257" max="257" width="44.7109375" customWidth="1"/>
    <col min="258" max="258" width="14" customWidth="1"/>
    <col min="259" max="259" width="11.42578125" customWidth="1"/>
    <col min="260" max="260" width="10.42578125" customWidth="1"/>
    <col min="261" max="261" width="15.5703125" customWidth="1"/>
    <col min="262" max="262" width="11" customWidth="1"/>
    <col min="263" max="263" width="10.42578125" customWidth="1"/>
    <col min="264" max="264" width="10.85546875" customWidth="1"/>
    <col min="265" max="265" width="12.5703125" customWidth="1"/>
    <col min="266" max="266" width="11.5703125" customWidth="1"/>
    <col min="267" max="267" width="15.28515625" customWidth="1"/>
    <col min="268" max="268" width="11.5703125" customWidth="1"/>
    <col min="269" max="269" width="12.7109375" customWidth="1"/>
    <col min="270" max="271" width="0" hidden="1" customWidth="1"/>
    <col min="272" max="272" width="15.42578125" customWidth="1"/>
    <col min="274" max="274" width="20.85546875" customWidth="1"/>
    <col min="513" max="513" width="44.7109375" customWidth="1"/>
    <col min="514" max="514" width="14" customWidth="1"/>
    <col min="515" max="515" width="11.42578125" customWidth="1"/>
    <col min="516" max="516" width="10.42578125" customWidth="1"/>
    <col min="517" max="517" width="15.5703125" customWidth="1"/>
    <col min="518" max="518" width="11" customWidth="1"/>
    <col min="519" max="519" width="10.42578125" customWidth="1"/>
    <col min="520" max="520" width="10.85546875" customWidth="1"/>
    <col min="521" max="521" width="12.5703125" customWidth="1"/>
    <col min="522" max="522" width="11.5703125" customWidth="1"/>
    <col min="523" max="523" width="15.28515625" customWidth="1"/>
    <col min="524" max="524" width="11.5703125" customWidth="1"/>
    <col min="525" max="525" width="12.7109375" customWidth="1"/>
    <col min="526" max="527" width="0" hidden="1" customWidth="1"/>
    <col min="528" max="528" width="15.42578125" customWidth="1"/>
    <col min="530" max="530" width="20.85546875" customWidth="1"/>
    <col min="769" max="769" width="44.7109375" customWidth="1"/>
    <col min="770" max="770" width="14" customWidth="1"/>
    <col min="771" max="771" width="11.42578125" customWidth="1"/>
    <col min="772" max="772" width="10.42578125" customWidth="1"/>
    <col min="773" max="773" width="15.5703125" customWidth="1"/>
    <col min="774" max="774" width="11" customWidth="1"/>
    <col min="775" max="775" width="10.42578125" customWidth="1"/>
    <col min="776" max="776" width="10.85546875" customWidth="1"/>
    <col min="777" max="777" width="12.5703125" customWidth="1"/>
    <col min="778" max="778" width="11.5703125" customWidth="1"/>
    <col min="779" max="779" width="15.28515625" customWidth="1"/>
    <col min="780" max="780" width="11.5703125" customWidth="1"/>
    <col min="781" max="781" width="12.7109375" customWidth="1"/>
    <col min="782" max="783" width="0" hidden="1" customWidth="1"/>
    <col min="784" max="784" width="15.42578125" customWidth="1"/>
    <col min="786" max="786" width="20.85546875" customWidth="1"/>
    <col min="1025" max="1025" width="44.7109375" customWidth="1"/>
    <col min="1026" max="1026" width="14" customWidth="1"/>
    <col min="1027" max="1027" width="11.42578125" customWidth="1"/>
    <col min="1028" max="1028" width="10.42578125" customWidth="1"/>
    <col min="1029" max="1029" width="15.5703125" customWidth="1"/>
    <col min="1030" max="1030" width="11" customWidth="1"/>
    <col min="1031" max="1031" width="10.42578125" customWidth="1"/>
    <col min="1032" max="1032" width="10.85546875" customWidth="1"/>
    <col min="1033" max="1033" width="12.5703125" customWidth="1"/>
    <col min="1034" max="1034" width="11.5703125" customWidth="1"/>
    <col min="1035" max="1035" width="15.28515625" customWidth="1"/>
    <col min="1036" max="1036" width="11.5703125" customWidth="1"/>
    <col min="1037" max="1037" width="12.7109375" customWidth="1"/>
    <col min="1038" max="1039" width="0" hidden="1" customWidth="1"/>
    <col min="1040" max="1040" width="15.42578125" customWidth="1"/>
    <col min="1042" max="1042" width="20.85546875" customWidth="1"/>
    <col min="1281" max="1281" width="44.7109375" customWidth="1"/>
    <col min="1282" max="1282" width="14" customWidth="1"/>
    <col min="1283" max="1283" width="11.42578125" customWidth="1"/>
    <col min="1284" max="1284" width="10.42578125" customWidth="1"/>
    <col min="1285" max="1285" width="15.5703125" customWidth="1"/>
    <col min="1286" max="1286" width="11" customWidth="1"/>
    <col min="1287" max="1287" width="10.42578125" customWidth="1"/>
    <col min="1288" max="1288" width="10.85546875" customWidth="1"/>
    <col min="1289" max="1289" width="12.5703125" customWidth="1"/>
    <col min="1290" max="1290" width="11.5703125" customWidth="1"/>
    <col min="1291" max="1291" width="15.28515625" customWidth="1"/>
    <col min="1292" max="1292" width="11.5703125" customWidth="1"/>
    <col min="1293" max="1293" width="12.7109375" customWidth="1"/>
    <col min="1294" max="1295" width="0" hidden="1" customWidth="1"/>
    <col min="1296" max="1296" width="15.42578125" customWidth="1"/>
    <col min="1298" max="1298" width="20.85546875" customWidth="1"/>
    <col min="1537" max="1537" width="44.7109375" customWidth="1"/>
    <col min="1538" max="1538" width="14" customWidth="1"/>
    <col min="1539" max="1539" width="11.42578125" customWidth="1"/>
    <col min="1540" max="1540" width="10.42578125" customWidth="1"/>
    <col min="1541" max="1541" width="15.5703125" customWidth="1"/>
    <col min="1542" max="1542" width="11" customWidth="1"/>
    <col min="1543" max="1543" width="10.42578125" customWidth="1"/>
    <col min="1544" max="1544" width="10.85546875" customWidth="1"/>
    <col min="1545" max="1545" width="12.5703125" customWidth="1"/>
    <col min="1546" max="1546" width="11.5703125" customWidth="1"/>
    <col min="1547" max="1547" width="15.28515625" customWidth="1"/>
    <col min="1548" max="1548" width="11.5703125" customWidth="1"/>
    <col min="1549" max="1549" width="12.7109375" customWidth="1"/>
    <col min="1550" max="1551" width="0" hidden="1" customWidth="1"/>
    <col min="1552" max="1552" width="15.42578125" customWidth="1"/>
    <col min="1554" max="1554" width="20.85546875" customWidth="1"/>
    <col min="1793" max="1793" width="44.7109375" customWidth="1"/>
    <col min="1794" max="1794" width="14" customWidth="1"/>
    <col min="1795" max="1795" width="11.42578125" customWidth="1"/>
    <col min="1796" max="1796" width="10.42578125" customWidth="1"/>
    <col min="1797" max="1797" width="15.5703125" customWidth="1"/>
    <col min="1798" max="1798" width="11" customWidth="1"/>
    <col min="1799" max="1799" width="10.42578125" customWidth="1"/>
    <col min="1800" max="1800" width="10.85546875" customWidth="1"/>
    <col min="1801" max="1801" width="12.5703125" customWidth="1"/>
    <col min="1802" max="1802" width="11.5703125" customWidth="1"/>
    <col min="1803" max="1803" width="15.28515625" customWidth="1"/>
    <col min="1804" max="1804" width="11.5703125" customWidth="1"/>
    <col min="1805" max="1805" width="12.7109375" customWidth="1"/>
    <col min="1806" max="1807" width="0" hidden="1" customWidth="1"/>
    <col min="1808" max="1808" width="15.42578125" customWidth="1"/>
    <col min="1810" max="1810" width="20.85546875" customWidth="1"/>
    <col min="2049" max="2049" width="44.7109375" customWidth="1"/>
    <col min="2050" max="2050" width="14" customWidth="1"/>
    <col min="2051" max="2051" width="11.42578125" customWidth="1"/>
    <col min="2052" max="2052" width="10.42578125" customWidth="1"/>
    <col min="2053" max="2053" width="15.5703125" customWidth="1"/>
    <col min="2054" max="2054" width="11" customWidth="1"/>
    <col min="2055" max="2055" width="10.42578125" customWidth="1"/>
    <col min="2056" max="2056" width="10.85546875" customWidth="1"/>
    <col min="2057" max="2057" width="12.5703125" customWidth="1"/>
    <col min="2058" max="2058" width="11.5703125" customWidth="1"/>
    <col min="2059" max="2059" width="15.28515625" customWidth="1"/>
    <col min="2060" max="2060" width="11.5703125" customWidth="1"/>
    <col min="2061" max="2061" width="12.7109375" customWidth="1"/>
    <col min="2062" max="2063" width="0" hidden="1" customWidth="1"/>
    <col min="2064" max="2064" width="15.42578125" customWidth="1"/>
    <col min="2066" max="2066" width="20.85546875" customWidth="1"/>
    <col min="2305" max="2305" width="44.7109375" customWidth="1"/>
    <col min="2306" max="2306" width="14" customWidth="1"/>
    <col min="2307" max="2307" width="11.42578125" customWidth="1"/>
    <col min="2308" max="2308" width="10.42578125" customWidth="1"/>
    <col min="2309" max="2309" width="15.5703125" customWidth="1"/>
    <col min="2310" max="2310" width="11" customWidth="1"/>
    <col min="2311" max="2311" width="10.42578125" customWidth="1"/>
    <col min="2312" max="2312" width="10.85546875" customWidth="1"/>
    <col min="2313" max="2313" width="12.5703125" customWidth="1"/>
    <col min="2314" max="2314" width="11.5703125" customWidth="1"/>
    <col min="2315" max="2315" width="15.28515625" customWidth="1"/>
    <col min="2316" max="2316" width="11.5703125" customWidth="1"/>
    <col min="2317" max="2317" width="12.7109375" customWidth="1"/>
    <col min="2318" max="2319" width="0" hidden="1" customWidth="1"/>
    <col min="2320" max="2320" width="15.42578125" customWidth="1"/>
    <col min="2322" max="2322" width="20.85546875" customWidth="1"/>
    <col min="2561" max="2561" width="44.7109375" customWidth="1"/>
    <col min="2562" max="2562" width="14" customWidth="1"/>
    <col min="2563" max="2563" width="11.42578125" customWidth="1"/>
    <col min="2564" max="2564" width="10.42578125" customWidth="1"/>
    <col min="2565" max="2565" width="15.5703125" customWidth="1"/>
    <col min="2566" max="2566" width="11" customWidth="1"/>
    <col min="2567" max="2567" width="10.42578125" customWidth="1"/>
    <col min="2568" max="2568" width="10.85546875" customWidth="1"/>
    <col min="2569" max="2569" width="12.5703125" customWidth="1"/>
    <col min="2570" max="2570" width="11.5703125" customWidth="1"/>
    <col min="2571" max="2571" width="15.28515625" customWidth="1"/>
    <col min="2572" max="2572" width="11.5703125" customWidth="1"/>
    <col min="2573" max="2573" width="12.7109375" customWidth="1"/>
    <col min="2574" max="2575" width="0" hidden="1" customWidth="1"/>
    <col min="2576" max="2576" width="15.42578125" customWidth="1"/>
    <col min="2578" max="2578" width="20.85546875" customWidth="1"/>
    <col min="2817" max="2817" width="44.7109375" customWidth="1"/>
    <col min="2818" max="2818" width="14" customWidth="1"/>
    <col min="2819" max="2819" width="11.42578125" customWidth="1"/>
    <col min="2820" max="2820" width="10.42578125" customWidth="1"/>
    <col min="2821" max="2821" width="15.5703125" customWidth="1"/>
    <col min="2822" max="2822" width="11" customWidth="1"/>
    <col min="2823" max="2823" width="10.42578125" customWidth="1"/>
    <col min="2824" max="2824" width="10.85546875" customWidth="1"/>
    <col min="2825" max="2825" width="12.5703125" customWidth="1"/>
    <col min="2826" max="2826" width="11.5703125" customWidth="1"/>
    <col min="2827" max="2827" width="15.28515625" customWidth="1"/>
    <col min="2828" max="2828" width="11.5703125" customWidth="1"/>
    <col min="2829" max="2829" width="12.7109375" customWidth="1"/>
    <col min="2830" max="2831" width="0" hidden="1" customWidth="1"/>
    <col min="2832" max="2832" width="15.42578125" customWidth="1"/>
    <col min="2834" max="2834" width="20.85546875" customWidth="1"/>
    <col min="3073" max="3073" width="44.7109375" customWidth="1"/>
    <col min="3074" max="3074" width="14" customWidth="1"/>
    <col min="3075" max="3075" width="11.42578125" customWidth="1"/>
    <col min="3076" max="3076" width="10.42578125" customWidth="1"/>
    <col min="3077" max="3077" width="15.5703125" customWidth="1"/>
    <col min="3078" max="3078" width="11" customWidth="1"/>
    <col min="3079" max="3079" width="10.42578125" customWidth="1"/>
    <col min="3080" max="3080" width="10.85546875" customWidth="1"/>
    <col min="3081" max="3081" width="12.5703125" customWidth="1"/>
    <col min="3082" max="3082" width="11.5703125" customWidth="1"/>
    <col min="3083" max="3083" width="15.28515625" customWidth="1"/>
    <col min="3084" max="3084" width="11.5703125" customWidth="1"/>
    <col min="3085" max="3085" width="12.7109375" customWidth="1"/>
    <col min="3086" max="3087" width="0" hidden="1" customWidth="1"/>
    <col min="3088" max="3088" width="15.42578125" customWidth="1"/>
    <col min="3090" max="3090" width="20.85546875" customWidth="1"/>
    <col min="3329" max="3329" width="44.7109375" customWidth="1"/>
    <col min="3330" max="3330" width="14" customWidth="1"/>
    <col min="3331" max="3331" width="11.42578125" customWidth="1"/>
    <col min="3332" max="3332" width="10.42578125" customWidth="1"/>
    <col min="3333" max="3333" width="15.5703125" customWidth="1"/>
    <col min="3334" max="3334" width="11" customWidth="1"/>
    <col min="3335" max="3335" width="10.42578125" customWidth="1"/>
    <col min="3336" max="3336" width="10.85546875" customWidth="1"/>
    <col min="3337" max="3337" width="12.5703125" customWidth="1"/>
    <col min="3338" max="3338" width="11.5703125" customWidth="1"/>
    <col min="3339" max="3339" width="15.28515625" customWidth="1"/>
    <col min="3340" max="3340" width="11.5703125" customWidth="1"/>
    <col min="3341" max="3341" width="12.7109375" customWidth="1"/>
    <col min="3342" max="3343" width="0" hidden="1" customWidth="1"/>
    <col min="3344" max="3344" width="15.42578125" customWidth="1"/>
    <col min="3346" max="3346" width="20.85546875" customWidth="1"/>
    <col min="3585" max="3585" width="44.7109375" customWidth="1"/>
    <col min="3586" max="3586" width="14" customWidth="1"/>
    <col min="3587" max="3587" width="11.42578125" customWidth="1"/>
    <col min="3588" max="3588" width="10.42578125" customWidth="1"/>
    <col min="3589" max="3589" width="15.5703125" customWidth="1"/>
    <col min="3590" max="3590" width="11" customWidth="1"/>
    <col min="3591" max="3591" width="10.42578125" customWidth="1"/>
    <col min="3592" max="3592" width="10.85546875" customWidth="1"/>
    <col min="3593" max="3593" width="12.5703125" customWidth="1"/>
    <col min="3594" max="3594" width="11.5703125" customWidth="1"/>
    <col min="3595" max="3595" width="15.28515625" customWidth="1"/>
    <col min="3596" max="3596" width="11.5703125" customWidth="1"/>
    <col min="3597" max="3597" width="12.7109375" customWidth="1"/>
    <col min="3598" max="3599" width="0" hidden="1" customWidth="1"/>
    <col min="3600" max="3600" width="15.42578125" customWidth="1"/>
    <col min="3602" max="3602" width="20.85546875" customWidth="1"/>
    <col min="3841" max="3841" width="44.7109375" customWidth="1"/>
    <col min="3842" max="3842" width="14" customWidth="1"/>
    <col min="3843" max="3843" width="11.42578125" customWidth="1"/>
    <col min="3844" max="3844" width="10.42578125" customWidth="1"/>
    <col min="3845" max="3845" width="15.5703125" customWidth="1"/>
    <col min="3846" max="3846" width="11" customWidth="1"/>
    <col min="3847" max="3847" width="10.42578125" customWidth="1"/>
    <col min="3848" max="3848" width="10.85546875" customWidth="1"/>
    <col min="3849" max="3849" width="12.5703125" customWidth="1"/>
    <col min="3850" max="3850" width="11.5703125" customWidth="1"/>
    <col min="3851" max="3851" width="15.28515625" customWidth="1"/>
    <col min="3852" max="3852" width="11.5703125" customWidth="1"/>
    <col min="3853" max="3853" width="12.7109375" customWidth="1"/>
    <col min="3854" max="3855" width="0" hidden="1" customWidth="1"/>
    <col min="3856" max="3856" width="15.42578125" customWidth="1"/>
    <col min="3858" max="3858" width="20.85546875" customWidth="1"/>
    <col min="4097" max="4097" width="44.7109375" customWidth="1"/>
    <col min="4098" max="4098" width="14" customWidth="1"/>
    <col min="4099" max="4099" width="11.42578125" customWidth="1"/>
    <col min="4100" max="4100" width="10.42578125" customWidth="1"/>
    <col min="4101" max="4101" width="15.5703125" customWidth="1"/>
    <col min="4102" max="4102" width="11" customWidth="1"/>
    <col min="4103" max="4103" width="10.42578125" customWidth="1"/>
    <col min="4104" max="4104" width="10.85546875" customWidth="1"/>
    <col min="4105" max="4105" width="12.5703125" customWidth="1"/>
    <col min="4106" max="4106" width="11.5703125" customWidth="1"/>
    <col min="4107" max="4107" width="15.28515625" customWidth="1"/>
    <col min="4108" max="4108" width="11.5703125" customWidth="1"/>
    <col min="4109" max="4109" width="12.7109375" customWidth="1"/>
    <col min="4110" max="4111" width="0" hidden="1" customWidth="1"/>
    <col min="4112" max="4112" width="15.42578125" customWidth="1"/>
    <col min="4114" max="4114" width="20.85546875" customWidth="1"/>
    <col min="4353" max="4353" width="44.7109375" customWidth="1"/>
    <col min="4354" max="4354" width="14" customWidth="1"/>
    <col min="4355" max="4355" width="11.42578125" customWidth="1"/>
    <col min="4356" max="4356" width="10.42578125" customWidth="1"/>
    <col min="4357" max="4357" width="15.5703125" customWidth="1"/>
    <col min="4358" max="4358" width="11" customWidth="1"/>
    <col min="4359" max="4359" width="10.42578125" customWidth="1"/>
    <col min="4360" max="4360" width="10.85546875" customWidth="1"/>
    <col min="4361" max="4361" width="12.5703125" customWidth="1"/>
    <col min="4362" max="4362" width="11.5703125" customWidth="1"/>
    <col min="4363" max="4363" width="15.28515625" customWidth="1"/>
    <col min="4364" max="4364" width="11.5703125" customWidth="1"/>
    <col min="4365" max="4365" width="12.7109375" customWidth="1"/>
    <col min="4366" max="4367" width="0" hidden="1" customWidth="1"/>
    <col min="4368" max="4368" width="15.42578125" customWidth="1"/>
    <col min="4370" max="4370" width="20.85546875" customWidth="1"/>
    <col min="4609" max="4609" width="44.7109375" customWidth="1"/>
    <col min="4610" max="4610" width="14" customWidth="1"/>
    <col min="4611" max="4611" width="11.42578125" customWidth="1"/>
    <col min="4612" max="4612" width="10.42578125" customWidth="1"/>
    <col min="4613" max="4613" width="15.5703125" customWidth="1"/>
    <col min="4614" max="4614" width="11" customWidth="1"/>
    <col min="4615" max="4615" width="10.42578125" customWidth="1"/>
    <col min="4616" max="4616" width="10.85546875" customWidth="1"/>
    <col min="4617" max="4617" width="12.5703125" customWidth="1"/>
    <col min="4618" max="4618" width="11.5703125" customWidth="1"/>
    <col min="4619" max="4619" width="15.28515625" customWidth="1"/>
    <col min="4620" max="4620" width="11.5703125" customWidth="1"/>
    <col min="4621" max="4621" width="12.7109375" customWidth="1"/>
    <col min="4622" max="4623" width="0" hidden="1" customWidth="1"/>
    <col min="4624" max="4624" width="15.42578125" customWidth="1"/>
    <col min="4626" max="4626" width="20.85546875" customWidth="1"/>
    <col min="4865" max="4865" width="44.7109375" customWidth="1"/>
    <col min="4866" max="4866" width="14" customWidth="1"/>
    <col min="4867" max="4867" width="11.42578125" customWidth="1"/>
    <col min="4868" max="4868" width="10.42578125" customWidth="1"/>
    <col min="4869" max="4869" width="15.5703125" customWidth="1"/>
    <col min="4870" max="4870" width="11" customWidth="1"/>
    <col min="4871" max="4871" width="10.42578125" customWidth="1"/>
    <col min="4872" max="4872" width="10.85546875" customWidth="1"/>
    <col min="4873" max="4873" width="12.5703125" customWidth="1"/>
    <col min="4874" max="4874" width="11.5703125" customWidth="1"/>
    <col min="4875" max="4875" width="15.28515625" customWidth="1"/>
    <col min="4876" max="4876" width="11.5703125" customWidth="1"/>
    <col min="4877" max="4877" width="12.7109375" customWidth="1"/>
    <col min="4878" max="4879" width="0" hidden="1" customWidth="1"/>
    <col min="4880" max="4880" width="15.42578125" customWidth="1"/>
    <col min="4882" max="4882" width="20.85546875" customWidth="1"/>
    <col min="5121" max="5121" width="44.7109375" customWidth="1"/>
    <col min="5122" max="5122" width="14" customWidth="1"/>
    <col min="5123" max="5123" width="11.42578125" customWidth="1"/>
    <col min="5124" max="5124" width="10.42578125" customWidth="1"/>
    <col min="5125" max="5125" width="15.5703125" customWidth="1"/>
    <col min="5126" max="5126" width="11" customWidth="1"/>
    <col min="5127" max="5127" width="10.42578125" customWidth="1"/>
    <col min="5128" max="5128" width="10.85546875" customWidth="1"/>
    <col min="5129" max="5129" width="12.5703125" customWidth="1"/>
    <col min="5130" max="5130" width="11.5703125" customWidth="1"/>
    <col min="5131" max="5131" width="15.28515625" customWidth="1"/>
    <col min="5132" max="5132" width="11.5703125" customWidth="1"/>
    <col min="5133" max="5133" width="12.7109375" customWidth="1"/>
    <col min="5134" max="5135" width="0" hidden="1" customWidth="1"/>
    <col min="5136" max="5136" width="15.42578125" customWidth="1"/>
    <col min="5138" max="5138" width="20.85546875" customWidth="1"/>
    <col min="5377" max="5377" width="44.7109375" customWidth="1"/>
    <col min="5378" max="5378" width="14" customWidth="1"/>
    <col min="5379" max="5379" width="11.42578125" customWidth="1"/>
    <col min="5380" max="5380" width="10.42578125" customWidth="1"/>
    <col min="5381" max="5381" width="15.5703125" customWidth="1"/>
    <col min="5382" max="5382" width="11" customWidth="1"/>
    <col min="5383" max="5383" width="10.42578125" customWidth="1"/>
    <col min="5384" max="5384" width="10.85546875" customWidth="1"/>
    <col min="5385" max="5385" width="12.5703125" customWidth="1"/>
    <col min="5386" max="5386" width="11.5703125" customWidth="1"/>
    <col min="5387" max="5387" width="15.28515625" customWidth="1"/>
    <col min="5388" max="5388" width="11.5703125" customWidth="1"/>
    <col min="5389" max="5389" width="12.7109375" customWidth="1"/>
    <col min="5390" max="5391" width="0" hidden="1" customWidth="1"/>
    <col min="5392" max="5392" width="15.42578125" customWidth="1"/>
    <col min="5394" max="5394" width="20.85546875" customWidth="1"/>
    <col min="5633" max="5633" width="44.7109375" customWidth="1"/>
    <col min="5634" max="5634" width="14" customWidth="1"/>
    <col min="5635" max="5635" width="11.42578125" customWidth="1"/>
    <col min="5636" max="5636" width="10.42578125" customWidth="1"/>
    <col min="5637" max="5637" width="15.5703125" customWidth="1"/>
    <col min="5638" max="5638" width="11" customWidth="1"/>
    <col min="5639" max="5639" width="10.42578125" customWidth="1"/>
    <col min="5640" max="5640" width="10.85546875" customWidth="1"/>
    <col min="5641" max="5641" width="12.5703125" customWidth="1"/>
    <col min="5642" max="5642" width="11.5703125" customWidth="1"/>
    <col min="5643" max="5643" width="15.28515625" customWidth="1"/>
    <col min="5644" max="5644" width="11.5703125" customWidth="1"/>
    <col min="5645" max="5645" width="12.7109375" customWidth="1"/>
    <col min="5646" max="5647" width="0" hidden="1" customWidth="1"/>
    <col min="5648" max="5648" width="15.42578125" customWidth="1"/>
    <col min="5650" max="5650" width="20.85546875" customWidth="1"/>
    <col min="5889" max="5889" width="44.7109375" customWidth="1"/>
    <col min="5890" max="5890" width="14" customWidth="1"/>
    <col min="5891" max="5891" width="11.42578125" customWidth="1"/>
    <col min="5892" max="5892" width="10.42578125" customWidth="1"/>
    <col min="5893" max="5893" width="15.5703125" customWidth="1"/>
    <col min="5894" max="5894" width="11" customWidth="1"/>
    <col min="5895" max="5895" width="10.42578125" customWidth="1"/>
    <col min="5896" max="5896" width="10.85546875" customWidth="1"/>
    <col min="5897" max="5897" width="12.5703125" customWidth="1"/>
    <col min="5898" max="5898" width="11.5703125" customWidth="1"/>
    <col min="5899" max="5899" width="15.28515625" customWidth="1"/>
    <col min="5900" max="5900" width="11.5703125" customWidth="1"/>
    <col min="5901" max="5901" width="12.7109375" customWidth="1"/>
    <col min="5902" max="5903" width="0" hidden="1" customWidth="1"/>
    <col min="5904" max="5904" width="15.42578125" customWidth="1"/>
    <col min="5906" max="5906" width="20.85546875" customWidth="1"/>
    <col min="6145" max="6145" width="44.7109375" customWidth="1"/>
    <col min="6146" max="6146" width="14" customWidth="1"/>
    <col min="6147" max="6147" width="11.42578125" customWidth="1"/>
    <col min="6148" max="6148" width="10.42578125" customWidth="1"/>
    <col min="6149" max="6149" width="15.5703125" customWidth="1"/>
    <col min="6150" max="6150" width="11" customWidth="1"/>
    <col min="6151" max="6151" width="10.42578125" customWidth="1"/>
    <col min="6152" max="6152" width="10.85546875" customWidth="1"/>
    <col min="6153" max="6153" width="12.5703125" customWidth="1"/>
    <col min="6154" max="6154" width="11.5703125" customWidth="1"/>
    <col min="6155" max="6155" width="15.28515625" customWidth="1"/>
    <col min="6156" max="6156" width="11.5703125" customWidth="1"/>
    <col min="6157" max="6157" width="12.7109375" customWidth="1"/>
    <col min="6158" max="6159" width="0" hidden="1" customWidth="1"/>
    <col min="6160" max="6160" width="15.42578125" customWidth="1"/>
    <col min="6162" max="6162" width="20.85546875" customWidth="1"/>
    <col min="6401" max="6401" width="44.7109375" customWidth="1"/>
    <col min="6402" max="6402" width="14" customWidth="1"/>
    <col min="6403" max="6403" width="11.42578125" customWidth="1"/>
    <col min="6404" max="6404" width="10.42578125" customWidth="1"/>
    <col min="6405" max="6405" width="15.5703125" customWidth="1"/>
    <col min="6406" max="6406" width="11" customWidth="1"/>
    <col min="6407" max="6407" width="10.42578125" customWidth="1"/>
    <col min="6408" max="6408" width="10.85546875" customWidth="1"/>
    <col min="6409" max="6409" width="12.5703125" customWidth="1"/>
    <col min="6410" max="6410" width="11.5703125" customWidth="1"/>
    <col min="6411" max="6411" width="15.28515625" customWidth="1"/>
    <col min="6412" max="6412" width="11.5703125" customWidth="1"/>
    <col min="6413" max="6413" width="12.7109375" customWidth="1"/>
    <col min="6414" max="6415" width="0" hidden="1" customWidth="1"/>
    <col min="6416" max="6416" width="15.42578125" customWidth="1"/>
    <col min="6418" max="6418" width="20.85546875" customWidth="1"/>
    <col min="6657" max="6657" width="44.7109375" customWidth="1"/>
    <col min="6658" max="6658" width="14" customWidth="1"/>
    <col min="6659" max="6659" width="11.42578125" customWidth="1"/>
    <col min="6660" max="6660" width="10.42578125" customWidth="1"/>
    <col min="6661" max="6661" width="15.5703125" customWidth="1"/>
    <col min="6662" max="6662" width="11" customWidth="1"/>
    <col min="6663" max="6663" width="10.42578125" customWidth="1"/>
    <col min="6664" max="6664" width="10.85546875" customWidth="1"/>
    <col min="6665" max="6665" width="12.5703125" customWidth="1"/>
    <col min="6666" max="6666" width="11.5703125" customWidth="1"/>
    <col min="6667" max="6667" width="15.28515625" customWidth="1"/>
    <col min="6668" max="6668" width="11.5703125" customWidth="1"/>
    <col min="6669" max="6669" width="12.7109375" customWidth="1"/>
    <col min="6670" max="6671" width="0" hidden="1" customWidth="1"/>
    <col min="6672" max="6672" width="15.42578125" customWidth="1"/>
    <col min="6674" max="6674" width="20.85546875" customWidth="1"/>
    <col min="6913" max="6913" width="44.7109375" customWidth="1"/>
    <col min="6914" max="6914" width="14" customWidth="1"/>
    <col min="6915" max="6915" width="11.42578125" customWidth="1"/>
    <col min="6916" max="6916" width="10.42578125" customWidth="1"/>
    <col min="6917" max="6917" width="15.5703125" customWidth="1"/>
    <col min="6918" max="6918" width="11" customWidth="1"/>
    <col min="6919" max="6919" width="10.42578125" customWidth="1"/>
    <col min="6920" max="6920" width="10.85546875" customWidth="1"/>
    <col min="6921" max="6921" width="12.5703125" customWidth="1"/>
    <col min="6922" max="6922" width="11.5703125" customWidth="1"/>
    <col min="6923" max="6923" width="15.28515625" customWidth="1"/>
    <col min="6924" max="6924" width="11.5703125" customWidth="1"/>
    <col min="6925" max="6925" width="12.7109375" customWidth="1"/>
    <col min="6926" max="6927" width="0" hidden="1" customWidth="1"/>
    <col min="6928" max="6928" width="15.42578125" customWidth="1"/>
    <col min="6930" max="6930" width="20.85546875" customWidth="1"/>
    <col min="7169" max="7169" width="44.7109375" customWidth="1"/>
    <col min="7170" max="7170" width="14" customWidth="1"/>
    <col min="7171" max="7171" width="11.42578125" customWidth="1"/>
    <col min="7172" max="7172" width="10.42578125" customWidth="1"/>
    <col min="7173" max="7173" width="15.5703125" customWidth="1"/>
    <col min="7174" max="7174" width="11" customWidth="1"/>
    <col min="7175" max="7175" width="10.42578125" customWidth="1"/>
    <col min="7176" max="7176" width="10.85546875" customWidth="1"/>
    <col min="7177" max="7177" width="12.5703125" customWidth="1"/>
    <col min="7178" max="7178" width="11.5703125" customWidth="1"/>
    <col min="7179" max="7179" width="15.28515625" customWidth="1"/>
    <col min="7180" max="7180" width="11.5703125" customWidth="1"/>
    <col min="7181" max="7181" width="12.7109375" customWidth="1"/>
    <col min="7182" max="7183" width="0" hidden="1" customWidth="1"/>
    <col min="7184" max="7184" width="15.42578125" customWidth="1"/>
    <col min="7186" max="7186" width="20.85546875" customWidth="1"/>
    <col min="7425" max="7425" width="44.7109375" customWidth="1"/>
    <col min="7426" max="7426" width="14" customWidth="1"/>
    <col min="7427" max="7427" width="11.42578125" customWidth="1"/>
    <col min="7428" max="7428" width="10.42578125" customWidth="1"/>
    <col min="7429" max="7429" width="15.5703125" customWidth="1"/>
    <col min="7430" max="7430" width="11" customWidth="1"/>
    <col min="7431" max="7431" width="10.42578125" customWidth="1"/>
    <col min="7432" max="7432" width="10.85546875" customWidth="1"/>
    <col min="7433" max="7433" width="12.5703125" customWidth="1"/>
    <col min="7434" max="7434" width="11.5703125" customWidth="1"/>
    <col min="7435" max="7435" width="15.28515625" customWidth="1"/>
    <col min="7436" max="7436" width="11.5703125" customWidth="1"/>
    <col min="7437" max="7437" width="12.7109375" customWidth="1"/>
    <col min="7438" max="7439" width="0" hidden="1" customWidth="1"/>
    <col min="7440" max="7440" width="15.42578125" customWidth="1"/>
    <col min="7442" max="7442" width="20.85546875" customWidth="1"/>
    <col min="7681" max="7681" width="44.7109375" customWidth="1"/>
    <col min="7682" max="7682" width="14" customWidth="1"/>
    <col min="7683" max="7683" width="11.42578125" customWidth="1"/>
    <col min="7684" max="7684" width="10.42578125" customWidth="1"/>
    <col min="7685" max="7685" width="15.5703125" customWidth="1"/>
    <col min="7686" max="7686" width="11" customWidth="1"/>
    <col min="7687" max="7687" width="10.42578125" customWidth="1"/>
    <col min="7688" max="7688" width="10.85546875" customWidth="1"/>
    <col min="7689" max="7689" width="12.5703125" customWidth="1"/>
    <col min="7690" max="7690" width="11.5703125" customWidth="1"/>
    <col min="7691" max="7691" width="15.28515625" customWidth="1"/>
    <col min="7692" max="7692" width="11.5703125" customWidth="1"/>
    <col min="7693" max="7693" width="12.7109375" customWidth="1"/>
    <col min="7694" max="7695" width="0" hidden="1" customWidth="1"/>
    <col min="7696" max="7696" width="15.42578125" customWidth="1"/>
    <col min="7698" max="7698" width="20.85546875" customWidth="1"/>
    <col min="7937" max="7937" width="44.7109375" customWidth="1"/>
    <col min="7938" max="7938" width="14" customWidth="1"/>
    <col min="7939" max="7939" width="11.42578125" customWidth="1"/>
    <col min="7940" max="7940" width="10.42578125" customWidth="1"/>
    <col min="7941" max="7941" width="15.5703125" customWidth="1"/>
    <col min="7942" max="7942" width="11" customWidth="1"/>
    <col min="7943" max="7943" width="10.42578125" customWidth="1"/>
    <col min="7944" max="7944" width="10.85546875" customWidth="1"/>
    <col min="7945" max="7945" width="12.5703125" customWidth="1"/>
    <col min="7946" max="7946" width="11.5703125" customWidth="1"/>
    <col min="7947" max="7947" width="15.28515625" customWidth="1"/>
    <col min="7948" max="7948" width="11.5703125" customWidth="1"/>
    <col min="7949" max="7949" width="12.7109375" customWidth="1"/>
    <col min="7950" max="7951" width="0" hidden="1" customWidth="1"/>
    <col min="7952" max="7952" width="15.42578125" customWidth="1"/>
    <col min="7954" max="7954" width="20.85546875" customWidth="1"/>
    <col min="8193" max="8193" width="44.7109375" customWidth="1"/>
    <col min="8194" max="8194" width="14" customWidth="1"/>
    <col min="8195" max="8195" width="11.42578125" customWidth="1"/>
    <col min="8196" max="8196" width="10.42578125" customWidth="1"/>
    <col min="8197" max="8197" width="15.5703125" customWidth="1"/>
    <col min="8198" max="8198" width="11" customWidth="1"/>
    <col min="8199" max="8199" width="10.42578125" customWidth="1"/>
    <col min="8200" max="8200" width="10.85546875" customWidth="1"/>
    <col min="8201" max="8201" width="12.5703125" customWidth="1"/>
    <col min="8202" max="8202" width="11.5703125" customWidth="1"/>
    <col min="8203" max="8203" width="15.28515625" customWidth="1"/>
    <col min="8204" max="8204" width="11.5703125" customWidth="1"/>
    <col min="8205" max="8205" width="12.7109375" customWidth="1"/>
    <col min="8206" max="8207" width="0" hidden="1" customWidth="1"/>
    <col min="8208" max="8208" width="15.42578125" customWidth="1"/>
    <col min="8210" max="8210" width="20.85546875" customWidth="1"/>
    <col min="8449" max="8449" width="44.7109375" customWidth="1"/>
    <col min="8450" max="8450" width="14" customWidth="1"/>
    <col min="8451" max="8451" width="11.42578125" customWidth="1"/>
    <col min="8452" max="8452" width="10.42578125" customWidth="1"/>
    <col min="8453" max="8453" width="15.5703125" customWidth="1"/>
    <col min="8454" max="8454" width="11" customWidth="1"/>
    <col min="8455" max="8455" width="10.42578125" customWidth="1"/>
    <col min="8456" max="8456" width="10.85546875" customWidth="1"/>
    <col min="8457" max="8457" width="12.5703125" customWidth="1"/>
    <col min="8458" max="8458" width="11.5703125" customWidth="1"/>
    <col min="8459" max="8459" width="15.28515625" customWidth="1"/>
    <col min="8460" max="8460" width="11.5703125" customWidth="1"/>
    <col min="8461" max="8461" width="12.7109375" customWidth="1"/>
    <col min="8462" max="8463" width="0" hidden="1" customWidth="1"/>
    <col min="8464" max="8464" width="15.42578125" customWidth="1"/>
    <col min="8466" max="8466" width="20.85546875" customWidth="1"/>
    <col min="8705" max="8705" width="44.7109375" customWidth="1"/>
    <col min="8706" max="8706" width="14" customWidth="1"/>
    <col min="8707" max="8707" width="11.42578125" customWidth="1"/>
    <col min="8708" max="8708" width="10.42578125" customWidth="1"/>
    <col min="8709" max="8709" width="15.5703125" customWidth="1"/>
    <col min="8710" max="8710" width="11" customWidth="1"/>
    <col min="8711" max="8711" width="10.42578125" customWidth="1"/>
    <col min="8712" max="8712" width="10.85546875" customWidth="1"/>
    <col min="8713" max="8713" width="12.5703125" customWidth="1"/>
    <col min="8714" max="8714" width="11.5703125" customWidth="1"/>
    <col min="8715" max="8715" width="15.28515625" customWidth="1"/>
    <col min="8716" max="8716" width="11.5703125" customWidth="1"/>
    <col min="8717" max="8717" width="12.7109375" customWidth="1"/>
    <col min="8718" max="8719" width="0" hidden="1" customWidth="1"/>
    <col min="8720" max="8720" width="15.42578125" customWidth="1"/>
    <col min="8722" max="8722" width="20.85546875" customWidth="1"/>
    <col min="8961" max="8961" width="44.7109375" customWidth="1"/>
    <col min="8962" max="8962" width="14" customWidth="1"/>
    <col min="8963" max="8963" width="11.42578125" customWidth="1"/>
    <col min="8964" max="8964" width="10.42578125" customWidth="1"/>
    <col min="8965" max="8965" width="15.5703125" customWidth="1"/>
    <col min="8966" max="8966" width="11" customWidth="1"/>
    <col min="8967" max="8967" width="10.42578125" customWidth="1"/>
    <col min="8968" max="8968" width="10.85546875" customWidth="1"/>
    <col min="8969" max="8969" width="12.5703125" customWidth="1"/>
    <col min="8970" max="8970" width="11.5703125" customWidth="1"/>
    <col min="8971" max="8971" width="15.28515625" customWidth="1"/>
    <col min="8972" max="8972" width="11.5703125" customWidth="1"/>
    <col min="8973" max="8973" width="12.7109375" customWidth="1"/>
    <col min="8974" max="8975" width="0" hidden="1" customWidth="1"/>
    <col min="8976" max="8976" width="15.42578125" customWidth="1"/>
    <col min="8978" max="8978" width="20.85546875" customWidth="1"/>
    <col min="9217" max="9217" width="44.7109375" customWidth="1"/>
    <col min="9218" max="9218" width="14" customWidth="1"/>
    <col min="9219" max="9219" width="11.42578125" customWidth="1"/>
    <col min="9220" max="9220" width="10.42578125" customWidth="1"/>
    <col min="9221" max="9221" width="15.5703125" customWidth="1"/>
    <col min="9222" max="9222" width="11" customWidth="1"/>
    <col min="9223" max="9223" width="10.42578125" customWidth="1"/>
    <col min="9224" max="9224" width="10.85546875" customWidth="1"/>
    <col min="9225" max="9225" width="12.5703125" customWidth="1"/>
    <col min="9226" max="9226" width="11.5703125" customWidth="1"/>
    <col min="9227" max="9227" width="15.28515625" customWidth="1"/>
    <col min="9228" max="9228" width="11.5703125" customWidth="1"/>
    <col min="9229" max="9229" width="12.7109375" customWidth="1"/>
    <col min="9230" max="9231" width="0" hidden="1" customWidth="1"/>
    <col min="9232" max="9232" width="15.42578125" customWidth="1"/>
    <col min="9234" max="9234" width="20.85546875" customWidth="1"/>
    <col min="9473" max="9473" width="44.7109375" customWidth="1"/>
    <col min="9474" max="9474" width="14" customWidth="1"/>
    <col min="9475" max="9475" width="11.42578125" customWidth="1"/>
    <col min="9476" max="9476" width="10.42578125" customWidth="1"/>
    <col min="9477" max="9477" width="15.5703125" customWidth="1"/>
    <col min="9478" max="9478" width="11" customWidth="1"/>
    <col min="9479" max="9479" width="10.42578125" customWidth="1"/>
    <col min="9480" max="9480" width="10.85546875" customWidth="1"/>
    <col min="9481" max="9481" width="12.5703125" customWidth="1"/>
    <col min="9482" max="9482" width="11.5703125" customWidth="1"/>
    <col min="9483" max="9483" width="15.28515625" customWidth="1"/>
    <col min="9484" max="9484" width="11.5703125" customWidth="1"/>
    <col min="9485" max="9485" width="12.7109375" customWidth="1"/>
    <col min="9486" max="9487" width="0" hidden="1" customWidth="1"/>
    <col min="9488" max="9488" width="15.42578125" customWidth="1"/>
    <col min="9490" max="9490" width="20.85546875" customWidth="1"/>
    <col min="9729" max="9729" width="44.7109375" customWidth="1"/>
    <col min="9730" max="9730" width="14" customWidth="1"/>
    <col min="9731" max="9731" width="11.42578125" customWidth="1"/>
    <col min="9732" max="9732" width="10.42578125" customWidth="1"/>
    <col min="9733" max="9733" width="15.5703125" customWidth="1"/>
    <col min="9734" max="9734" width="11" customWidth="1"/>
    <col min="9735" max="9735" width="10.42578125" customWidth="1"/>
    <col min="9736" max="9736" width="10.85546875" customWidth="1"/>
    <col min="9737" max="9737" width="12.5703125" customWidth="1"/>
    <col min="9738" max="9738" width="11.5703125" customWidth="1"/>
    <col min="9739" max="9739" width="15.28515625" customWidth="1"/>
    <col min="9740" max="9740" width="11.5703125" customWidth="1"/>
    <col min="9741" max="9741" width="12.7109375" customWidth="1"/>
    <col min="9742" max="9743" width="0" hidden="1" customWidth="1"/>
    <col min="9744" max="9744" width="15.42578125" customWidth="1"/>
    <col min="9746" max="9746" width="20.85546875" customWidth="1"/>
    <col min="9985" max="9985" width="44.7109375" customWidth="1"/>
    <col min="9986" max="9986" width="14" customWidth="1"/>
    <col min="9987" max="9987" width="11.42578125" customWidth="1"/>
    <col min="9988" max="9988" width="10.42578125" customWidth="1"/>
    <col min="9989" max="9989" width="15.5703125" customWidth="1"/>
    <col min="9990" max="9990" width="11" customWidth="1"/>
    <col min="9991" max="9991" width="10.42578125" customWidth="1"/>
    <col min="9992" max="9992" width="10.85546875" customWidth="1"/>
    <col min="9993" max="9993" width="12.5703125" customWidth="1"/>
    <col min="9994" max="9994" width="11.5703125" customWidth="1"/>
    <col min="9995" max="9995" width="15.28515625" customWidth="1"/>
    <col min="9996" max="9996" width="11.5703125" customWidth="1"/>
    <col min="9997" max="9997" width="12.7109375" customWidth="1"/>
    <col min="9998" max="9999" width="0" hidden="1" customWidth="1"/>
    <col min="10000" max="10000" width="15.42578125" customWidth="1"/>
    <col min="10002" max="10002" width="20.85546875" customWidth="1"/>
    <col min="10241" max="10241" width="44.7109375" customWidth="1"/>
    <col min="10242" max="10242" width="14" customWidth="1"/>
    <col min="10243" max="10243" width="11.42578125" customWidth="1"/>
    <col min="10244" max="10244" width="10.42578125" customWidth="1"/>
    <col min="10245" max="10245" width="15.5703125" customWidth="1"/>
    <col min="10246" max="10246" width="11" customWidth="1"/>
    <col min="10247" max="10247" width="10.42578125" customWidth="1"/>
    <col min="10248" max="10248" width="10.85546875" customWidth="1"/>
    <col min="10249" max="10249" width="12.5703125" customWidth="1"/>
    <col min="10250" max="10250" width="11.5703125" customWidth="1"/>
    <col min="10251" max="10251" width="15.28515625" customWidth="1"/>
    <col min="10252" max="10252" width="11.5703125" customWidth="1"/>
    <col min="10253" max="10253" width="12.7109375" customWidth="1"/>
    <col min="10254" max="10255" width="0" hidden="1" customWidth="1"/>
    <col min="10256" max="10256" width="15.42578125" customWidth="1"/>
    <col min="10258" max="10258" width="20.85546875" customWidth="1"/>
    <col min="10497" max="10497" width="44.7109375" customWidth="1"/>
    <col min="10498" max="10498" width="14" customWidth="1"/>
    <col min="10499" max="10499" width="11.42578125" customWidth="1"/>
    <col min="10500" max="10500" width="10.42578125" customWidth="1"/>
    <col min="10501" max="10501" width="15.5703125" customWidth="1"/>
    <col min="10502" max="10502" width="11" customWidth="1"/>
    <col min="10503" max="10503" width="10.42578125" customWidth="1"/>
    <col min="10504" max="10504" width="10.85546875" customWidth="1"/>
    <col min="10505" max="10505" width="12.5703125" customWidth="1"/>
    <col min="10506" max="10506" width="11.5703125" customWidth="1"/>
    <col min="10507" max="10507" width="15.28515625" customWidth="1"/>
    <col min="10508" max="10508" width="11.5703125" customWidth="1"/>
    <col min="10509" max="10509" width="12.7109375" customWidth="1"/>
    <col min="10510" max="10511" width="0" hidden="1" customWidth="1"/>
    <col min="10512" max="10512" width="15.42578125" customWidth="1"/>
    <col min="10514" max="10514" width="20.85546875" customWidth="1"/>
    <col min="10753" max="10753" width="44.7109375" customWidth="1"/>
    <col min="10754" max="10754" width="14" customWidth="1"/>
    <col min="10755" max="10755" width="11.42578125" customWidth="1"/>
    <col min="10756" max="10756" width="10.42578125" customWidth="1"/>
    <col min="10757" max="10757" width="15.5703125" customWidth="1"/>
    <col min="10758" max="10758" width="11" customWidth="1"/>
    <col min="10759" max="10759" width="10.42578125" customWidth="1"/>
    <col min="10760" max="10760" width="10.85546875" customWidth="1"/>
    <col min="10761" max="10761" width="12.5703125" customWidth="1"/>
    <col min="10762" max="10762" width="11.5703125" customWidth="1"/>
    <col min="10763" max="10763" width="15.28515625" customWidth="1"/>
    <col min="10764" max="10764" width="11.5703125" customWidth="1"/>
    <col min="10765" max="10765" width="12.7109375" customWidth="1"/>
    <col min="10766" max="10767" width="0" hidden="1" customWidth="1"/>
    <col min="10768" max="10768" width="15.42578125" customWidth="1"/>
    <col min="10770" max="10770" width="20.85546875" customWidth="1"/>
    <col min="11009" max="11009" width="44.7109375" customWidth="1"/>
    <col min="11010" max="11010" width="14" customWidth="1"/>
    <col min="11011" max="11011" width="11.42578125" customWidth="1"/>
    <col min="11012" max="11012" width="10.42578125" customWidth="1"/>
    <col min="11013" max="11013" width="15.5703125" customWidth="1"/>
    <col min="11014" max="11014" width="11" customWidth="1"/>
    <col min="11015" max="11015" width="10.42578125" customWidth="1"/>
    <col min="11016" max="11016" width="10.85546875" customWidth="1"/>
    <col min="11017" max="11017" width="12.5703125" customWidth="1"/>
    <col min="11018" max="11018" width="11.5703125" customWidth="1"/>
    <col min="11019" max="11019" width="15.28515625" customWidth="1"/>
    <col min="11020" max="11020" width="11.5703125" customWidth="1"/>
    <col min="11021" max="11021" width="12.7109375" customWidth="1"/>
    <col min="11022" max="11023" width="0" hidden="1" customWidth="1"/>
    <col min="11024" max="11024" width="15.42578125" customWidth="1"/>
    <col min="11026" max="11026" width="20.85546875" customWidth="1"/>
    <col min="11265" max="11265" width="44.7109375" customWidth="1"/>
    <col min="11266" max="11266" width="14" customWidth="1"/>
    <col min="11267" max="11267" width="11.42578125" customWidth="1"/>
    <col min="11268" max="11268" width="10.42578125" customWidth="1"/>
    <col min="11269" max="11269" width="15.5703125" customWidth="1"/>
    <col min="11270" max="11270" width="11" customWidth="1"/>
    <col min="11271" max="11271" width="10.42578125" customWidth="1"/>
    <col min="11272" max="11272" width="10.85546875" customWidth="1"/>
    <col min="11273" max="11273" width="12.5703125" customWidth="1"/>
    <col min="11274" max="11274" width="11.5703125" customWidth="1"/>
    <col min="11275" max="11275" width="15.28515625" customWidth="1"/>
    <col min="11276" max="11276" width="11.5703125" customWidth="1"/>
    <col min="11277" max="11277" width="12.7109375" customWidth="1"/>
    <col min="11278" max="11279" width="0" hidden="1" customWidth="1"/>
    <col min="11280" max="11280" width="15.42578125" customWidth="1"/>
    <col min="11282" max="11282" width="20.85546875" customWidth="1"/>
    <col min="11521" max="11521" width="44.7109375" customWidth="1"/>
    <col min="11522" max="11522" width="14" customWidth="1"/>
    <col min="11523" max="11523" width="11.42578125" customWidth="1"/>
    <col min="11524" max="11524" width="10.42578125" customWidth="1"/>
    <col min="11525" max="11525" width="15.5703125" customWidth="1"/>
    <col min="11526" max="11526" width="11" customWidth="1"/>
    <col min="11527" max="11527" width="10.42578125" customWidth="1"/>
    <col min="11528" max="11528" width="10.85546875" customWidth="1"/>
    <col min="11529" max="11529" width="12.5703125" customWidth="1"/>
    <col min="11530" max="11530" width="11.5703125" customWidth="1"/>
    <col min="11531" max="11531" width="15.28515625" customWidth="1"/>
    <col min="11532" max="11532" width="11.5703125" customWidth="1"/>
    <col min="11533" max="11533" width="12.7109375" customWidth="1"/>
    <col min="11534" max="11535" width="0" hidden="1" customWidth="1"/>
    <col min="11536" max="11536" width="15.42578125" customWidth="1"/>
    <col min="11538" max="11538" width="20.85546875" customWidth="1"/>
    <col min="11777" max="11777" width="44.7109375" customWidth="1"/>
    <col min="11778" max="11778" width="14" customWidth="1"/>
    <col min="11779" max="11779" width="11.42578125" customWidth="1"/>
    <col min="11780" max="11780" width="10.42578125" customWidth="1"/>
    <col min="11781" max="11781" width="15.5703125" customWidth="1"/>
    <col min="11782" max="11782" width="11" customWidth="1"/>
    <col min="11783" max="11783" width="10.42578125" customWidth="1"/>
    <col min="11784" max="11784" width="10.85546875" customWidth="1"/>
    <col min="11785" max="11785" width="12.5703125" customWidth="1"/>
    <col min="11786" max="11786" width="11.5703125" customWidth="1"/>
    <col min="11787" max="11787" width="15.28515625" customWidth="1"/>
    <col min="11788" max="11788" width="11.5703125" customWidth="1"/>
    <col min="11789" max="11789" width="12.7109375" customWidth="1"/>
    <col min="11790" max="11791" width="0" hidden="1" customWidth="1"/>
    <col min="11792" max="11792" width="15.42578125" customWidth="1"/>
    <col min="11794" max="11794" width="20.85546875" customWidth="1"/>
    <col min="12033" max="12033" width="44.7109375" customWidth="1"/>
    <col min="12034" max="12034" width="14" customWidth="1"/>
    <col min="12035" max="12035" width="11.42578125" customWidth="1"/>
    <col min="12036" max="12036" width="10.42578125" customWidth="1"/>
    <col min="12037" max="12037" width="15.5703125" customWidth="1"/>
    <col min="12038" max="12038" width="11" customWidth="1"/>
    <col min="12039" max="12039" width="10.42578125" customWidth="1"/>
    <col min="12040" max="12040" width="10.85546875" customWidth="1"/>
    <col min="12041" max="12041" width="12.5703125" customWidth="1"/>
    <col min="12042" max="12042" width="11.5703125" customWidth="1"/>
    <col min="12043" max="12043" width="15.28515625" customWidth="1"/>
    <col min="12044" max="12044" width="11.5703125" customWidth="1"/>
    <col min="12045" max="12045" width="12.7109375" customWidth="1"/>
    <col min="12046" max="12047" width="0" hidden="1" customWidth="1"/>
    <col min="12048" max="12048" width="15.42578125" customWidth="1"/>
    <col min="12050" max="12050" width="20.85546875" customWidth="1"/>
    <col min="12289" max="12289" width="44.7109375" customWidth="1"/>
    <col min="12290" max="12290" width="14" customWidth="1"/>
    <col min="12291" max="12291" width="11.42578125" customWidth="1"/>
    <col min="12292" max="12292" width="10.42578125" customWidth="1"/>
    <col min="12293" max="12293" width="15.5703125" customWidth="1"/>
    <col min="12294" max="12294" width="11" customWidth="1"/>
    <col min="12295" max="12295" width="10.42578125" customWidth="1"/>
    <col min="12296" max="12296" width="10.85546875" customWidth="1"/>
    <col min="12297" max="12297" width="12.5703125" customWidth="1"/>
    <col min="12298" max="12298" width="11.5703125" customWidth="1"/>
    <col min="12299" max="12299" width="15.28515625" customWidth="1"/>
    <col min="12300" max="12300" width="11.5703125" customWidth="1"/>
    <col min="12301" max="12301" width="12.7109375" customWidth="1"/>
    <col min="12302" max="12303" width="0" hidden="1" customWidth="1"/>
    <col min="12304" max="12304" width="15.42578125" customWidth="1"/>
    <col min="12306" max="12306" width="20.85546875" customWidth="1"/>
    <col min="12545" max="12545" width="44.7109375" customWidth="1"/>
    <col min="12546" max="12546" width="14" customWidth="1"/>
    <col min="12547" max="12547" width="11.42578125" customWidth="1"/>
    <col min="12548" max="12548" width="10.42578125" customWidth="1"/>
    <col min="12549" max="12549" width="15.5703125" customWidth="1"/>
    <col min="12550" max="12550" width="11" customWidth="1"/>
    <col min="12551" max="12551" width="10.42578125" customWidth="1"/>
    <col min="12552" max="12552" width="10.85546875" customWidth="1"/>
    <col min="12553" max="12553" width="12.5703125" customWidth="1"/>
    <col min="12554" max="12554" width="11.5703125" customWidth="1"/>
    <col min="12555" max="12555" width="15.28515625" customWidth="1"/>
    <col min="12556" max="12556" width="11.5703125" customWidth="1"/>
    <col min="12557" max="12557" width="12.7109375" customWidth="1"/>
    <col min="12558" max="12559" width="0" hidden="1" customWidth="1"/>
    <col min="12560" max="12560" width="15.42578125" customWidth="1"/>
    <col min="12562" max="12562" width="20.85546875" customWidth="1"/>
    <col min="12801" max="12801" width="44.7109375" customWidth="1"/>
    <col min="12802" max="12802" width="14" customWidth="1"/>
    <col min="12803" max="12803" width="11.42578125" customWidth="1"/>
    <col min="12804" max="12804" width="10.42578125" customWidth="1"/>
    <col min="12805" max="12805" width="15.5703125" customWidth="1"/>
    <col min="12806" max="12806" width="11" customWidth="1"/>
    <col min="12807" max="12807" width="10.42578125" customWidth="1"/>
    <col min="12808" max="12808" width="10.85546875" customWidth="1"/>
    <col min="12809" max="12809" width="12.5703125" customWidth="1"/>
    <col min="12810" max="12810" width="11.5703125" customWidth="1"/>
    <col min="12811" max="12811" width="15.28515625" customWidth="1"/>
    <col min="12812" max="12812" width="11.5703125" customWidth="1"/>
    <col min="12813" max="12813" width="12.7109375" customWidth="1"/>
    <col min="12814" max="12815" width="0" hidden="1" customWidth="1"/>
    <col min="12816" max="12816" width="15.42578125" customWidth="1"/>
    <col min="12818" max="12818" width="20.85546875" customWidth="1"/>
    <col min="13057" max="13057" width="44.7109375" customWidth="1"/>
    <col min="13058" max="13058" width="14" customWidth="1"/>
    <col min="13059" max="13059" width="11.42578125" customWidth="1"/>
    <col min="13060" max="13060" width="10.42578125" customWidth="1"/>
    <col min="13061" max="13061" width="15.5703125" customWidth="1"/>
    <col min="13062" max="13062" width="11" customWidth="1"/>
    <col min="13063" max="13063" width="10.42578125" customWidth="1"/>
    <col min="13064" max="13064" width="10.85546875" customWidth="1"/>
    <col min="13065" max="13065" width="12.5703125" customWidth="1"/>
    <col min="13066" max="13066" width="11.5703125" customWidth="1"/>
    <col min="13067" max="13067" width="15.28515625" customWidth="1"/>
    <col min="13068" max="13068" width="11.5703125" customWidth="1"/>
    <col min="13069" max="13069" width="12.7109375" customWidth="1"/>
    <col min="13070" max="13071" width="0" hidden="1" customWidth="1"/>
    <col min="13072" max="13072" width="15.42578125" customWidth="1"/>
    <col min="13074" max="13074" width="20.85546875" customWidth="1"/>
    <col min="13313" max="13313" width="44.7109375" customWidth="1"/>
    <col min="13314" max="13314" width="14" customWidth="1"/>
    <col min="13315" max="13315" width="11.42578125" customWidth="1"/>
    <col min="13316" max="13316" width="10.42578125" customWidth="1"/>
    <col min="13317" max="13317" width="15.5703125" customWidth="1"/>
    <col min="13318" max="13318" width="11" customWidth="1"/>
    <col min="13319" max="13319" width="10.42578125" customWidth="1"/>
    <col min="13320" max="13320" width="10.85546875" customWidth="1"/>
    <col min="13321" max="13321" width="12.5703125" customWidth="1"/>
    <col min="13322" max="13322" width="11.5703125" customWidth="1"/>
    <col min="13323" max="13323" width="15.28515625" customWidth="1"/>
    <col min="13324" max="13324" width="11.5703125" customWidth="1"/>
    <col min="13325" max="13325" width="12.7109375" customWidth="1"/>
    <col min="13326" max="13327" width="0" hidden="1" customWidth="1"/>
    <col min="13328" max="13328" width="15.42578125" customWidth="1"/>
    <col min="13330" max="13330" width="20.85546875" customWidth="1"/>
    <col min="13569" max="13569" width="44.7109375" customWidth="1"/>
    <col min="13570" max="13570" width="14" customWidth="1"/>
    <col min="13571" max="13571" width="11.42578125" customWidth="1"/>
    <col min="13572" max="13572" width="10.42578125" customWidth="1"/>
    <col min="13573" max="13573" width="15.5703125" customWidth="1"/>
    <col min="13574" max="13574" width="11" customWidth="1"/>
    <col min="13575" max="13575" width="10.42578125" customWidth="1"/>
    <col min="13576" max="13576" width="10.85546875" customWidth="1"/>
    <col min="13577" max="13577" width="12.5703125" customWidth="1"/>
    <col min="13578" max="13578" width="11.5703125" customWidth="1"/>
    <col min="13579" max="13579" width="15.28515625" customWidth="1"/>
    <col min="13580" max="13580" width="11.5703125" customWidth="1"/>
    <col min="13581" max="13581" width="12.7109375" customWidth="1"/>
    <col min="13582" max="13583" width="0" hidden="1" customWidth="1"/>
    <col min="13584" max="13584" width="15.42578125" customWidth="1"/>
    <col min="13586" max="13586" width="20.85546875" customWidth="1"/>
    <col min="13825" max="13825" width="44.7109375" customWidth="1"/>
    <col min="13826" max="13826" width="14" customWidth="1"/>
    <col min="13827" max="13827" width="11.42578125" customWidth="1"/>
    <col min="13828" max="13828" width="10.42578125" customWidth="1"/>
    <col min="13829" max="13829" width="15.5703125" customWidth="1"/>
    <col min="13830" max="13830" width="11" customWidth="1"/>
    <col min="13831" max="13831" width="10.42578125" customWidth="1"/>
    <col min="13832" max="13832" width="10.85546875" customWidth="1"/>
    <col min="13833" max="13833" width="12.5703125" customWidth="1"/>
    <col min="13834" max="13834" width="11.5703125" customWidth="1"/>
    <col min="13835" max="13835" width="15.28515625" customWidth="1"/>
    <col min="13836" max="13836" width="11.5703125" customWidth="1"/>
    <col min="13837" max="13837" width="12.7109375" customWidth="1"/>
    <col min="13838" max="13839" width="0" hidden="1" customWidth="1"/>
    <col min="13840" max="13840" width="15.42578125" customWidth="1"/>
    <col min="13842" max="13842" width="20.85546875" customWidth="1"/>
    <col min="14081" max="14081" width="44.7109375" customWidth="1"/>
    <col min="14082" max="14082" width="14" customWidth="1"/>
    <col min="14083" max="14083" width="11.42578125" customWidth="1"/>
    <col min="14084" max="14084" width="10.42578125" customWidth="1"/>
    <col min="14085" max="14085" width="15.5703125" customWidth="1"/>
    <col min="14086" max="14086" width="11" customWidth="1"/>
    <col min="14087" max="14087" width="10.42578125" customWidth="1"/>
    <col min="14088" max="14088" width="10.85546875" customWidth="1"/>
    <col min="14089" max="14089" width="12.5703125" customWidth="1"/>
    <col min="14090" max="14090" width="11.5703125" customWidth="1"/>
    <col min="14091" max="14091" width="15.28515625" customWidth="1"/>
    <col min="14092" max="14092" width="11.5703125" customWidth="1"/>
    <col min="14093" max="14093" width="12.7109375" customWidth="1"/>
    <col min="14094" max="14095" width="0" hidden="1" customWidth="1"/>
    <col min="14096" max="14096" width="15.42578125" customWidth="1"/>
    <col min="14098" max="14098" width="20.85546875" customWidth="1"/>
    <col min="14337" max="14337" width="44.7109375" customWidth="1"/>
    <col min="14338" max="14338" width="14" customWidth="1"/>
    <col min="14339" max="14339" width="11.42578125" customWidth="1"/>
    <col min="14340" max="14340" width="10.42578125" customWidth="1"/>
    <col min="14341" max="14341" width="15.5703125" customWidth="1"/>
    <col min="14342" max="14342" width="11" customWidth="1"/>
    <col min="14343" max="14343" width="10.42578125" customWidth="1"/>
    <col min="14344" max="14344" width="10.85546875" customWidth="1"/>
    <col min="14345" max="14345" width="12.5703125" customWidth="1"/>
    <col min="14346" max="14346" width="11.5703125" customWidth="1"/>
    <col min="14347" max="14347" width="15.28515625" customWidth="1"/>
    <col min="14348" max="14348" width="11.5703125" customWidth="1"/>
    <col min="14349" max="14349" width="12.7109375" customWidth="1"/>
    <col min="14350" max="14351" width="0" hidden="1" customWidth="1"/>
    <col min="14352" max="14352" width="15.42578125" customWidth="1"/>
    <col min="14354" max="14354" width="20.85546875" customWidth="1"/>
    <col min="14593" max="14593" width="44.7109375" customWidth="1"/>
    <col min="14594" max="14594" width="14" customWidth="1"/>
    <col min="14595" max="14595" width="11.42578125" customWidth="1"/>
    <col min="14596" max="14596" width="10.42578125" customWidth="1"/>
    <col min="14597" max="14597" width="15.5703125" customWidth="1"/>
    <col min="14598" max="14598" width="11" customWidth="1"/>
    <col min="14599" max="14599" width="10.42578125" customWidth="1"/>
    <col min="14600" max="14600" width="10.85546875" customWidth="1"/>
    <col min="14601" max="14601" width="12.5703125" customWidth="1"/>
    <col min="14602" max="14602" width="11.5703125" customWidth="1"/>
    <col min="14603" max="14603" width="15.28515625" customWidth="1"/>
    <col min="14604" max="14604" width="11.5703125" customWidth="1"/>
    <col min="14605" max="14605" width="12.7109375" customWidth="1"/>
    <col min="14606" max="14607" width="0" hidden="1" customWidth="1"/>
    <col min="14608" max="14608" width="15.42578125" customWidth="1"/>
    <col min="14610" max="14610" width="20.85546875" customWidth="1"/>
    <col min="14849" max="14849" width="44.7109375" customWidth="1"/>
    <col min="14850" max="14850" width="14" customWidth="1"/>
    <col min="14851" max="14851" width="11.42578125" customWidth="1"/>
    <col min="14852" max="14852" width="10.42578125" customWidth="1"/>
    <col min="14853" max="14853" width="15.5703125" customWidth="1"/>
    <col min="14854" max="14854" width="11" customWidth="1"/>
    <col min="14855" max="14855" width="10.42578125" customWidth="1"/>
    <col min="14856" max="14856" width="10.85546875" customWidth="1"/>
    <col min="14857" max="14857" width="12.5703125" customWidth="1"/>
    <col min="14858" max="14858" width="11.5703125" customWidth="1"/>
    <col min="14859" max="14859" width="15.28515625" customWidth="1"/>
    <col min="14860" max="14860" width="11.5703125" customWidth="1"/>
    <col min="14861" max="14861" width="12.7109375" customWidth="1"/>
    <col min="14862" max="14863" width="0" hidden="1" customWidth="1"/>
    <col min="14864" max="14864" width="15.42578125" customWidth="1"/>
    <col min="14866" max="14866" width="20.85546875" customWidth="1"/>
    <col min="15105" max="15105" width="44.7109375" customWidth="1"/>
    <col min="15106" max="15106" width="14" customWidth="1"/>
    <col min="15107" max="15107" width="11.42578125" customWidth="1"/>
    <col min="15108" max="15108" width="10.42578125" customWidth="1"/>
    <col min="15109" max="15109" width="15.5703125" customWidth="1"/>
    <col min="15110" max="15110" width="11" customWidth="1"/>
    <col min="15111" max="15111" width="10.42578125" customWidth="1"/>
    <col min="15112" max="15112" width="10.85546875" customWidth="1"/>
    <col min="15113" max="15113" width="12.5703125" customWidth="1"/>
    <col min="15114" max="15114" width="11.5703125" customWidth="1"/>
    <col min="15115" max="15115" width="15.28515625" customWidth="1"/>
    <col min="15116" max="15116" width="11.5703125" customWidth="1"/>
    <col min="15117" max="15117" width="12.7109375" customWidth="1"/>
    <col min="15118" max="15119" width="0" hidden="1" customWidth="1"/>
    <col min="15120" max="15120" width="15.42578125" customWidth="1"/>
    <col min="15122" max="15122" width="20.85546875" customWidth="1"/>
    <col min="15361" max="15361" width="44.7109375" customWidth="1"/>
    <col min="15362" max="15362" width="14" customWidth="1"/>
    <col min="15363" max="15363" width="11.42578125" customWidth="1"/>
    <col min="15364" max="15364" width="10.42578125" customWidth="1"/>
    <col min="15365" max="15365" width="15.5703125" customWidth="1"/>
    <col min="15366" max="15366" width="11" customWidth="1"/>
    <col min="15367" max="15367" width="10.42578125" customWidth="1"/>
    <col min="15368" max="15368" width="10.85546875" customWidth="1"/>
    <col min="15369" max="15369" width="12.5703125" customWidth="1"/>
    <col min="15370" max="15370" width="11.5703125" customWidth="1"/>
    <col min="15371" max="15371" width="15.28515625" customWidth="1"/>
    <col min="15372" max="15372" width="11.5703125" customWidth="1"/>
    <col min="15373" max="15373" width="12.7109375" customWidth="1"/>
    <col min="15374" max="15375" width="0" hidden="1" customWidth="1"/>
    <col min="15376" max="15376" width="15.42578125" customWidth="1"/>
    <col min="15378" max="15378" width="20.85546875" customWidth="1"/>
    <col min="15617" max="15617" width="44.7109375" customWidth="1"/>
    <col min="15618" max="15618" width="14" customWidth="1"/>
    <col min="15619" max="15619" width="11.42578125" customWidth="1"/>
    <col min="15620" max="15620" width="10.42578125" customWidth="1"/>
    <col min="15621" max="15621" width="15.5703125" customWidth="1"/>
    <col min="15622" max="15622" width="11" customWidth="1"/>
    <col min="15623" max="15623" width="10.42578125" customWidth="1"/>
    <col min="15624" max="15624" width="10.85546875" customWidth="1"/>
    <col min="15625" max="15625" width="12.5703125" customWidth="1"/>
    <col min="15626" max="15626" width="11.5703125" customWidth="1"/>
    <col min="15627" max="15627" width="15.28515625" customWidth="1"/>
    <col min="15628" max="15628" width="11.5703125" customWidth="1"/>
    <col min="15629" max="15629" width="12.7109375" customWidth="1"/>
    <col min="15630" max="15631" width="0" hidden="1" customWidth="1"/>
    <col min="15632" max="15632" width="15.42578125" customWidth="1"/>
    <col min="15634" max="15634" width="20.85546875" customWidth="1"/>
    <col min="15873" max="15873" width="44.7109375" customWidth="1"/>
    <col min="15874" max="15874" width="14" customWidth="1"/>
    <col min="15875" max="15875" width="11.42578125" customWidth="1"/>
    <col min="15876" max="15876" width="10.42578125" customWidth="1"/>
    <col min="15877" max="15877" width="15.5703125" customWidth="1"/>
    <col min="15878" max="15878" width="11" customWidth="1"/>
    <col min="15879" max="15879" width="10.42578125" customWidth="1"/>
    <col min="15880" max="15880" width="10.85546875" customWidth="1"/>
    <col min="15881" max="15881" width="12.5703125" customWidth="1"/>
    <col min="15882" max="15882" width="11.5703125" customWidth="1"/>
    <col min="15883" max="15883" width="15.28515625" customWidth="1"/>
    <col min="15884" max="15884" width="11.5703125" customWidth="1"/>
    <col min="15885" max="15885" width="12.7109375" customWidth="1"/>
    <col min="15886" max="15887" width="0" hidden="1" customWidth="1"/>
    <col min="15888" max="15888" width="15.42578125" customWidth="1"/>
    <col min="15890" max="15890" width="20.85546875" customWidth="1"/>
    <col min="16129" max="16129" width="44.7109375" customWidth="1"/>
    <col min="16130" max="16130" width="14" customWidth="1"/>
    <col min="16131" max="16131" width="11.42578125" customWidth="1"/>
    <col min="16132" max="16132" width="10.42578125" customWidth="1"/>
    <col min="16133" max="16133" width="15.5703125" customWidth="1"/>
    <col min="16134" max="16134" width="11" customWidth="1"/>
    <col min="16135" max="16135" width="10.42578125" customWidth="1"/>
    <col min="16136" max="16136" width="10.85546875" customWidth="1"/>
    <col min="16137" max="16137" width="12.5703125" customWidth="1"/>
    <col min="16138" max="16138" width="11.5703125" customWidth="1"/>
    <col min="16139" max="16139" width="15.28515625" customWidth="1"/>
    <col min="16140" max="16140" width="11.5703125" customWidth="1"/>
    <col min="16141" max="16141" width="12.7109375" customWidth="1"/>
    <col min="16142" max="16143" width="0" hidden="1" customWidth="1"/>
    <col min="16144" max="16144" width="15.42578125" customWidth="1"/>
    <col min="16146" max="16146" width="20.85546875" customWidth="1"/>
  </cols>
  <sheetData>
    <row r="1" spans="1:21" ht="18.75">
      <c r="A1" s="976" t="s">
        <v>892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</row>
    <row r="2" spans="1:21" ht="18.75">
      <c r="A2" s="976" t="s">
        <v>423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</row>
    <row r="3" spans="1:21" ht="18.75">
      <c r="A3" s="976" t="s">
        <v>893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</row>
    <row r="4" spans="1:21" ht="14.25" customHeight="1" thickBot="1">
      <c r="A4" s="86"/>
      <c r="B4" s="984" t="s">
        <v>939</v>
      </c>
      <c r="C4" s="984"/>
      <c r="D4" s="984"/>
      <c r="E4" s="984"/>
      <c r="F4" s="984"/>
      <c r="G4" s="984"/>
      <c r="H4" s="984"/>
      <c r="I4" s="984"/>
      <c r="J4" s="984"/>
      <c r="K4" s="984"/>
      <c r="L4" s="984"/>
      <c r="M4" s="981" t="s">
        <v>424</v>
      </c>
      <c r="N4" s="981"/>
    </row>
    <row r="5" spans="1:21" ht="15.75">
      <c r="A5" s="982" t="s">
        <v>894</v>
      </c>
      <c r="B5" s="1042" t="s">
        <v>940</v>
      </c>
      <c r="C5" s="970" t="s">
        <v>842</v>
      </c>
      <c r="D5" s="985" t="s">
        <v>941</v>
      </c>
      <c r="E5" s="985"/>
      <c r="F5" s="985"/>
      <c r="G5" s="985"/>
      <c r="H5" s="986" t="s">
        <v>843</v>
      </c>
      <c r="I5" s="970" t="s">
        <v>942</v>
      </c>
      <c r="J5" s="970" t="s">
        <v>943</v>
      </c>
      <c r="K5" s="970"/>
      <c r="L5" s="970"/>
      <c r="M5" s="970"/>
      <c r="N5" s="1038" t="s">
        <v>456</v>
      </c>
      <c r="O5" s="1040" t="s">
        <v>457</v>
      </c>
    </row>
    <row r="6" spans="1:21" ht="56.25" customHeight="1">
      <c r="A6" s="983"/>
      <c r="B6" s="1043"/>
      <c r="C6" s="971"/>
      <c r="D6" s="675" t="s">
        <v>425</v>
      </c>
      <c r="E6" s="690" t="s">
        <v>426</v>
      </c>
      <c r="F6" s="253" t="s">
        <v>607</v>
      </c>
      <c r="G6" s="675" t="s">
        <v>606</v>
      </c>
      <c r="H6" s="987"/>
      <c r="I6" s="971"/>
      <c r="J6" s="675" t="s">
        <v>425</v>
      </c>
      <c r="K6" s="394" t="s">
        <v>300</v>
      </c>
      <c r="L6" s="253" t="s">
        <v>629</v>
      </c>
      <c r="M6" s="675" t="s">
        <v>630</v>
      </c>
      <c r="N6" s="1039"/>
      <c r="O6" s="1041"/>
    </row>
    <row r="7" spans="1:21" ht="13.5" customHeight="1">
      <c r="A7" s="87" t="s">
        <v>427</v>
      </c>
      <c r="B7" s="89">
        <v>1</v>
      </c>
      <c r="C7" s="88">
        <v>2</v>
      </c>
      <c r="D7" s="88">
        <v>3</v>
      </c>
      <c r="E7" s="691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596">
        <v>10</v>
      </c>
      <c r="L7" s="90">
        <v>11</v>
      </c>
      <c r="M7" s="90">
        <v>12</v>
      </c>
      <c r="N7" s="393">
        <v>7</v>
      </c>
      <c r="O7" s="88">
        <v>8</v>
      </c>
    </row>
    <row r="8" spans="1:21" ht="15.75">
      <c r="A8" s="296" t="s">
        <v>428</v>
      </c>
      <c r="B8" s="392">
        <f>SUM(B9+B11+B12+B16+B21)</f>
        <v>21835.95</v>
      </c>
      <c r="C8" s="297">
        <f>SUM(C9+C11+C12+C16+C21)</f>
        <v>33345</v>
      </c>
      <c r="D8" s="597">
        <f t="shared" ref="D8:J8" si="0">SUM(D9+D11+D12+D16+D21)</f>
        <v>20497</v>
      </c>
      <c r="E8" s="692">
        <f t="shared" si="0"/>
        <v>21232.029140000002</v>
      </c>
      <c r="F8" s="297">
        <f t="shared" si="0"/>
        <v>735.02914000000033</v>
      </c>
      <c r="G8" s="534">
        <f t="shared" ref="G8:G31" si="1">E8/D8*100</f>
        <v>103.58603278528567</v>
      </c>
      <c r="H8" s="680">
        <f>E8/B8</f>
        <v>0.97234281723488114</v>
      </c>
      <c r="I8" s="297">
        <f t="shared" si="0"/>
        <v>2159.9349999999999</v>
      </c>
      <c r="J8" s="597">
        <f t="shared" si="0"/>
        <v>1881</v>
      </c>
      <c r="K8" s="392">
        <f>SUM(K9+K11+K12+K16+K21)</f>
        <v>2052.43174</v>
      </c>
      <c r="L8" s="297">
        <f t="shared" ref="L8:L38" si="2">+K8-J8</f>
        <v>171.43173999999999</v>
      </c>
      <c r="M8" s="297">
        <f>SUM(K8/J8*100)</f>
        <v>109.11386177565126</v>
      </c>
      <c r="N8" s="298">
        <f>K8/O8</f>
        <v>0.80094897170731716</v>
      </c>
      <c r="O8" s="598">
        <f>SUM(O9+O11+O12+O16+O21)</f>
        <v>2562.4999999999995</v>
      </c>
      <c r="P8" s="599"/>
      <c r="Q8" s="631"/>
      <c r="R8" s="600"/>
      <c r="S8" s="631"/>
      <c r="T8" s="631"/>
      <c r="U8" s="631"/>
    </row>
    <row r="9" spans="1:21" ht="15.75">
      <c r="A9" s="92" t="s">
        <v>429</v>
      </c>
      <c r="B9" s="535">
        <f>SUM(B10)</f>
        <v>13995.95</v>
      </c>
      <c r="C9" s="93">
        <f>+C10</f>
        <v>21185</v>
      </c>
      <c r="D9" s="601">
        <f>+D10</f>
        <v>14236</v>
      </c>
      <c r="E9" s="693">
        <f>SUM(E10)</f>
        <v>14247.44029</v>
      </c>
      <c r="F9" s="94">
        <f t="shared" ref="F9:F38" si="3">+E9-D9</f>
        <v>11.440290000000459</v>
      </c>
      <c r="G9" s="94">
        <f t="shared" si="1"/>
        <v>100.0803616886766</v>
      </c>
      <c r="H9" s="94">
        <f t="shared" ref="H9:H38" si="4">E9/B9</f>
        <v>1.0179687902571815</v>
      </c>
      <c r="I9" s="94">
        <f>SUM(I10)</f>
        <v>1725.3820000000001</v>
      </c>
      <c r="J9" s="602">
        <f>+J10</f>
        <v>1000</v>
      </c>
      <c r="K9" s="535">
        <f>SUM(K10)</f>
        <v>1179.2063599999999</v>
      </c>
      <c r="L9" s="94">
        <f t="shared" si="2"/>
        <v>179.2063599999999</v>
      </c>
      <c r="M9" s="94">
        <f t="shared" ref="M9:M21" si="5">SUM(K9/J9*100)</f>
        <v>117.920636</v>
      </c>
      <c r="N9" s="391">
        <f t="shared" ref="N9:N38" si="6">K9/O9</f>
        <v>1.670737262680646</v>
      </c>
      <c r="O9" s="603">
        <f>+O10</f>
        <v>705.8</v>
      </c>
      <c r="P9" s="604"/>
      <c r="Q9" s="631"/>
      <c r="R9" s="604"/>
      <c r="S9" s="631"/>
      <c r="T9" s="631"/>
      <c r="U9" s="631"/>
    </row>
    <row r="10" spans="1:21" ht="16.5" customHeight="1">
      <c r="A10" s="95" t="s">
        <v>430</v>
      </c>
      <c r="B10" s="632">
        <v>13995.95</v>
      </c>
      <c r="C10" s="97">
        <f>21185</f>
        <v>21185</v>
      </c>
      <c r="D10" s="605">
        <f>11976+1260+J10</f>
        <v>14236</v>
      </c>
      <c r="E10" s="694">
        <f>13068.23393+K10</f>
        <v>14247.44029</v>
      </c>
      <c r="F10" s="98">
        <f t="shared" si="3"/>
        <v>11.440290000000459</v>
      </c>
      <c r="G10" s="98">
        <f t="shared" si="1"/>
        <v>100.0803616886766</v>
      </c>
      <c r="H10" s="98">
        <f t="shared" si="4"/>
        <v>1.0179687902571815</v>
      </c>
      <c r="I10" s="99">
        <v>1725.3820000000001</v>
      </c>
      <c r="J10" s="606">
        <v>1000</v>
      </c>
      <c r="K10" s="633">
        <f>159.71389+19.7468+31.48655+7.091+52.81929+20.6848+47.58194+4.4834+2.4644-2.53325+14.0156+18.86553+53.89618+44.36375+0.2766+185.61063+55.69546+462.94379</f>
        <v>1179.2063599999999</v>
      </c>
      <c r="L10" s="98">
        <f t="shared" si="2"/>
        <v>179.2063599999999</v>
      </c>
      <c r="M10" s="98">
        <f t="shared" si="5"/>
        <v>117.920636</v>
      </c>
      <c r="N10" s="391">
        <f t="shared" si="6"/>
        <v>1.670737262680646</v>
      </c>
      <c r="O10" s="634">
        <v>705.8</v>
      </c>
      <c r="P10" s="635"/>
      <c r="Q10" s="631"/>
      <c r="R10" s="635"/>
      <c r="S10" s="631"/>
      <c r="T10" s="631"/>
      <c r="U10" s="631"/>
    </row>
    <row r="11" spans="1:21" ht="16.5" customHeight="1">
      <c r="A11" s="92" t="s">
        <v>431</v>
      </c>
      <c r="B11" s="636">
        <v>1038.26</v>
      </c>
      <c r="C11" s="93">
        <f>1546</f>
        <v>1546</v>
      </c>
      <c r="D11" s="601">
        <f>870+130+J11</f>
        <v>1010</v>
      </c>
      <c r="E11" s="695">
        <f>885.66779+K11</f>
        <v>1019.78792</v>
      </c>
      <c r="F11" s="94">
        <f t="shared" si="3"/>
        <v>9.7879199999999855</v>
      </c>
      <c r="G11" s="94">
        <f t="shared" si="1"/>
        <v>100.96910099009901</v>
      </c>
      <c r="H11" s="98">
        <f t="shared" si="4"/>
        <v>0.98220861826517447</v>
      </c>
      <c r="I11" s="100">
        <v>133.34200000000001</v>
      </c>
      <c r="J11" s="602">
        <v>10</v>
      </c>
      <c r="K11" s="637">
        <f>-0.00004+134.12017</f>
        <v>134.12012999999999</v>
      </c>
      <c r="L11" s="94">
        <f t="shared" si="2"/>
        <v>124.12012999999999</v>
      </c>
      <c r="M11" s="98">
        <f t="shared" si="5"/>
        <v>1341.2012999999997</v>
      </c>
      <c r="N11" s="391">
        <f t="shared" si="6"/>
        <v>1.7858872170439415</v>
      </c>
      <c r="O11" s="634">
        <v>75.099999999999994</v>
      </c>
      <c r="P11" s="638"/>
      <c r="Q11" s="631"/>
      <c r="R11" s="638"/>
      <c r="S11" s="631"/>
      <c r="T11" s="631"/>
      <c r="U11" s="631"/>
    </row>
    <row r="12" spans="1:21" ht="16.5" customHeight="1">
      <c r="A12" s="92" t="s">
        <v>432</v>
      </c>
      <c r="B12" s="535">
        <f>SUM(B13+B14+B15)</f>
        <v>4906.9600000000009</v>
      </c>
      <c r="C12" s="93">
        <f>C13+C14+C15</f>
        <v>6715</v>
      </c>
      <c r="D12" s="601">
        <f>SUM(D13:D15)</f>
        <v>3310</v>
      </c>
      <c r="E12" s="693">
        <f>SUM(E13:E15)</f>
        <v>3811.92884</v>
      </c>
      <c r="F12" s="94">
        <f t="shared" si="3"/>
        <v>501.92884000000004</v>
      </c>
      <c r="G12" s="94">
        <f t="shared" si="1"/>
        <v>115.16401329305137</v>
      </c>
      <c r="H12" s="94">
        <f t="shared" si="4"/>
        <v>0.77684122960040414</v>
      </c>
      <c r="I12" s="94">
        <f>SUM(I13:I15)</f>
        <v>88.388999999999996</v>
      </c>
      <c r="J12" s="602">
        <f>J13+J14+J15</f>
        <v>533</v>
      </c>
      <c r="K12" s="536">
        <f>SUM(K13:K15)</f>
        <v>237.64466999999999</v>
      </c>
      <c r="L12" s="94">
        <f t="shared" si="2"/>
        <v>-295.35532999999998</v>
      </c>
      <c r="M12" s="94">
        <f t="shared" si="5"/>
        <v>44.586242026266412</v>
      </c>
      <c r="N12" s="391">
        <f t="shared" si="6"/>
        <v>0.14207249955162313</v>
      </c>
      <c r="O12" s="603">
        <f>SUM(O13:O15)</f>
        <v>1672.7</v>
      </c>
      <c r="P12" s="604"/>
      <c r="Q12" s="631"/>
      <c r="R12" s="604"/>
      <c r="S12" s="631"/>
      <c r="T12" s="631"/>
      <c r="U12" s="631"/>
    </row>
    <row r="13" spans="1:21" ht="27.75" customHeight="1">
      <c r="A13" s="101" t="s">
        <v>433</v>
      </c>
      <c r="B13" s="632">
        <v>565.29999999999995</v>
      </c>
      <c r="C13" s="97">
        <f>718</f>
        <v>718</v>
      </c>
      <c r="D13" s="605">
        <f>180+30+30+J13</f>
        <v>250</v>
      </c>
      <c r="E13" s="694">
        <f>472.33831+K13</f>
        <v>472.33830999999998</v>
      </c>
      <c r="F13" s="98">
        <f t="shared" si="3"/>
        <v>222.33830999999998</v>
      </c>
      <c r="G13" s="98">
        <f t="shared" si="1"/>
        <v>188.93532399999998</v>
      </c>
      <c r="H13" s="98">
        <f t="shared" si="4"/>
        <v>0.83555335220237048</v>
      </c>
      <c r="I13" s="99">
        <v>9.6</v>
      </c>
      <c r="J13" s="606">
        <v>10</v>
      </c>
      <c r="K13" s="633">
        <v>0</v>
      </c>
      <c r="L13" s="98">
        <f t="shared" si="2"/>
        <v>-10</v>
      </c>
      <c r="M13" s="98">
        <f t="shared" si="5"/>
        <v>0</v>
      </c>
      <c r="N13" s="391">
        <f t="shared" si="6"/>
        <v>0</v>
      </c>
      <c r="O13" s="639">
        <v>73.7</v>
      </c>
      <c r="P13" s="635"/>
      <c r="Q13" s="631"/>
      <c r="R13" s="635"/>
      <c r="S13" s="631"/>
      <c r="T13" s="631"/>
      <c r="U13" s="631"/>
    </row>
    <row r="14" spans="1:21" ht="28.5" customHeight="1">
      <c r="A14" s="101" t="s">
        <v>434</v>
      </c>
      <c r="B14" s="632">
        <v>4327.6400000000003</v>
      </c>
      <c r="C14" s="97">
        <f>5974</f>
        <v>5974</v>
      </c>
      <c r="D14" s="605">
        <f>2436+100+J14</f>
        <v>3059</v>
      </c>
      <c r="E14" s="694">
        <f>3095.06028+K14</f>
        <v>3329.6133300000001</v>
      </c>
      <c r="F14" s="98">
        <f t="shared" si="3"/>
        <v>270.61333000000013</v>
      </c>
      <c r="G14" s="98">
        <f t="shared" si="1"/>
        <v>108.84646387708401</v>
      </c>
      <c r="H14" s="98">
        <f t="shared" si="4"/>
        <v>0.76938315802608348</v>
      </c>
      <c r="I14" s="99">
        <v>78.772000000000006</v>
      </c>
      <c r="J14" s="606">
        <v>523</v>
      </c>
      <c r="K14" s="633">
        <f>6.32+54.34405+0.873+25.1985+1.9206+0.02793+5.6022+14.79916+0.50663+16.43+9.2-13.20302-12+124.534</f>
        <v>234.55304999999998</v>
      </c>
      <c r="L14" s="98">
        <f t="shared" si="2"/>
        <v>-288.44695000000002</v>
      </c>
      <c r="M14" s="98">
        <f t="shared" si="5"/>
        <v>44.847619502868064</v>
      </c>
      <c r="N14" s="391">
        <f t="shared" si="6"/>
        <v>0.14676994556035292</v>
      </c>
      <c r="O14" s="639">
        <v>1598.1</v>
      </c>
      <c r="P14" s="635"/>
      <c r="Q14" s="631"/>
      <c r="R14" s="635"/>
      <c r="S14" s="631"/>
      <c r="T14" s="631"/>
      <c r="U14" s="631"/>
    </row>
    <row r="15" spans="1:21" ht="16.5" customHeight="1">
      <c r="A15" s="101" t="s">
        <v>248</v>
      </c>
      <c r="B15" s="632">
        <v>14.02</v>
      </c>
      <c r="C15" s="97">
        <v>23</v>
      </c>
      <c r="D15" s="605">
        <f>1+J15</f>
        <v>1</v>
      </c>
      <c r="E15" s="694">
        <f>6.88558+K15</f>
        <v>9.9771999999999998</v>
      </c>
      <c r="F15" s="98">
        <f t="shared" si="3"/>
        <v>8.9771999999999998</v>
      </c>
      <c r="G15" s="98">
        <f t="shared" si="1"/>
        <v>997.72</v>
      </c>
      <c r="H15" s="98">
        <f t="shared" si="4"/>
        <v>0.71164051355206848</v>
      </c>
      <c r="I15" s="99">
        <v>1.7000000000000001E-2</v>
      </c>
      <c r="J15" s="606">
        <v>0</v>
      </c>
      <c r="K15" s="633">
        <v>3.0916199999999998</v>
      </c>
      <c r="L15" s="98">
        <f t="shared" si="2"/>
        <v>3.0916199999999998</v>
      </c>
      <c r="M15" s="98">
        <v>0</v>
      </c>
      <c r="N15" s="391">
        <f t="shared" si="6"/>
        <v>3.4351333333333329</v>
      </c>
      <c r="O15" s="639">
        <v>0.9</v>
      </c>
      <c r="P15" s="635"/>
      <c r="Q15" s="631"/>
      <c r="R15" s="635"/>
      <c r="S15" s="631"/>
      <c r="T15" s="631"/>
      <c r="U15" s="631"/>
    </row>
    <row r="16" spans="1:21" ht="15.75">
      <c r="A16" s="92" t="s">
        <v>435</v>
      </c>
      <c r="B16" s="535">
        <f>B17+B18</f>
        <v>1320.18</v>
      </c>
      <c r="C16" s="94">
        <f>C17+C18</f>
        <v>3399</v>
      </c>
      <c r="D16" s="601">
        <f>D17+D18</f>
        <v>1625</v>
      </c>
      <c r="E16" s="693">
        <f>E17+E18</f>
        <v>1905.6075999999998</v>
      </c>
      <c r="F16" s="94">
        <f t="shared" si="3"/>
        <v>280.60759999999982</v>
      </c>
      <c r="G16" s="94">
        <f t="shared" si="1"/>
        <v>117.26815999999999</v>
      </c>
      <c r="H16" s="94">
        <f>E16/B16</f>
        <v>1.4434452877637896</v>
      </c>
      <c r="I16" s="94">
        <f>I18+I17</f>
        <v>134.90100000000001</v>
      </c>
      <c r="J16" s="602">
        <f>J18+J17</f>
        <v>292</v>
      </c>
      <c r="K16" s="536">
        <f>SUM(K17:K18)</f>
        <v>454.60111999999998</v>
      </c>
      <c r="L16" s="94">
        <f t="shared" si="2"/>
        <v>162.60111999999998</v>
      </c>
      <c r="M16" s="94">
        <f t="shared" si="5"/>
        <v>155.68531506849314</v>
      </c>
      <c r="N16" s="391">
        <f t="shared" si="6"/>
        <v>4.4700208456243855</v>
      </c>
      <c r="O16" s="603">
        <f>SUM(O17:O18)</f>
        <v>101.69999999999999</v>
      </c>
      <c r="P16" s="604"/>
      <c r="Q16" s="631"/>
      <c r="R16" s="604"/>
      <c r="S16" s="631"/>
      <c r="T16" s="631"/>
      <c r="U16" s="631"/>
    </row>
    <row r="17" spans="1:21" ht="14.25" customHeight="1">
      <c r="A17" s="95" t="s">
        <v>18</v>
      </c>
      <c r="B17" s="632">
        <v>495.97</v>
      </c>
      <c r="C17" s="97">
        <f>1659</f>
        <v>1659</v>
      </c>
      <c r="D17" s="605">
        <f>365+98+J17</f>
        <v>565</v>
      </c>
      <c r="E17" s="694">
        <f>447.39906+K17</f>
        <v>578.46753000000001</v>
      </c>
      <c r="F17" s="98">
        <f t="shared" si="3"/>
        <v>13.467530000000011</v>
      </c>
      <c r="G17" s="98">
        <f t="shared" si="1"/>
        <v>102.38363362831859</v>
      </c>
      <c r="H17" s="98">
        <f t="shared" si="4"/>
        <v>1.1663357259511664</v>
      </c>
      <c r="I17" s="99">
        <v>63.241</v>
      </c>
      <c r="J17" s="606">
        <v>102</v>
      </c>
      <c r="K17" s="633">
        <f>5.54901+2.68743+6.82346+3.28341+0.64395+0.57813+0.61129+0.884+1.385+7.71853+2.03809+4.69907+52.8725+8.7656+13.59803+43.53383+2.40628-27.00914</f>
        <v>131.06846999999999</v>
      </c>
      <c r="L17" s="98">
        <f t="shared" si="2"/>
        <v>29.068469999999991</v>
      </c>
      <c r="M17" s="98">
        <f t="shared" si="5"/>
        <v>128.49849999999998</v>
      </c>
      <c r="N17" s="391">
        <f t="shared" si="6"/>
        <v>2.6585896551724137</v>
      </c>
      <c r="O17" s="639">
        <v>49.3</v>
      </c>
      <c r="P17" s="635"/>
      <c r="Q17" s="631"/>
      <c r="R17" s="635"/>
      <c r="S17" s="631"/>
      <c r="T17" s="631"/>
      <c r="U17" s="631"/>
    </row>
    <row r="18" spans="1:21" ht="15.75">
      <c r="A18" s="92" t="s">
        <v>631</v>
      </c>
      <c r="B18" s="636">
        <f>B19+B20</f>
        <v>824.21</v>
      </c>
      <c r="C18" s="100">
        <f>C19+C20</f>
        <v>1740</v>
      </c>
      <c r="D18" s="640">
        <f>D19+D20</f>
        <v>1060</v>
      </c>
      <c r="E18" s="695">
        <f>E19+E20</f>
        <v>1327.1400699999999</v>
      </c>
      <c r="F18" s="94">
        <f t="shared" si="3"/>
        <v>267.14006999999992</v>
      </c>
      <c r="G18" s="94">
        <f t="shared" si="1"/>
        <v>125.20189339622641</v>
      </c>
      <c r="H18" s="94">
        <f t="shared" si="4"/>
        <v>1.610196515451159</v>
      </c>
      <c r="I18" s="94">
        <f>I19+I20</f>
        <v>71.66</v>
      </c>
      <c r="J18" s="602">
        <f>J19+J20</f>
        <v>190</v>
      </c>
      <c r="K18" s="536">
        <f>K19+K20</f>
        <v>323.53264999999999</v>
      </c>
      <c r="L18" s="94">
        <f>L19+L20</f>
        <v>133.53264999999999</v>
      </c>
      <c r="M18" s="94">
        <f t="shared" si="5"/>
        <v>170.28034210526314</v>
      </c>
      <c r="N18" s="391">
        <f t="shared" si="6"/>
        <v>6.1742872137404579</v>
      </c>
      <c r="O18" s="607">
        <v>52.4</v>
      </c>
      <c r="P18" s="638"/>
      <c r="Q18" s="631"/>
      <c r="R18" s="638"/>
      <c r="S18" s="631"/>
      <c r="T18" s="631"/>
      <c r="U18" s="631"/>
    </row>
    <row r="19" spans="1:21" ht="15.75">
      <c r="A19" s="95" t="s">
        <v>632</v>
      </c>
      <c r="B19" s="632">
        <v>219.39</v>
      </c>
      <c r="C19" s="97">
        <f>900</f>
        <v>900</v>
      </c>
      <c r="D19" s="605">
        <f>165+92+J19</f>
        <v>347</v>
      </c>
      <c r="E19" s="694">
        <f>154.48412+K19</f>
        <v>358.98920999999996</v>
      </c>
      <c r="F19" s="98">
        <f t="shared" si="3"/>
        <v>11.989209999999957</v>
      </c>
      <c r="G19" s="98">
        <f t="shared" si="1"/>
        <v>103.45510374639768</v>
      </c>
      <c r="H19" s="98">
        <f t="shared" si="4"/>
        <v>1.6363061670996855</v>
      </c>
      <c r="I19" s="99">
        <v>57.249000000000002</v>
      </c>
      <c r="J19" s="606">
        <v>90</v>
      </c>
      <c r="K19" s="390">
        <f>3.83352+0.318+1.28546+1.05037+0.2005+1.025+0.502+0.4+0.79+1.65302+0.92512+2.815+75.10523+4.43911+60.04197+47.0677+1.53325+1.51984</f>
        <v>204.50509</v>
      </c>
      <c r="L19" s="98">
        <f t="shared" si="2"/>
        <v>114.50509</v>
      </c>
      <c r="M19" s="98">
        <f t="shared" si="5"/>
        <v>227.22787777777776</v>
      </c>
      <c r="N19" s="391">
        <f t="shared" si="6"/>
        <v>3.902768893129771</v>
      </c>
      <c r="O19" s="607">
        <v>52.4</v>
      </c>
      <c r="P19" s="635"/>
      <c r="Q19" s="631"/>
      <c r="R19" s="635"/>
      <c r="S19" s="631"/>
      <c r="T19" s="631"/>
      <c r="U19" s="631"/>
    </row>
    <row r="20" spans="1:21" ht="15.75">
      <c r="A20" s="95" t="s">
        <v>633</v>
      </c>
      <c r="B20" s="608">
        <v>604.82000000000005</v>
      </c>
      <c r="C20" s="97">
        <v>840</v>
      </c>
      <c r="D20" s="605">
        <f>603+10+J20</f>
        <v>713</v>
      </c>
      <c r="E20" s="696">
        <f>849.1233+K20</f>
        <v>968.15085999999997</v>
      </c>
      <c r="F20" s="98">
        <f>+E20-D20</f>
        <v>255.15085999999997</v>
      </c>
      <c r="G20" s="98">
        <f>E20/D20*100</f>
        <v>135.78553436185132</v>
      </c>
      <c r="H20" s="98">
        <f>E20/B20</f>
        <v>1.6007256043120266</v>
      </c>
      <c r="I20" s="98">
        <v>14.411</v>
      </c>
      <c r="J20" s="606">
        <v>100</v>
      </c>
      <c r="K20" s="390">
        <f>45.603-0.01944+73.444</f>
        <v>119.02755999999999</v>
      </c>
      <c r="L20" s="98">
        <f>+K20-J20</f>
        <v>19.027559999999994</v>
      </c>
      <c r="M20" s="98">
        <f>SUM(K20/J20*100)</f>
        <v>119.02755999999999</v>
      </c>
      <c r="N20" s="391">
        <f>K20/O20</f>
        <v>2.2715183206106868</v>
      </c>
      <c r="O20" s="607">
        <v>52.4</v>
      </c>
      <c r="P20" s="609"/>
      <c r="Q20" s="631"/>
      <c r="R20" s="609"/>
      <c r="S20" s="631"/>
      <c r="T20" s="631"/>
      <c r="U20" s="631"/>
    </row>
    <row r="21" spans="1:21" ht="15.75">
      <c r="A21" s="92" t="s">
        <v>436</v>
      </c>
      <c r="B21" s="535">
        <v>574.6</v>
      </c>
      <c r="C21" s="93">
        <v>500</v>
      </c>
      <c r="D21" s="601">
        <f>200+40+30+J21</f>
        <v>316</v>
      </c>
      <c r="E21" s="695">
        <f>200.40503+K21</f>
        <v>247.26449000000002</v>
      </c>
      <c r="F21" s="94">
        <f t="shared" si="3"/>
        <v>-68.735509999999977</v>
      </c>
      <c r="G21" s="94">
        <f t="shared" si="1"/>
        <v>78.248256329113929</v>
      </c>
      <c r="H21" s="94">
        <f t="shared" si="4"/>
        <v>0.43032455621301779</v>
      </c>
      <c r="I21" s="100">
        <v>77.921000000000006</v>
      </c>
      <c r="J21" s="602">
        <v>46</v>
      </c>
      <c r="K21" s="637">
        <f>0.2067+0.4718+0.00254+3.98922+0.59596+16.85925+0.34292+5.78091+5.05518+6.42086+3.10448+3.51228+0.51736</f>
        <v>46.859459999999999</v>
      </c>
      <c r="L21" s="94">
        <f t="shared" si="2"/>
        <v>0.85945999999999856</v>
      </c>
      <c r="M21" s="94">
        <f t="shared" si="5"/>
        <v>101.86839130434781</v>
      </c>
      <c r="N21" s="391">
        <f t="shared" si="6"/>
        <v>6.508258333333333</v>
      </c>
      <c r="O21" s="634">
        <v>7.2</v>
      </c>
      <c r="P21" s="638"/>
      <c r="Q21" s="631"/>
      <c r="R21" s="638"/>
      <c r="S21" s="631"/>
      <c r="T21" s="631"/>
      <c r="U21" s="631"/>
    </row>
    <row r="22" spans="1:21" ht="14.25">
      <c r="A22" s="299" t="s">
        <v>26</v>
      </c>
      <c r="B22" s="392">
        <f>SUM(B23+B26+B28+B31+B34+B35+B37)</f>
        <v>3306.82</v>
      </c>
      <c r="C22" s="297">
        <f>SUM(C23+C26+C28+C31+C34+C35+C37)</f>
        <v>3579</v>
      </c>
      <c r="D22" s="297">
        <f>SUM(D23+D26+D28+D31+D34+D35+D37)</f>
        <v>2580</v>
      </c>
      <c r="E22" s="692">
        <f>SUM(E23+E26+E28+E31+E34+E35)</f>
        <v>1846.3786799999998</v>
      </c>
      <c r="F22" s="297">
        <f t="shared" si="3"/>
        <v>-733.6213200000002</v>
      </c>
      <c r="G22" s="297">
        <f t="shared" si="1"/>
        <v>71.565065116279058</v>
      </c>
      <c r="H22" s="297">
        <f t="shared" si="4"/>
        <v>0.5583547577430884</v>
      </c>
      <c r="I22" s="297">
        <f>SUM(I23+I26+I28+I31+I34+I35+I37)</f>
        <v>601.50699999999995</v>
      </c>
      <c r="J22" s="597">
        <f>SUM(J23+J26+J28+J31+J34+J35+J37)</f>
        <v>196</v>
      </c>
      <c r="K22" s="392">
        <f>SUM(K23+K26+K28+K31+K34+K35+K37)</f>
        <v>246.61484999999993</v>
      </c>
      <c r="L22" s="297">
        <f>+K22-J22</f>
        <v>50.614849999999933</v>
      </c>
      <c r="M22" s="297">
        <f>SUM(K22/J22*100)</f>
        <v>125.82390306122446</v>
      </c>
      <c r="N22" s="298">
        <f t="shared" si="6"/>
        <v>1.0950925843694492</v>
      </c>
      <c r="O22" s="598">
        <f>SUM(O23+O26+O28+O31+O34+O35+O37)</f>
        <v>225.2</v>
      </c>
      <c r="P22" s="600"/>
      <c r="Q22" s="631"/>
      <c r="R22" s="600"/>
      <c r="S22" s="631"/>
      <c r="T22" s="631"/>
      <c r="U22" s="631"/>
    </row>
    <row r="23" spans="1:21" ht="18" customHeight="1">
      <c r="A23" s="92" t="s">
        <v>437</v>
      </c>
      <c r="B23" s="536">
        <f>SUM(B24:B25)</f>
        <v>2471.98</v>
      </c>
      <c r="C23" s="93">
        <f>SUM(C24:C25)</f>
        <v>2837</v>
      </c>
      <c r="D23" s="602">
        <f t="shared" ref="D23:K23" si="7">SUM(D24:D25)</f>
        <v>2059</v>
      </c>
      <c r="E23" s="697">
        <f t="shared" si="7"/>
        <v>1433.7235799999999</v>
      </c>
      <c r="F23" s="93">
        <f t="shared" si="7"/>
        <v>-625.27642000000003</v>
      </c>
      <c r="G23" s="94">
        <f>E23/D23*100</f>
        <v>69.632033997085969</v>
      </c>
      <c r="H23" s="93">
        <f t="shared" si="7"/>
        <v>1.6497006542727934</v>
      </c>
      <c r="I23" s="94">
        <f t="shared" si="7"/>
        <v>349.57399999999996</v>
      </c>
      <c r="J23" s="602">
        <f t="shared" si="7"/>
        <v>166</v>
      </c>
      <c r="K23" s="536">
        <f t="shared" si="7"/>
        <v>163.89754999999997</v>
      </c>
      <c r="L23" s="94">
        <f t="shared" si="2"/>
        <v>-2.102450000000033</v>
      </c>
      <c r="M23" s="93">
        <f>SUM(K23/J23*100)</f>
        <v>98.733463855421661</v>
      </c>
      <c r="N23" s="391">
        <f t="shared" si="6"/>
        <v>1.1648724235963042</v>
      </c>
      <c r="O23" s="610">
        <f>SUM(O24:O25)</f>
        <v>140.69999999999999</v>
      </c>
      <c r="P23" s="611"/>
      <c r="Q23" s="631"/>
      <c r="R23" s="611"/>
      <c r="S23" s="631"/>
      <c r="T23" s="631"/>
      <c r="U23" s="631"/>
    </row>
    <row r="24" spans="1:21" ht="15.75">
      <c r="A24" s="101" t="s">
        <v>439</v>
      </c>
      <c r="B24" s="632">
        <v>518.29</v>
      </c>
      <c r="C24" s="97">
        <v>870</v>
      </c>
      <c r="D24" s="605">
        <f>435+72+73+J24</f>
        <v>646</v>
      </c>
      <c r="E24" s="694">
        <f>583.19313+K24</f>
        <v>646.06798000000003</v>
      </c>
      <c r="F24" s="98">
        <f>+E24-D24</f>
        <v>6.7980000000034124E-2</v>
      </c>
      <c r="G24" s="98">
        <f>E24/D24*100</f>
        <v>100.01052321981425</v>
      </c>
      <c r="H24" s="98">
        <f>E24/B24</f>
        <v>1.2465376140770612</v>
      </c>
      <c r="I24" s="99">
        <v>154.029</v>
      </c>
      <c r="J24" s="606">
        <v>66</v>
      </c>
      <c r="K24" s="633">
        <f>2.7+2.7+2.7+6.87888+15.6+0.7833+9.72387+21.7888</f>
        <v>62.874849999999995</v>
      </c>
      <c r="L24" s="98">
        <f>+K24-J24</f>
        <v>-3.125150000000005</v>
      </c>
      <c r="M24" s="98">
        <f>SUM(K24/J24*100)</f>
        <v>95.264924242424229</v>
      </c>
      <c r="N24" s="391">
        <f t="shared" si="6"/>
        <v>0.97029089506172839</v>
      </c>
      <c r="O24" s="639">
        <v>64.8</v>
      </c>
      <c r="P24" s="635"/>
      <c r="Q24" s="631"/>
      <c r="R24" s="635"/>
      <c r="S24" s="631"/>
      <c r="T24" s="631"/>
      <c r="U24" s="631"/>
    </row>
    <row r="25" spans="1:21" ht="15.75">
      <c r="A25" s="101" t="s">
        <v>438</v>
      </c>
      <c r="B25" s="632">
        <v>1953.69</v>
      </c>
      <c r="C25" s="97">
        <v>1967</v>
      </c>
      <c r="D25" s="605">
        <f>985+164+164+J25</f>
        <v>1413</v>
      </c>
      <c r="E25" s="694">
        <f>686.6329+K25</f>
        <v>787.65559999999994</v>
      </c>
      <c r="F25" s="98">
        <f t="shared" si="3"/>
        <v>-625.34440000000006</v>
      </c>
      <c r="G25" s="98">
        <f t="shared" si="1"/>
        <v>55.743496107572533</v>
      </c>
      <c r="H25" s="98">
        <f t="shared" si="4"/>
        <v>0.40316304019573213</v>
      </c>
      <c r="I25" s="99">
        <v>195.54499999999999</v>
      </c>
      <c r="J25" s="606">
        <v>100</v>
      </c>
      <c r="K25" s="633">
        <f>10+14.11+41.51+6.50819+14.8+3.42651+10.668</f>
        <v>101.02269999999999</v>
      </c>
      <c r="L25" s="98">
        <f t="shared" si="2"/>
        <v>1.0226999999999862</v>
      </c>
      <c r="M25" s="98">
        <f>SUM(K25/J25*100)</f>
        <v>101.02269999999997</v>
      </c>
      <c r="N25" s="391">
        <f t="shared" si="6"/>
        <v>1.3309973649538864</v>
      </c>
      <c r="O25" s="639">
        <v>75.900000000000006</v>
      </c>
      <c r="P25" s="635"/>
      <c r="Q25" s="631"/>
      <c r="R25" s="635"/>
      <c r="S25" s="631"/>
      <c r="T25" s="631"/>
      <c r="U25" s="631"/>
    </row>
    <row r="26" spans="1:21" ht="34.5" customHeight="1">
      <c r="A26" s="102" t="s">
        <v>440</v>
      </c>
      <c r="B26" s="535">
        <f>SUM(B27:B27)</f>
        <v>141.59</v>
      </c>
      <c r="C26" s="93">
        <f>SUM(C27:C27)</f>
        <v>290</v>
      </c>
      <c r="D26" s="601">
        <f>SUM(D27:D27)</f>
        <v>205</v>
      </c>
      <c r="E26" s="693">
        <f>SUM(E27:E27)</f>
        <v>124.40719</v>
      </c>
      <c r="F26" s="94">
        <f t="shared" si="3"/>
        <v>-80.59281</v>
      </c>
      <c r="G26" s="94">
        <f t="shared" si="1"/>
        <v>60.686434146341462</v>
      </c>
      <c r="H26" s="94">
        <f t="shared" si="4"/>
        <v>0.87864390140546644</v>
      </c>
      <c r="I26" s="94">
        <f>SUM(I27:I27)</f>
        <v>0</v>
      </c>
      <c r="J26" s="602">
        <f>J27</f>
        <v>4</v>
      </c>
      <c r="K26" s="536">
        <f>SUM(K27:K27)</f>
        <v>0.13979</v>
      </c>
      <c r="L26" s="94">
        <f t="shared" si="2"/>
        <v>-3.8602099999999999</v>
      </c>
      <c r="M26" s="94">
        <f t="shared" ref="M26:M31" si="8">SUM(K26/J26*100)</f>
        <v>3.4947499999999998</v>
      </c>
      <c r="N26" s="391">
        <f t="shared" si="6"/>
        <v>7.5972826086956524E-3</v>
      </c>
      <c r="O26" s="603">
        <f>SUM(O27:O27)</f>
        <v>18.399999999999999</v>
      </c>
      <c r="P26" s="604"/>
      <c r="Q26" s="631"/>
      <c r="R26" s="604"/>
      <c r="S26" s="631"/>
      <c r="T26" s="631"/>
      <c r="U26" s="631"/>
    </row>
    <row r="27" spans="1:21" ht="31.5">
      <c r="A27" s="103" t="s">
        <v>40</v>
      </c>
      <c r="B27" s="632">
        <v>141.59</v>
      </c>
      <c r="C27" s="97">
        <v>290</v>
      </c>
      <c r="D27" s="605">
        <f>135+60+6+J27</f>
        <v>205</v>
      </c>
      <c r="E27" s="694">
        <f>124.2674+K27</f>
        <v>124.40719</v>
      </c>
      <c r="F27" s="98">
        <f t="shared" si="3"/>
        <v>-80.59281</v>
      </c>
      <c r="G27" s="98">
        <f t="shared" si="1"/>
        <v>60.686434146341462</v>
      </c>
      <c r="H27" s="98">
        <f t="shared" si="4"/>
        <v>0.87864390140546644</v>
      </c>
      <c r="I27" s="99">
        <v>0</v>
      </c>
      <c r="J27" s="606">
        <v>4</v>
      </c>
      <c r="K27" s="633">
        <f>0.1398-0.00001</f>
        <v>0.13979</v>
      </c>
      <c r="L27" s="98">
        <f t="shared" si="2"/>
        <v>-3.8602099999999999</v>
      </c>
      <c r="M27" s="98">
        <f t="shared" si="8"/>
        <v>3.4947499999999998</v>
      </c>
      <c r="N27" s="391">
        <f t="shared" si="6"/>
        <v>7.5972826086956524E-3</v>
      </c>
      <c r="O27" s="639">
        <v>18.399999999999999</v>
      </c>
      <c r="P27" s="635"/>
      <c r="Q27" s="631"/>
      <c r="R27" s="635"/>
      <c r="S27" s="631"/>
      <c r="T27" s="631"/>
      <c r="U27" s="631"/>
    </row>
    <row r="28" spans="1:21" ht="30.75" customHeight="1">
      <c r="A28" s="102" t="s">
        <v>441</v>
      </c>
      <c r="B28" s="535">
        <f>SUM(B29:B30)</f>
        <v>44.52</v>
      </c>
      <c r="C28" s="93">
        <f>SUM(C29:C30)</f>
        <v>62</v>
      </c>
      <c r="D28" s="601">
        <f>SUM(D29:D30)</f>
        <v>41</v>
      </c>
      <c r="E28" s="693">
        <f>SUM(E29:E30)</f>
        <v>36.464449999999999</v>
      </c>
      <c r="F28" s="94">
        <f t="shared" si="3"/>
        <v>-4.5355500000000006</v>
      </c>
      <c r="G28" s="94">
        <f t="shared" si="1"/>
        <v>88.937682926829268</v>
      </c>
      <c r="H28" s="94">
        <f t="shared" si="4"/>
        <v>0.81905772686433054</v>
      </c>
      <c r="I28" s="94">
        <f>SUM(I29:I30)</f>
        <v>0</v>
      </c>
      <c r="J28" s="602">
        <f>SUM(J29:J30)</f>
        <v>0</v>
      </c>
      <c r="K28" s="390">
        <f>SUM(K29:K30)</f>
        <v>5.16167</v>
      </c>
      <c r="L28" s="94">
        <f t="shared" si="2"/>
        <v>5.16167</v>
      </c>
      <c r="M28" s="98" t="e">
        <f t="shared" si="8"/>
        <v>#DIV/0!</v>
      </c>
      <c r="N28" s="391">
        <f t="shared" si="6"/>
        <v>10.32334</v>
      </c>
      <c r="O28" s="603">
        <f>SUM(O29:O30)</f>
        <v>0.5</v>
      </c>
      <c r="P28" s="604"/>
      <c r="Q28" s="631"/>
      <c r="R28" s="604"/>
      <c r="S28" s="631"/>
      <c r="T28" s="631"/>
      <c r="U28" s="631"/>
    </row>
    <row r="29" spans="1:21" ht="15.75" hidden="1">
      <c r="A29" s="95" t="s">
        <v>442</v>
      </c>
      <c r="B29" s="608">
        <v>0</v>
      </c>
      <c r="C29" s="97">
        <v>0</v>
      </c>
      <c r="D29" s="605"/>
      <c r="E29" s="696"/>
      <c r="F29" s="94">
        <f t="shared" si="3"/>
        <v>0</v>
      </c>
      <c r="G29" s="94" t="e">
        <f t="shared" si="1"/>
        <v>#DIV/0!</v>
      </c>
      <c r="H29" s="94" t="e">
        <f t="shared" si="4"/>
        <v>#DIV/0!</v>
      </c>
      <c r="I29" s="98"/>
      <c r="J29" s="606"/>
      <c r="K29" s="390"/>
      <c r="L29" s="98">
        <f t="shared" si="2"/>
        <v>0</v>
      </c>
      <c r="M29" s="98" t="e">
        <f t="shared" si="8"/>
        <v>#DIV/0!</v>
      </c>
      <c r="N29" s="391" t="e">
        <f t="shared" si="6"/>
        <v>#DIV/0!</v>
      </c>
      <c r="O29" s="607"/>
      <c r="P29" s="609"/>
      <c r="Q29" s="631"/>
      <c r="R29" s="609"/>
      <c r="S29" s="631"/>
      <c r="T29" s="631"/>
      <c r="U29" s="631"/>
    </row>
    <row r="30" spans="1:21" ht="31.5" customHeight="1">
      <c r="A30" s="95" t="s">
        <v>443</v>
      </c>
      <c r="B30" s="632">
        <v>44.52</v>
      </c>
      <c r="C30" s="97">
        <v>62</v>
      </c>
      <c r="D30" s="605">
        <f>30+5+6+J30</f>
        <v>41</v>
      </c>
      <c r="E30" s="694">
        <f>31.30278+K30</f>
        <v>36.464449999999999</v>
      </c>
      <c r="F30" s="98">
        <f t="shared" si="3"/>
        <v>-4.5355500000000006</v>
      </c>
      <c r="G30" s="98">
        <f t="shared" si="1"/>
        <v>88.937682926829268</v>
      </c>
      <c r="H30" s="98">
        <f t="shared" si="4"/>
        <v>0.81905772686433054</v>
      </c>
      <c r="I30" s="99">
        <v>0</v>
      </c>
      <c r="J30" s="606">
        <v>0</v>
      </c>
      <c r="K30" s="633">
        <f>1.177+1.054+1.51767+1.413</f>
        <v>5.16167</v>
      </c>
      <c r="L30" s="98">
        <f t="shared" si="2"/>
        <v>5.16167</v>
      </c>
      <c r="M30" s="98" t="e">
        <f t="shared" si="8"/>
        <v>#DIV/0!</v>
      </c>
      <c r="N30" s="391">
        <f t="shared" si="6"/>
        <v>10.32334</v>
      </c>
      <c r="O30" s="634">
        <v>0.5</v>
      </c>
      <c r="P30" s="635"/>
      <c r="Q30" s="631"/>
      <c r="R30" s="638"/>
      <c r="S30" s="631"/>
      <c r="T30" s="631"/>
      <c r="U30" s="631"/>
    </row>
    <row r="31" spans="1:21" ht="29.25" customHeight="1">
      <c r="A31" s="92" t="s">
        <v>444</v>
      </c>
      <c r="B31" s="536">
        <f>SUM(B32:B33)</f>
        <v>535.42999999999995</v>
      </c>
      <c r="C31" s="93">
        <f>SUM(C32:C33)</f>
        <v>200</v>
      </c>
      <c r="D31" s="601">
        <f>SUM(D32:D33)</f>
        <v>150</v>
      </c>
      <c r="E31" s="693">
        <f>SUM(E32:E33)</f>
        <v>151.34426999999999</v>
      </c>
      <c r="F31" s="94">
        <f t="shared" si="3"/>
        <v>1.3442699999999945</v>
      </c>
      <c r="G31" s="94">
        <f t="shared" si="1"/>
        <v>100.89618</v>
      </c>
      <c r="H31" s="94">
        <f t="shared" si="4"/>
        <v>0.28265930186952543</v>
      </c>
      <c r="I31" s="94">
        <f>SUM(I32:I33)</f>
        <v>240.43299999999999</v>
      </c>
      <c r="J31" s="602">
        <f>SUM(J32:J33)</f>
        <v>16</v>
      </c>
      <c r="K31" s="536">
        <f>SUM(K32:K33)</f>
        <v>3.105</v>
      </c>
      <c r="L31" s="94">
        <f t="shared" si="2"/>
        <v>-12.895</v>
      </c>
      <c r="M31" s="94">
        <f t="shared" si="8"/>
        <v>19.40625</v>
      </c>
      <c r="N31" s="391">
        <f t="shared" si="6"/>
        <v>0.23522727272727273</v>
      </c>
      <c r="O31" s="603">
        <f>O32+O33</f>
        <v>13.2</v>
      </c>
      <c r="P31" s="604"/>
      <c r="Q31" s="631"/>
      <c r="R31" s="604"/>
      <c r="S31" s="631"/>
      <c r="T31" s="631"/>
      <c r="U31" s="631"/>
    </row>
    <row r="32" spans="1:21" ht="31.5" hidden="1">
      <c r="A32" s="95" t="s">
        <v>445</v>
      </c>
      <c r="B32" s="390">
        <v>0</v>
      </c>
      <c r="C32" s="97"/>
      <c r="D32" s="605"/>
      <c r="E32" s="698"/>
      <c r="F32" s="97">
        <f t="shared" si="3"/>
        <v>0</v>
      </c>
      <c r="G32" s="97"/>
      <c r="H32" s="97" t="e">
        <f t="shared" si="4"/>
        <v>#DIV/0!</v>
      </c>
      <c r="I32" s="98">
        <v>0</v>
      </c>
      <c r="J32" s="606">
        <v>0</v>
      </c>
      <c r="K32" s="390"/>
      <c r="L32" s="97">
        <f t="shared" si="2"/>
        <v>0</v>
      </c>
      <c r="M32" s="97"/>
      <c r="N32" s="391" t="e">
        <f t="shared" si="6"/>
        <v>#DIV/0!</v>
      </c>
      <c r="O32" s="612">
        <v>0</v>
      </c>
      <c r="P32" s="613"/>
      <c r="Q32" s="631"/>
      <c r="R32" s="613"/>
      <c r="S32" s="631"/>
      <c r="T32" s="631"/>
      <c r="U32" s="631"/>
    </row>
    <row r="33" spans="1:21" ht="15.75">
      <c r="A33" s="95" t="s">
        <v>446</v>
      </c>
      <c r="B33" s="633">
        <v>535.42999999999995</v>
      </c>
      <c r="C33" s="97">
        <v>200</v>
      </c>
      <c r="D33" s="605">
        <f>100+17+17+J33</f>
        <v>150</v>
      </c>
      <c r="E33" s="699">
        <f>148.23927+K33</f>
        <v>151.34426999999999</v>
      </c>
      <c r="F33" s="98">
        <f t="shared" si="3"/>
        <v>1.3442699999999945</v>
      </c>
      <c r="G33" s="97">
        <f t="shared" ref="G33:G38" si="9">E33/D33*100</f>
        <v>100.89618</v>
      </c>
      <c r="H33" s="97">
        <f t="shared" si="4"/>
        <v>0.28265930186952543</v>
      </c>
      <c r="I33" s="99">
        <v>240.43299999999999</v>
      </c>
      <c r="J33" s="606">
        <v>16</v>
      </c>
      <c r="K33" s="633">
        <v>3.105</v>
      </c>
      <c r="L33" s="97">
        <f t="shared" si="2"/>
        <v>-12.895</v>
      </c>
      <c r="M33" s="97">
        <f t="shared" ref="M33:M38" si="10">SUM(K33/J33*100)</f>
        <v>19.40625</v>
      </c>
      <c r="N33" s="391">
        <f t="shared" si="6"/>
        <v>0.23522727272727273</v>
      </c>
      <c r="O33" s="641">
        <v>13.2</v>
      </c>
      <c r="P33" s="642"/>
      <c r="Q33" s="631"/>
      <c r="R33" s="642"/>
      <c r="S33" s="631"/>
      <c r="T33" s="631"/>
      <c r="U33" s="631"/>
    </row>
    <row r="34" spans="1:21" ht="26.25" customHeight="1">
      <c r="A34" s="92" t="s">
        <v>447</v>
      </c>
      <c r="B34" s="536">
        <v>113.3</v>
      </c>
      <c r="C34" s="93">
        <v>170</v>
      </c>
      <c r="D34" s="601">
        <f>70+15+20+J34</f>
        <v>115</v>
      </c>
      <c r="E34" s="697">
        <f>26.12835+K34</f>
        <v>100.43919</v>
      </c>
      <c r="F34" s="93">
        <f t="shared" si="3"/>
        <v>-14.560810000000004</v>
      </c>
      <c r="G34" s="93">
        <f t="shared" si="9"/>
        <v>87.338426086956517</v>
      </c>
      <c r="H34" s="93">
        <f t="shared" si="4"/>
        <v>0.88648887908208296</v>
      </c>
      <c r="I34" s="94">
        <v>11.5</v>
      </c>
      <c r="J34" s="602">
        <v>10</v>
      </c>
      <c r="K34" s="536">
        <f>0.33721+73.97363</f>
        <v>74.310839999999999</v>
      </c>
      <c r="L34" s="93">
        <f t="shared" si="2"/>
        <v>64.310839999999999</v>
      </c>
      <c r="M34" s="93">
        <f t="shared" si="10"/>
        <v>743.10840000000007</v>
      </c>
      <c r="N34" s="391">
        <f t="shared" si="6"/>
        <v>4.0607016393442619</v>
      </c>
      <c r="O34" s="610">
        <v>18.3</v>
      </c>
      <c r="P34" s="611"/>
      <c r="Q34" s="643"/>
      <c r="R34" s="611"/>
      <c r="S34" s="631"/>
      <c r="T34" s="631"/>
      <c r="U34" s="631"/>
    </row>
    <row r="35" spans="1:21" ht="15.75">
      <c r="A35" s="92" t="s">
        <v>263</v>
      </c>
      <c r="B35" s="681">
        <v>0</v>
      </c>
      <c r="C35" s="93">
        <v>20</v>
      </c>
      <c r="D35" s="601">
        <f>5+5+J35</f>
        <v>10</v>
      </c>
      <c r="E35" s="693">
        <f>SUM(E37)</f>
        <v>0</v>
      </c>
      <c r="F35" s="97">
        <f t="shared" si="3"/>
        <v>-10</v>
      </c>
      <c r="G35" s="93">
        <v>0</v>
      </c>
      <c r="H35" s="93">
        <v>0</v>
      </c>
      <c r="I35" s="99">
        <v>0</v>
      </c>
      <c r="J35" s="602">
        <v>0</v>
      </c>
      <c r="K35" s="633">
        <v>0</v>
      </c>
      <c r="L35" s="93">
        <f t="shared" si="2"/>
        <v>0</v>
      </c>
      <c r="M35" s="93">
        <v>0</v>
      </c>
      <c r="N35" s="391">
        <f t="shared" si="6"/>
        <v>0</v>
      </c>
      <c r="O35" s="641">
        <v>34.1</v>
      </c>
      <c r="P35" s="604"/>
      <c r="Q35" s="631"/>
      <c r="R35" s="604"/>
      <c r="S35" s="631"/>
      <c r="T35" s="631"/>
      <c r="U35" s="631"/>
    </row>
    <row r="36" spans="1:21" ht="15.75" hidden="1">
      <c r="A36" s="95" t="s">
        <v>448</v>
      </c>
      <c r="B36" s="390">
        <v>0</v>
      </c>
      <c r="C36" s="97">
        <v>0</v>
      </c>
      <c r="D36" s="605">
        <v>0</v>
      </c>
      <c r="E36" s="698">
        <v>0</v>
      </c>
      <c r="F36" s="97">
        <f t="shared" si="3"/>
        <v>0</v>
      </c>
      <c r="G36" s="93">
        <v>0</v>
      </c>
      <c r="H36" s="93">
        <v>0</v>
      </c>
      <c r="I36" s="97">
        <v>0</v>
      </c>
      <c r="J36" s="606">
        <v>0</v>
      </c>
      <c r="K36" s="390">
        <v>0</v>
      </c>
      <c r="L36" s="93">
        <f t="shared" si="2"/>
        <v>0</v>
      </c>
      <c r="M36" s="93">
        <v>0</v>
      </c>
      <c r="N36" s="298" t="e">
        <f t="shared" si="6"/>
        <v>#DIV/0!</v>
      </c>
      <c r="O36" s="612"/>
      <c r="P36" s="613"/>
      <c r="Q36" s="631"/>
      <c r="R36" s="613"/>
      <c r="S36" s="631"/>
      <c r="T36" s="631"/>
      <c r="U36" s="631"/>
    </row>
    <row r="37" spans="1:21" ht="15.75">
      <c r="A37" s="95" t="s">
        <v>449</v>
      </c>
      <c r="B37" s="390"/>
      <c r="C37" s="97">
        <v>0</v>
      </c>
      <c r="D37" s="605">
        <v>0</v>
      </c>
      <c r="E37" s="699">
        <v>0</v>
      </c>
      <c r="F37" s="97">
        <f t="shared" si="3"/>
        <v>0</v>
      </c>
      <c r="G37" s="93">
        <v>0</v>
      </c>
      <c r="H37" s="93">
        <v>0</v>
      </c>
      <c r="I37" s="97"/>
      <c r="J37" s="606">
        <v>0</v>
      </c>
      <c r="K37" s="390">
        <v>0</v>
      </c>
      <c r="L37" s="93">
        <f t="shared" si="2"/>
        <v>0</v>
      </c>
      <c r="M37" s="93">
        <v>0</v>
      </c>
      <c r="N37" s="298" t="e">
        <f t="shared" si="6"/>
        <v>#DIV/0!</v>
      </c>
      <c r="O37" s="612">
        <v>0</v>
      </c>
      <c r="P37" s="642"/>
      <c r="Q37" s="631"/>
      <c r="R37" s="613"/>
      <c r="S37" s="631"/>
      <c r="T37" s="631"/>
      <c r="U37" s="631"/>
    </row>
    <row r="38" spans="1:21" ht="30" customHeight="1">
      <c r="A38" s="299" t="s">
        <v>450</v>
      </c>
      <c r="B38" s="392">
        <f>B8+B22</f>
        <v>25142.77</v>
      </c>
      <c r="C38" s="297">
        <f>SUM(C22+C8)</f>
        <v>36924</v>
      </c>
      <c r="D38" s="597">
        <f>D8+D22</f>
        <v>23077</v>
      </c>
      <c r="E38" s="692">
        <f>E8+E22</f>
        <v>23078.40782</v>
      </c>
      <c r="F38" s="297">
        <f t="shared" si="3"/>
        <v>1.4078200000003562</v>
      </c>
      <c r="G38" s="297">
        <f t="shared" si="9"/>
        <v>100.00610053299823</v>
      </c>
      <c r="H38" s="297">
        <f t="shared" si="4"/>
        <v>0.91789440145218681</v>
      </c>
      <c r="I38" s="297">
        <f>I8+I22</f>
        <v>2761.442</v>
      </c>
      <c r="J38" s="597">
        <f>J8+J22</f>
        <v>2077</v>
      </c>
      <c r="K38" s="392">
        <f>K8+K22</f>
        <v>2299.0465899999999</v>
      </c>
      <c r="L38" s="297">
        <f t="shared" si="2"/>
        <v>222.04658999999992</v>
      </c>
      <c r="M38" s="297">
        <f t="shared" si="10"/>
        <v>110.69073615792007</v>
      </c>
      <c r="N38" s="298">
        <f t="shared" si="6"/>
        <v>0.82471090504717171</v>
      </c>
      <c r="O38" s="598">
        <f>O8+O22</f>
        <v>2787.6999999999994</v>
      </c>
      <c r="P38" s="599"/>
      <c r="Q38" s="631"/>
      <c r="R38" s="631"/>
      <c r="S38" s="631"/>
      <c r="T38" s="631"/>
      <c r="U38" s="631"/>
    </row>
    <row r="39" spans="1:21" ht="14.25">
      <c r="A39" s="644"/>
    </row>
    <row r="40" spans="1:21" ht="43.5" customHeight="1">
      <c r="A40" s="977" t="s">
        <v>635</v>
      </c>
      <c r="B40" s="977"/>
      <c r="C40" s="300"/>
      <c r="D40" s="104"/>
      <c r="E40" s="701"/>
      <c r="F40" s="104"/>
      <c r="G40" s="978" t="s">
        <v>618</v>
      </c>
      <c r="H40" s="978"/>
      <c r="I40" s="978"/>
      <c r="J40" s="978"/>
      <c r="K40" s="978"/>
      <c r="L40" s="978"/>
      <c r="M40" s="105"/>
      <c r="O40" s="157"/>
    </row>
    <row r="41" spans="1:21">
      <c r="A41" s="242" t="s">
        <v>944</v>
      </c>
    </row>
    <row r="42" spans="1:21">
      <c r="A42" s="242" t="s">
        <v>619</v>
      </c>
    </row>
  </sheetData>
  <mergeCells count="16">
    <mergeCell ref="I5:I6"/>
    <mergeCell ref="J5:M5"/>
    <mergeCell ref="N5:N6"/>
    <mergeCell ref="O5:O6"/>
    <mergeCell ref="A40:B40"/>
    <mergeCell ref="G40:L40"/>
    <mergeCell ref="A5:A6"/>
    <mergeCell ref="B5:B6"/>
    <mergeCell ref="C5:C6"/>
    <mergeCell ref="D5:G5"/>
    <mergeCell ref="H5:H6"/>
    <mergeCell ref="A1:N1"/>
    <mergeCell ref="A2:N2"/>
    <mergeCell ref="A3:N3"/>
    <mergeCell ref="B4:L4"/>
    <mergeCell ref="M4:N4"/>
  </mergeCells>
  <pageMargins left="0.47244094488188981" right="0.19685039370078741" top="0.19685039370078741" bottom="0" header="0" footer="0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XFD158"/>
  <sheetViews>
    <sheetView view="pageBreakPreview" zoomScaleSheetLayoutView="100" workbookViewId="0">
      <pane xSplit="6" ySplit="4" topLeftCell="G98" activePane="bottomRight" state="frozen"/>
      <selection pane="topRight" activeCell="F1" sqref="F1"/>
      <selection pane="bottomLeft" activeCell="A5" sqref="A5"/>
      <selection pane="bottomRight" activeCell="C130" sqref="C130"/>
    </sheetView>
  </sheetViews>
  <sheetFormatPr defaultRowHeight="12.75"/>
  <cols>
    <col min="1" max="1" width="3.140625" style="711" customWidth="1"/>
    <col min="2" max="2" width="12.28515625" style="807" customWidth="1"/>
    <col min="3" max="3" width="34.85546875" style="808" customWidth="1"/>
    <col min="4" max="4" width="8.42578125" style="809" customWidth="1"/>
    <col min="5" max="5" width="8.28515625" style="810" customWidth="1"/>
    <col min="6" max="6" width="9.7109375" style="810" customWidth="1"/>
    <col min="7" max="7" width="7.5703125" style="711" customWidth="1"/>
    <col min="8" max="8" width="7.85546875" style="711" customWidth="1"/>
    <col min="9" max="9" width="7.42578125" style="810" customWidth="1"/>
    <col min="10" max="10" width="7" style="810" customWidth="1"/>
    <col min="11" max="11" width="9.42578125" style="711" customWidth="1"/>
    <col min="12" max="12" width="7.85546875" style="711" customWidth="1"/>
    <col min="13" max="13" width="7.5703125" style="810" customWidth="1"/>
    <col min="14" max="14" width="6.85546875" style="810" customWidth="1"/>
    <col min="15" max="15" width="7.7109375" style="711" customWidth="1"/>
    <col min="16" max="16" width="8.140625" style="711" customWidth="1"/>
    <col min="17" max="17" width="7.28515625" style="810" customWidth="1"/>
    <col min="18" max="18" width="7.5703125" style="810" customWidth="1"/>
    <col min="19" max="19" width="8.140625" style="711" customWidth="1"/>
    <col min="20" max="20" width="6.85546875" style="711" customWidth="1"/>
    <col min="21" max="21" width="7.5703125" style="810" customWidth="1"/>
    <col min="22" max="22" width="6.7109375" style="810" customWidth="1"/>
    <col min="23" max="23" width="7.42578125" style="711" customWidth="1"/>
    <col min="24" max="24" width="7.140625" style="711" customWidth="1"/>
    <col min="25" max="26" width="5.5703125" style="811" hidden="1" customWidth="1"/>
    <col min="27" max="27" width="6.140625" style="711" hidden="1" customWidth="1"/>
    <col min="28" max="28" width="6" style="711" hidden="1" customWidth="1"/>
    <col min="29" max="30" width="5.5703125" style="810" hidden="1" customWidth="1"/>
    <col min="31" max="31" width="6" style="711" hidden="1" customWidth="1"/>
    <col min="32" max="32" width="6.140625" style="711" hidden="1" customWidth="1"/>
    <col min="33" max="34" width="5.85546875" style="711" hidden="1" customWidth="1"/>
    <col min="35" max="35" width="6.140625" style="711" hidden="1" customWidth="1"/>
    <col min="36" max="36" width="7" style="810" customWidth="1"/>
    <col min="37" max="37" width="6.5703125" style="810" customWidth="1"/>
    <col min="38" max="38" width="8.140625" style="711" customWidth="1"/>
    <col min="39" max="39" width="6.28515625" style="711" customWidth="1"/>
    <col min="40" max="40" width="9" style="810" customWidth="1"/>
    <col min="41" max="41" width="8" style="810" customWidth="1"/>
    <col min="42" max="42" width="8.140625" style="711" customWidth="1"/>
    <col min="43" max="43" width="5.85546875" style="711" customWidth="1"/>
    <col min="44" max="44" width="6" style="711" hidden="1" customWidth="1"/>
    <col min="45" max="45" width="5.42578125" style="711" hidden="1" customWidth="1"/>
    <col min="46" max="46" width="5.7109375" style="711" hidden="1" customWidth="1"/>
    <col min="47" max="47" width="5.5703125" style="711" hidden="1" customWidth="1"/>
    <col min="48" max="48" width="7" style="810" customWidth="1"/>
    <col min="49" max="49" width="8.42578125" style="810" customWidth="1"/>
    <col min="50" max="50" width="5.28515625" style="711" customWidth="1"/>
    <col min="51" max="51" width="9" style="711" customWidth="1"/>
    <col min="52" max="53" width="5.42578125" style="711" hidden="1" customWidth="1"/>
    <col min="54" max="54" width="4.85546875" style="711" hidden="1" customWidth="1"/>
    <col min="55" max="55" width="5.85546875" style="711" hidden="1" customWidth="1"/>
    <col min="56" max="57" width="6.28515625" style="810" hidden="1" customWidth="1"/>
    <col min="58" max="58" width="5.85546875" style="711" hidden="1" customWidth="1"/>
    <col min="59" max="59" width="6.85546875" style="711" hidden="1" customWidth="1"/>
    <col min="60" max="61" width="6.5703125" style="810" hidden="1" customWidth="1"/>
    <col min="62" max="62" width="5.85546875" style="711" hidden="1" customWidth="1"/>
    <col min="63" max="63" width="5.5703125" style="711" hidden="1" customWidth="1"/>
    <col min="64" max="64" width="7" style="711" customWidth="1"/>
    <col min="65" max="65" width="7.28515625" style="711" customWidth="1"/>
    <col min="66" max="66" width="6.7109375" style="711" customWidth="1"/>
    <col min="67" max="67" width="4.140625" style="711" customWidth="1"/>
    <col min="68" max="69" width="6.85546875" style="711" customWidth="1"/>
    <col min="70" max="70" width="5.5703125" style="711" customWidth="1"/>
    <col min="71" max="71" width="4.42578125" style="711" customWidth="1"/>
    <col min="72" max="72" width="6.5703125" style="711" hidden="1" customWidth="1"/>
    <col min="73" max="73" width="6" style="711" hidden="1" customWidth="1"/>
    <col min="74" max="74" width="5.140625" style="711" hidden="1" customWidth="1"/>
    <col min="75" max="75" width="5.7109375" style="711" hidden="1" customWidth="1"/>
    <col min="76" max="77" width="5.5703125" style="810" hidden="1" customWidth="1"/>
    <col min="78" max="78" width="5.5703125" style="711" hidden="1" customWidth="1"/>
    <col min="79" max="79" width="4.85546875" style="711" hidden="1" customWidth="1"/>
    <col min="80" max="81" width="6.5703125" style="711" hidden="1" customWidth="1"/>
    <col min="82" max="82" width="5.42578125" style="711" hidden="1" customWidth="1"/>
    <col min="83" max="83" width="5.7109375" style="711" hidden="1" customWidth="1"/>
    <col min="84" max="84" width="7.5703125" style="810" customWidth="1"/>
    <col min="85" max="85" width="6.42578125" style="810" customWidth="1"/>
    <col min="86" max="86" width="8" style="711" customWidth="1"/>
    <col min="87" max="87" width="7.140625" style="711" customWidth="1"/>
    <col min="88" max="88" width="5.7109375" style="810" customWidth="1"/>
    <col min="89" max="89" width="5.42578125" style="810" customWidth="1"/>
    <col min="90" max="90" width="6.140625" style="711" customWidth="1"/>
    <col min="91" max="91" width="6.28515625" style="711" customWidth="1"/>
    <col min="92" max="93" width="5.85546875" style="711" customWidth="1"/>
    <col min="94" max="94" width="7" style="711" customWidth="1"/>
    <col min="95" max="95" width="8.28515625" style="711" customWidth="1"/>
    <col min="96" max="98" width="5.85546875" style="711" hidden="1" customWidth="1"/>
    <col min="99" max="99" width="5.7109375" style="711" hidden="1" customWidth="1"/>
    <col min="100" max="101" width="5.5703125" style="810" hidden="1" customWidth="1"/>
    <col min="102" max="102" width="5.85546875" style="711" hidden="1" customWidth="1"/>
    <col min="103" max="103" width="5.7109375" style="711" hidden="1" customWidth="1"/>
    <col min="104" max="105" width="5" style="810" hidden="1" customWidth="1"/>
    <col min="106" max="106" width="5.85546875" style="711" hidden="1" customWidth="1"/>
    <col min="107" max="107" width="5.140625" style="711" hidden="1" customWidth="1"/>
    <col min="108" max="110" width="9.140625" style="711" hidden="1" customWidth="1"/>
    <col min="111" max="112" width="6.140625" style="711" customWidth="1"/>
    <col min="113" max="113" width="5.28515625" style="711" customWidth="1"/>
    <col min="114" max="114" width="4.5703125" style="711" customWidth="1"/>
    <col min="115" max="256" width="9.140625" style="711"/>
    <col min="257" max="257" width="3.140625" style="711" customWidth="1"/>
    <col min="258" max="258" width="12.28515625" style="711" customWidth="1"/>
    <col min="259" max="259" width="34.85546875" style="711" customWidth="1"/>
    <col min="260" max="260" width="8.42578125" style="711" customWidth="1"/>
    <col min="261" max="261" width="8.28515625" style="711" customWidth="1"/>
    <col min="262" max="262" width="9.42578125" style="711" customWidth="1"/>
    <col min="263" max="263" width="8.28515625" style="711" customWidth="1"/>
    <col min="264" max="266" width="6.42578125" style="711" customWidth="1"/>
    <col min="267" max="267" width="7.140625" style="711" customWidth="1"/>
    <col min="268" max="268" width="4.5703125" style="711" customWidth="1"/>
    <col min="269" max="269" width="6.7109375" style="711" customWidth="1"/>
    <col min="270" max="270" width="6.85546875" style="711" customWidth="1"/>
    <col min="271" max="271" width="6.28515625" style="711" customWidth="1"/>
    <col min="272" max="272" width="4" style="711" customWidth="1"/>
    <col min="273" max="273" width="7.28515625" style="711" customWidth="1"/>
    <col min="274" max="274" width="7.5703125" style="711" customWidth="1"/>
    <col min="275" max="275" width="6" style="711" customWidth="1"/>
    <col min="276" max="276" width="4.7109375" style="711" customWidth="1"/>
    <col min="277" max="277" width="5.42578125" style="711" customWidth="1"/>
    <col min="278" max="278" width="5.7109375" style="711" customWidth="1"/>
    <col min="279" max="279" width="5.85546875" style="711" customWidth="1"/>
    <col min="280" max="280" width="5.7109375" style="711" customWidth="1"/>
    <col min="281" max="291" width="0" style="711" hidden="1" customWidth="1"/>
    <col min="292" max="292" width="5.85546875" style="711" customWidth="1"/>
    <col min="293" max="293" width="5.7109375" style="711" customWidth="1"/>
    <col min="294" max="294" width="5" style="711" customWidth="1"/>
    <col min="295" max="295" width="4.140625" style="711" customWidth="1"/>
    <col min="296" max="296" width="5.85546875" style="711" customWidth="1"/>
    <col min="297" max="297" width="5.7109375" style="711" customWidth="1"/>
    <col min="298" max="298" width="4.7109375" style="711" customWidth="1"/>
    <col min="299" max="299" width="4.42578125" style="711" customWidth="1"/>
    <col min="300" max="303" width="0" style="711" hidden="1" customWidth="1"/>
    <col min="304" max="304" width="5.85546875" style="711" customWidth="1"/>
    <col min="305" max="305" width="5.42578125" style="711" customWidth="1"/>
    <col min="306" max="306" width="5.28515625" style="711" customWidth="1"/>
    <col min="307" max="307" width="4.85546875" style="711" customWidth="1"/>
    <col min="308" max="319" width="0" style="711" hidden="1" customWidth="1"/>
    <col min="320" max="320" width="5.85546875" style="711" customWidth="1"/>
    <col min="321" max="321" width="5.42578125" style="711" customWidth="1"/>
    <col min="322" max="322" width="5.140625" style="711" customWidth="1"/>
    <col min="323" max="323" width="4.140625" style="711" customWidth="1"/>
    <col min="324" max="324" width="6.140625" style="711" customWidth="1"/>
    <col min="325" max="326" width="5.5703125" style="711" customWidth="1"/>
    <col min="327" max="327" width="4.42578125" style="711" customWidth="1"/>
    <col min="328" max="339" width="0" style="711" hidden="1" customWidth="1"/>
    <col min="340" max="340" width="7.5703125" style="711" customWidth="1"/>
    <col min="341" max="341" width="6.42578125" style="711" customWidth="1"/>
    <col min="342" max="342" width="5.42578125" style="711" customWidth="1"/>
    <col min="343" max="343" width="5.140625" style="711" customWidth="1"/>
    <col min="344" max="344" width="5.7109375" style="711" customWidth="1"/>
    <col min="345" max="345" width="5.42578125" style="711" customWidth="1"/>
    <col min="346" max="346" width="4.5703125" style="711" customWidth="1"/>
    <col min="347" max="347" width="5.42578125" style="711" customWidth="1"/>
    <col min="348" max="350" width="5.85546875" style="711" customWidth="1"/>
    <col min="351" max="351" width="4.42578125" style="711" customWidth="1"/>
    <col min="352" max="366" width="0" style="711" hidden="1" customWidth="1"/>
    <col min="367" max="367" width="9.140625" style="711" customWidth="1"/>
    <col min="368" max="512" width="9.140625" style="711"/>
    <col min="513" max="513" width="3.140625" style="711" customWidth="1"/>
    <col min="514" max="514" width="12.28515625" style="711" customWidth="1"/>
    <col min="515" max="515" width="34.85546875" style="711" customWidth="1"/>
    <col min="516" max="516" width="8.42578125" style="711" customWidth="1"/>
    <col min="517" max="517" width="8.28515625" style="711" customWidth="1"/>
    <col min="518" max="518" width="9.42578125" style="711" customWidth="1"/>
    <col min="519" max="519" width="8.28515625" style="711" customWidth="1"/>
    <col min="520" max="522" width="6.42578125" style="711" customWidth="1"/>
    <col min="523" max="523" width="7.140625" style="711" customWidth="1"/>
    <col min="524" max="524" width="4.5703125" style="711" customWidth="1"/>
    <col min="525" max="525" width="6.7109375" style="711" customWidth="1"/>
    <col min="526" max="526" width="6.85546875" style="711" customWidth="1"/>
    <col min="527" max="527" width="6.28515625" style="711" customWidth="1"/>
    <col min="528" max="528" width="4" style="711" customWidth="1"/>
    <col min="529" max="529" width="7.28515625" style="711" customWidth="1"/>
    <col min="530" max="530" width="7.5703125" style="711" customWidth="1"/>
    <col min="531" max="531" width="6" style="711" customWidth="1"/>
    <col min="532" max="532" width="4.7109375" style="711" customWidth="1"/>
    <col min="533" max="533" width="5.42578125" style="711" customWidth="1"/>
    <col min="534" max="534" width="5.7109375" style="711" customWidth="1"/>
    <col min="535" max="535" width="5.85546875" style="711" customWidth="1"/>
    <col min="536" max="536" width="5.7109375" style="711" customWidth="1"/>
    <col min="537" max="547" width="0" style="711" hidden="1" customWidth="1"/>
    <col min="548" max="548" width="5.85546875" style="711" customWidth="1"/>
    <col min="549" max="549" width="5.7109375" style="711" customWidth="1"/>
    <col min="550" max="550" width="5" style="711" customWidth="1"/>
    <col min="551" max="551" width="4.140625" style="711" customWidth="1"/>
    <col min="552" max="552" width="5.85546875" style="711" customWidth="1"/>
    <col min="553" max="553" width="5.7109375" style="711" customWidth="1"/>
    <col min="554" max="554" width="4.7109375" style="711" customWidth="1"/>
    <col min="555" max="555" width="4.42578125" style="711" customWidth="1"/>
    <col min="556" max="559" width="0" style="711" hidden="1" customWidth="1"/>
    <col min="560" max="560" width="5.85546875" style="711" customWidth="1"/>
    <col min="561" max="561" width="5.42578125" style="711" customWidth="1"/>
    <col min="562" max="562" width="5.28515625" style="711" customWidth="1"/>
    <col min="563" max="563" width="4.85546875" style="711" customWidth="1"/>
    <col min="564" max="575" width="0" style="711" hidden="1" customWidth="1"/>
    <col min="576" max="576" width="5.85546875" style="711" customWidth="1"/>
    <col min="577" max="577" width="5.42578125" style="711" customWidth="1"/>
    <col min="578" max="578" width="5.140625" style="711" customWidth="1"/>
    <col min="579" max="579" width="4.140625" style="711" customWidth="1"/>
    <col min="580" max="580" width="6.140625" style="711" customWidth="1"/>
    <col min="581" max="582" width="5.5703125" style="711" customWidth="1"/>
    <col min="583" max="583" width="4.42578125" style="711" customWidth="1"/>
    <col min="584" max="595" width="0" style="711" hidden="1" customWidth="1"/>
    <col min="596" max="596" width="7.5703125" style="711" customWidth="1"/>
    <col min="597" max="597" width="6.42578125" style="711" customWidth="1"/>
    <col min="598" max="598" width="5.42578125" style="711" customWidth="1"/>
    <col min="599" max="599" width="5.140625" style="711" customWidth="1"/>
    <col min="600" max="600" width="5.7109375" style="711" customWidth="1"/>
    <col min="601" max="601" width="5.42578125" style="711" customWidth="1"/>
    <col min="602" max="602" width="4.5703125" style="711" customWidth="1"/>
    <col min="603" max="603" width="5.42578125" style="711" customWidth="1"/>
    <col min="604" max="606" width="5.85546875" style="711" customWidth="1"/>
    <col min="607" max="607" width="4.42578125" style="711" customWidth="1"/>
    <col min="608" max="622" width="0" style="711" hidden="1" customWidth="1"/>
    <col min="623" max="623" width="9.140625" style="711" customWidth="1"/>
    <col min="624" max="768" width="9.140625" style="711"/>
    <col min="769" max="769" width="3.140625" style="711" customWidth="1"/>
    <col min="770" max="770" width="12.28515625" style="711" customWidth="1"/>
    <col min="771" max="771" width="34.85546875" style="711" customWidth="1"/>
    <col min="772" max="772" width="8.42578125" style="711" customWidth="1"/>
    <col min="773" max="773" width="8.28515625" style="711" customWidth="1"/>
    <col min="774" max="774" width="9.42578125" style="711" customWidth="1"/>
    <col min="775" max="775" width="8.28515625" style="711" customWidth="1"/>
    <col min="776" max="778" width="6.42578125" style="711" customWidth="1"/>
    <col min="779" max="779" width="7.140625" style="711" customWidth="1"/>
    <col min="780" max="780" width="4.5703125" style="711" customWidth="1"/>
    <col min="781" max="781" width="6.7109375" style="711" customWidth="1"/>
    <col min="782" max="782" width="6.85546875" style="711" customWidth="1"/>
    <col min="783" max="783" width="6.28515625" style="711" customWidth="1"/>
    <col min="784" max="784" width="4" style="711" customWidth="1"/>
    <col min="785" max="785" width="7.28515625" style="711" customWidth="1"/>
    <col min="786" max="786" width="7.5703125" style="711" customWidth="1"/>
    <col min="787" max="787" width="6" style="711" customWidth="1"/>
    <col min="788" max="788" width="4.7109375" style="711" customWidth="1"/>
    <col min="789" max="789" width="5.42578125" style="711" customWidth="1"/>
    <col min="790" max="790" width="5.7109375" style="711" customWidth="1"/>
    <col min="791" max="791" width="5.85546875" style="711" customWidth="1"/>
    <col min="792" max="792" width="5.7109375" style="711" customWidth="1"/>
    <col min="793" max="803" width="0" style="711" hidden="1" customWidth="1"/>
    <col min="804" max="804" width="5.85546875" style="711" customWidth="1"/>
    <col min="805" max="805" width="5.7109375" style="711" customWidth="1"/>
    <col min="806" max="806" width="5" style="711" customWidth="1"/>
    <col min="807" max="807" width="4.140625" style="711" customWidth="1"/>
    <col min="808" max="808" width="5.85546875" style="711" customWidth="1"/>
    <col min="809" max="809" width="5.7109375" style="711" customWidth="1"/>
    <col min="810" max="810" width="4.7109375" style="711" customWidth="1"/>
    <col min="811" max="811" width="4.42578125" style="711" customWidth="1"/>
    <col min="812" max="815" width="0" style="711" hidden="1" customWidth="1"/>
    <col min="816" max="816" width="5.85546875" style="711" customWidth="1"/>
    <col min="817" max="817" width="5.42578125" style="711" customWidth="1"/>
    <col min="818" max="818" width="5.28515625" style="711" customWidth="1"/>
    <col min="819" max="819" width="4.85546875" style="711" customWidth="1"/>
    <col min="820" max="831" width="0" style="711" hidden="1" customWidth="1"/>
    <col min="832" max="832" width="5.85546875" style="711" customWidth="1"/>
    <col min="833" max="833" width="5.42578125" style="711" customWidth="1"/>
    <col min="834" max="834" width="5.140625" style="711" customWidth="1"/>
    <col min="835" max="835" width="4.140625" style="711" customWidth="1"/>
    <col min="836" max="836" width="6.140625" style="711" customWidth="1"/>
    <col min="837" max="838" width="5.5703125" style="711" customWidth="1"/>
    <col min="839" max="839" width="4.42578125" style="711" customWidth="1"/>
    <col min="840" max="851" width="0" style="711" hidden="1" customWidth="1"/>
    <col min="852" max="852" width="7.5703125" style="711" customWidth="1"/>
    <col min="853" max="853" width="6.42578125" style="711" customWidth="1"/>
    <col min="854" max="854" width="5.42578125" style="711" customWidth="1"/>
    <col min="855" max="855" width="5.140625" style="711" customWidth="1"/>
    <col min="856" max="856" width="5.7109375" style="711" customWidth="1"/>
    <col min="857" max="857" width="5.42578125" style="711" customWidth="1"/>
    <col min="858" max="858" width="4.5703125" style="711" customWidth="1"/>
    <col min="859" max="859" width="5.42578125" style="711" customWidth="1"/>
    <col min="860" max="862" width="5.85546875" style="711" customWidth="1"/>
    <col min="863" max="863" width="4.42578125" style="711" customWidth="1"/>
    <col min="864" max="878" width="0" style="711" hidden="1" customWidth="1"/>
    <col min="879" max="879" width="9.140625" style="711" customWidth="1"/>
    <col min="880" max="1024" width="9.140625" style="711"/>
    <col min="1025" max="1025" width="3.140625" style="711" customWidth="1"/>
    <col min="1026" max="1026" width="12.28515625" style="711" customWidth="1"/>
    <col min="1027" max="1027" width="34.85546875" style="711" customWidth="1"/>
    <col min="1028" max="1028" width="8.42578125" style="711" customWidth="1"/>
    <col min="1029" max="1029" width="8.28515625" style="711" customWidth="1"/>
    <col min="1030" max="1030" width="9.42578125" style="711" customWidth="1"/>
    <col min="1031" max="1031" width="8.28515625" style="711" customWidth="1"/>
    <col min="1032" max="1034" width="6.42578125" style="711" customWidth="1"/>
    <col min="1035" max="1035" width="7.140625" style="711" customWidth="1"/>
    <col min="1036" max="1036" width="4.5703125" style="711" customWidth="1"/>
    <col min="1037" max="1037" width="6.7109375" style="711" customWidth="1"/>
    <col min="1038" max="1038" width="6.85546875" style="711" customWidth="1"/>
    <col min="1039" max="1039" width="6.28515625" style="711" customWidth="1"/>
    <col min="1040" max="1040" width="4" style="711" customWidth="1"/>
    <col min="1041" max="1041" width="7.28515625" style="711" customWidth="1"/>
    <col min="1042" max="1042" width="7.5703125" style="711" customWidth="1"/>
    <col min="1043" max="1043" width="6" style="711" customWidth="1"/>
    <col min="1044" max="1044" width="4.7109375" style="711" customWidth="1"/>
    <col min="1045" max="1045" width="5.42578125" style="711" customWidth="1"/>
    <col min="1046" max="1046" width="5.7109375" style="711" customWidth="1"/>
    <col min="1047" max="1047" width="5.85546875" style="711" customWidth="1"/>
    <col min="1048" max="1048" width="5.7109375" style="711" customWidth="1"/>
    <col min="1049" max="1059" width="0" style="711" hidden="1" customWidth="1"/>
    <col min="1060" max="1060" width="5.85546875" style="711" customWidth="1"/>
    <col min="1061" max="1061" width="5.7109375" style="711" customWidth="1"/>
    <col min="1062" max="1062" width="5" style="711" customWidth="1"/>
    <col min="1063" max="1063" width="4.140625" style="711" customWidth="1"/>
    <col min="1064" max="1064" width="5.85546875" style="711" customWidth="1"/>
    <col min="1065" max="1065" width="5.7109375" style="711" customWidth="1"/>
    <col min="1066" max="1066" width="4.7109375" style="711" customWidth="1"/>
    <col min="1067" max="1067" width="4.42578125" style="711" customWidth="1"/>
    <col min="1068" max="1071" width="0" style="711" hidden="1" customWidth="1"/>
    <col min="1072" max="1072" width="5.85546875" style="711" customWidth="1"/>
    <col min="1073" max="1073" width="5.42578125" style="711" customWidth="1"/>
    <col min="1074" max="1074" width="5.28515625" style="711" customWidth="1"/>
    <col min="1075" max="1075" width="4.85546875" style="711" customWidth="1"/>
    <col min="1076" max="1087" width="0" style="711" hidden="1" customWidth="1"/>
    <col min="1088" max="1088" width="5.85546875" style="711" customWidth="1"/>
    <col min="1089" max="1089" width="5.42578125" style="711" customWidth="1"/>
    <col min="1090" max="1090" width="5.140625" style="711" customWidth="1"/>
    <col min="1091" max="1091" width="4.140625" style="711" customWidth="1"/>
    <col min="1092" max="1092" width="6.140625" style="711" customWidth="1"/>
    <col min="1093" max="1094" width="5.5703125" style="711" customWidth="1"/>
    <col min="1095" max="1095" width="4.42578125" style="711" customWidth="1"/>
    <col min="1096" max="1107" width="0" style="711" hidden="1" customWidth="1"/>
    <col min="1108" max="1108" width="7.5703125" style="711" customWidth="1"/>
    <col min="1109" max="1109" width="6.42578125" style="711" customWidth="1"/>
    <col min="1110" max="1110" width="5.42578125" style="711" customWidth="1"/>
    <col min="1111" max="1111" width="5.140625" style="711" customWidth="1"/>
    <col min="1112" max="1112" width="5.7109375" style="711" customWidth="1"/>
    <col min="1113" max="1113" width="5.42578125" style="711" customWidth="1"/>
    <col min="1114" max="1114" width="4.5703125" style="711" customWidth="1"/>
    <col min="1115" max="1115" width="5.42578125" style="711" customWidth="1"/>
    <col min="1116" max="1118" width="5.85546875" style="711" customWidth="1"/>
    <col min="1119" max="1119" width="4.42578125" style="711" customWidth="1"/>
    <col min="1120" max="1134" width="0" style="711" hidden="1" customWidth="1"/>
    <col min="1135" max="1135" width="9.140625" style="711" customWidth="1"/>
    <col min="1136" max="1280" width="9.140625" style="711"/>
    <col min="1281" max="1281" width="3.140625" style="711" customWidth="1"/>
    <col min="1282" max="1282" width="12.28515625" style="711" customWidth="1"/>
    <col min="1283" max="1283" width="34.85546875" style="711" customWidth="1"/>
    <col min="1284" max="1284" width="8.42578125" style="711" customWidth="1"/>
    <col min="1285" max="1285" width="8.28515625" style="711" customWidth="1"/>
    <col min="1286" max="1286" width="9.42578125" style="711" customWidth="1"/>
    <col min="1287" max="1287" width="8.28515625" style="711" customWidth="1"/>
    <col min="1288" max="1290" width="6.42578125" style="711" customWidth="1"/>
    <col min="1291" max="1291" width="7.140625" style="711" customWidth="1"/>
    <col min="1292" max="1292" width="4.5703125" style="711" customWidth="1"/>
    <col min="1293" max="1293" width="6.7109375" style="711" customWidth="1"/>
    <col min="1294" max="1294" width="6.85546875" style="711" customWidth="1"/>
    <col min="1295" max="1295" width="6.28515625" style="711" customWidth="1"/>
    <col min="1296" max="1296" width="4" style="711" customWidth="1"/>
    <col min="1297" max="1297" width="7.28515625" style="711" customWidth="1"/>
    <col min="1298" max="1298" width="7.5703125" style="711" customWidth="1"/>
    <col min="1299" max="1299" width="6" style="711" customWidth="1"/>
    <col min="1300" max="1300" width="4.7109375" style="711" customWidth="1"/>
    <col min="1301" max="1301" width="5.42578125" style="711" customWidth="1"/>
    <col min="1302" max="1302" width="5.7109375" style="711" customWidth="1"/>
    <col min="1303" max="1303" width="5.85546875" style="711" customWidth="1"/>
    <col min="1304" max="1304" width="5.7109375" style="711" customWidth="1"/>
    <col min="1305" max="1315" width="0" style="711" hidden="1" customWidth="1"/>
    <col min="1316" max="1316" width="5.85546875" style="711" customWidth="1"/>
    <col min="1317" max="1317" width="5.7109375" style="711" customWidth="1"/>
    <col min="1318" max="1318" width="5" style="711" customWidth="1"/>
    <col min="1319" max="1319" width="4.140625" style="711" customWidth="1"/>
    <col min="1320" max="1320" width="5.85546875" style="711" customWidth="1"/>
    <col min="1321" max="1321" width="5.7109375" style="711" customWidth="1"/>
    <col min="1322" max="1322" width="4.7109375" style="711" customWidth="1"/>
    <col min="1323" max="1323" width="4.42578125" style="711" customWidth="1"/>
    <col min="1324" max="1327" width="0" style="711" hidden="1" customWidth="1"/>
    <col min="1328" max="1328" width="5.85546875" style="711" customWidth="1"/>
    <col min="1329" max="1329" width="5.42578125" style="711" customWidth="1"/>
    <col min="1330" max="1330" width="5.28515625" style="711" customWidth="1"/>
    <col min="1331" max="1331" width="4.85546875" style="711" customWidth="1"/>
    <col min="1332" max="1343" width="0" style="711" hidden="1" customWidth="1"/>
    <col min="1344" max="1344" width="5.85546875" style="711" customWidth="1"/>
    <col min="1345" max="1345" width="5.42578125" style="711" customWidth="1"/>
    <col min="1346" max="1346" width="5.140625" style="711" customWidth="1"/>
    <col min="1347" max="1347" width="4.140625" style="711" customWidth="1"/>
    <col min="1348" max="1348" width="6.140625" style="711" customWidth="1"/>
    <col min="1349" max="1350" width="5.5703125" style="711" customWidth="1"/>
    <col min="1351" max="1351" width="4.42578125" style="711" customWidth="1"/>
    <col min="1352" max="1363" width="0" style="711" hidden="1" customWidth="1"/>
    <col min="1364" max="1364" width="7.5703125" style="711" customWidth="1"/>
    <col min="1365" max="1365" width="6.42578125" style="711" customWidth="1"/>
    <col min="1366" max="1366" width="5.42578125" style="711" customWidth="1"/>
    <col min="1367" max="1367" width="5.140625" style="711" customWidth="1"/>
    <col min="1368" max="1368" width="5.7109375" style="711" customWidth="1"/>
    <col min="1369" max="1369" width="5.42578125" style="711" customWidth="1"/>
    <col min="1370" max="1370" width="4.5703125" style="711" customWidth="1"/>
    <col min="1371" max="1371" width="5.42578125" style="711" customWidth="1"/>
    <col min="1372" max="1374" width="5.85546875" style="711" customWidth="1"/>
    <col min="1375" max="1375" width="4.42578125" style="711" customWidth="1"/>
    <col min="1376" max="1390" width="0" style="711" hidden="1" customWidth="1"/>
    <col min="1391" max="1391" width="9.140625" style="711" customWidth="1"/>
    <col min="1392" max="1536" width="9.140625" style="711"/>
    <col min="1537" max="1537" width="3.140625" style="711" customWidth="1"/>
    <col min="1538" max="1538" width="12.28515625" style="711" customWidth="1"/>
    <col min="1539" max="1539" width="34.85546875" style="711" customWidth="1"/>
    <col min="1540" max="1540" width="8.42578125" style="711" customWidth="1"/>
    <col min="1541" max="1541" width="8.28515625" style="711" customWidth="1"/>
    <col min="1542" max="1542" width="9.42578125" style="711" customWidth="1"/>
    <col min="1543" max="1543" width="8.28515625" style="711" customWidth="1"/>
    <col min="1544" max="1546" width="6.42578125" style="711" customWidth="1"/>
    <col min="1547" max="1547" width="7.140625" style="711" customWidth="1"/>
    <col min="1548" max="1548" width="4.5703125" style="711" customWidth="1"/>
    <col min="1549" max="1549" width="6.7109375" style="711" customWidth="1"/>
    <col min="1550" max="1550" width="6.85546875" style="711" customWidth="1"/>
    <col min="1551" max="1551" width="6.28515625" style="711" customWidth="1"/>
    <col min="1552" max="1552" width="4" style="711" customWidth="1"/>
    <col min="1553" max="1553" width="7.28515625" style="711" customWidth="1"/>
    <col min="1554" max="1554" width="7.5703125" style="711" customWidth="1"/>
    <col min="1555" max="1555" width="6" style="711" customWidth="1"/>
    <col min="1556" max="1556" width="4.7109375" style="711" customWidth="1"/>
    <col min="1557" max="1557" width="5.42578125" style="711" customWidth="1"/>
    <col min="1558" max="1558" width="5.7109375" style="711" customWidth="1"/>
    <col min="1559" max="1559" width="5.85546875" style="711" customWidth="1"/>
    <col min="1560" max="1560" width="5.7109375" style="711" customWidth="1"/>
    <col min="1561" max="1571" width="0" style="711" hidden="1" customWidth="1"/>
    <col min="1572" max="1572" width="5.85546875" style="711" customWidth="1"/>
    <col min="1573" max="1573" width="5.7109375" style="711" customWidth="1"/>
    <col min="1574" max="1574" width="5" style="711" customWidth="1"/>
    <col min="1575" max="1575" width="4.140625" style="711" customWidth="1"/>
    <col min="1576" max="1576" width="5.85546875" style="711" customWidth="1"/>
    <col min="1577" max="1577" width="5.7109375" style="711" customWidth="1"/>
    <col min="1578" max="1578" width="4.7109375" style="711" customWidth="1"/>
    <col min="1579" max="1579" width="4.42578125" style="711" customWidth="1"/>
    <col min="1580" max="1583" width="0" style="711" hidden="1" customWidth="1"/>
    <col min="1584" max="1584" width="5.85546875" style="711" customWidth="1"/>
    <col min="1585" max="1585" width="5.42578125" style="711" customWidth="1"/>
    <col min="1586" max="1586" width="5.28515625" style="711" customWidth="1"/>
    <col min="1587" max="1587" width="4.85546875" style="711" customWidth="1"/>
    <col min="1588" max="1599" width="0" style="711" hidden="1" customWidth="1"/>
    <col min="1600" max="1600" width="5.85546875" style="711" customWidth="1"/>
    <col min="1601" max="1601" width="5.42578125" style="711" customWidth="1"/>
    <col min="1602" max="1602" width="5.140625" style="711" customWidth="1"/>
    <col min="1603" max="1603" width="4.140625" style="711" customWidth="1"/>
    <col min="1604" max="1604" width="6.140625" style="711" customWidth="1"/>
    <col min="1605" max="1606" width="5.5703125" style="711" customWidth="1"/>
    <col min="1607" max="1607" width="4.42578125" style="711" customWidth="1"/>
    <col min="1608" max="1619" width="0" style="711" hidden="1" customWidth="1"/>
    <col min="1620" max="1620" width="7.5703125" style="711" customWidth="1"/>
    <col min="1621" max="1621" width="6.42578125" style="711" customWidth="1"/>
    <col min="1622" max="1622" width="5.42578125" style="711" customWidth="1"/>
    <col min="1623" max="1623" width="5.140625" style="711" customWidth="1"/>
    <col min="1624" max="1624" width="5.7109375" style="711" customWidth="1"/>
    <col min="1625" max="1625" width="5.42578125" style="711" customWidth="1"/>
    <col min="1626" max="1626" width="4.5703125" style="711" customWidth="1"/>
    <col min="1627" max="1627" width="5.42578125" style="711" customWidth="1"/>
    <col min="1628" max="1630" width="5.85546875" style="711" customWidth="1"/>
    <col min="1631" max="1631" width="4.42578125" style="711" customWidth="1"/>
    <col min="1632" max="1646" width="0" style="711" hidden="1" customWidth="1"/>
    <col min="1647" max="1647" width="9.140625" style="711" customWidth="1"/>
    <col min="1648" max="1792" width="9.140625" style="711"/>
    <col min="1793" max="1793" width="3.140625" style="711" customWidth="1"/>
    <col min="1794" max="1794" width="12.28515625" style="711" customWidth="1"/>
    <col min="1795" max="1795" width="34.85546875" style="711" customWidth="1"/>
    <col min="1796" max="1796" width="8.42578125" style="711" customWidth="1"/>
    <col min="1797" max="1797" width="8.28515625" style="711" customWidth="1"/>
    <col min="1798" max="1798" width="9.42578125" style="711" customWidth="1"/>
    <col min="1799" max="1799" width="8.28515625" style="711" customWidth="1"/>
    <col min="1800" max="1802" width="6.42578125" style="711" customWidth="1"/>
    <col min="1803" max="1803" width="7.140625" style="711" customWidth="1"/>
    <col min="1804" max="1804" width="4.5703125" style="711" customWidth="1"/>
    <col min="1805" max="1805" width="6.7109375" style="711" customWidth="1"/>
    <col min="1806" max="1806" width="6.85546875" style="711" customWidth="1"/>
    <col min="1807" max="1807" width="6.28515625" style="711" customWidth="1"/>
    <col min="1808" max="1808" width="4" style="711" customWidth="1"/>
    <col min="1809" max="1809" width="7.28515625" style="711" customWidth="1"/>
    <col min="1810" max="1810" width="7.5703125" style="711" customWidth="1"/>
    <col min="1811" max="1811" width="6" style="711" customWidth="1"/>
    <col min="1812" max="1812" width="4.7109375" style="711" customWidth="1"/>
    <col min="1813" max="1813" width="5.42578125" style="711" customWidth="1"/>
    <col min="1814" max="1814" width="5.7109375" style="711" customWidth="1"/>
    <col min="1815" max="1815" width="5.85546875" style="711" customWidth="1"/>
    <col min="1816" max="1816" width="5.7109375" style="711" customWidth="1"/>
    <col min="1817" max="1827" width="0" style="711" hidden="1" customWidth="1"/>
    <col min="1828" max="1828" width="5.85546875" style="711" customWidth="1"/>
    <col min="1829" max="1829" width="5.7109375" style="711" customWidth="1"/>
    <col min="1830" max="1830" width="5" style="711" customWidth="1"/>
    <col min="1831" max="1831" width="4.140625" style="711" customWidth="1"/>
    <col min="1832" max="1832" width="5.85546875" style="711" customWidth="1"/>
    <col min="1833" max="1833" width="5.7109375" style="711" customWidth="1"/>
    <col min="1834" max="1834" width="4.7109375" style="711" customWidth="1"/>
    <col min="1835" max="1835" width="4.42578125" style="711" customWidth="1"/>
    <col min="1836" max="1839" width="0" style="711" hidden="1" customWidth="1"/>
    <col min="1840" max="1840" width="5.85546875" style="711" customWidth="1"/>
    <col min="1841" max="1841" width="5.42578125" style="711" customWidth="1"/>
    <col min="1842" max="1842" width="5.28515625" style="711" customWidth="1"/>
    <col min="1843" max="1843" width="4.85546875" style="711" customWidth="1"/>
    <col min="1844" max="1855" width="0" style="711" hidden="1" customWidth="1"/>
    <col min="1856" max="1856" width="5.85546875" style="711" customWidth="1"/>
    <col min="1857" max="1857" width="5.42578125" style="711" customWidth="1"/>
    <col min="1858" max="1858" width="5.140625" style="711" customWidth="1"/>
    <col min="1859" max="1859" width="4.140625" style="711" customWidth="1"/>
    <col min="1860" max="1860" width="6.140625" style="711" customWidth="1"/>
    <col min="1861" max="1862" width="5.5703125" style="711" customWidth="1"/>
    <col min="1863" max="1863" width="4.42578125" style="711" customWidth="1"/>
    <col min="1864" max="1875" width="0" style="711" hidden="1" customWidth="1"/>
    <col min="1876" max="1876" width="7.5703125" style="711" customWidth="1"/>
    <col min="1877" max="1877" width="6.42578125" style="711" customWidth="1"/>
    <col min="1878" max="1878" width="5.42578125" style="711" customWidth="1"/>
    <col min="1879" max="1879" width="5.140625" style="711" customWidth="1"/>
    <col min="1880" max="1880" width="5.7109375" style="711" customWidth="1"/>
    <col min="1881" max="1881" width="5.42578125" style="711" customWidth="1"/>
    <col min="1882" max="1882" width="4.5703125" style="711" customWidth="1"/>
    <col min="1883" max="1883" width="5.42578125" style="711" customWidth="1"/>
    <col min="1884" max="1886" width="5.85546875" style="711" customWidth="1"/>
    <col min="1887" max="1887" width="4.42578125" style="711" customWidth="1"/>
    <col min="1888" max="1902" width="0" style="711" hidden="1" customWidth="1"/>
    <col min="1903" max="1903" width="9.140625" style="711" customWidth="1"/>
    <col min="1904" max="2048" width="9.140625" style="711"/>
    <col min="2049" max="2049" width="3.140625" style="711" customWidth="1"/>
    <col min="2050" max="2050" width="12.28515625" style="711" customWidth="1"/>
    <col min="2051" max="2051" width="34.85546875" style="711" customWidth="1"/>
    <col min="2052" max="2052" width="8.42578125" style="711" customWidth="1"/>
    <col min="2053" max="2053" width="8.28515625" style="711" customWidth="1"/>
    <col min="2054" max="2054" width="9.42578125" style="711" customWidth="1"/>
    <col min="2055" max="2055" width="8.28515625" style="711" customWidth="1"/>
    <col min="2056" max="2058" width="6.42578125" style="711" customWidth="1"/>
    <col min="2059" max="2059" width="7.140625" style="711" customWidth="1"/>
    <col min="2060" max="2060" width="4.5703125" style="711" customWidth="1"/>
    <col min="2061" max="2061" width="6.7109375" style="711" customWidth="1"/>
    <col min="2062" max="2062" width="6.85546875" style="711" customWidth="1"/>
    <col min="2063" max="2063" width="6.28515625" style="711" customWidth="1"/>
    <col min="2064" max="2064" width="4" style="711" customWidth="1"/>
    <col min="2065" max="2065" width="7.28515625" style="711" customWidth="1"/>
    <col min="2066" max="2066" width="7.5703125" style="711" customWidth="1"/>
    <col min="2067" max="2067" width="6" style="711" customWidth="1"/>
    <col min="2068" max="2068" width="4.7109375" style="711" customWidth="1"/>
    <col min="2069" max="2069" width="5.42578125" style="711" customWidth="1"/>
    <col min="2070" max="2070" width="5.7109375" style="711" customWidth="1"/>
    <col min="2071" max="2071" width="5.85546875" style="711" customWidth="1"/>
    <col min="2072" max="2072" width="5.7109375" style="711" customWidth="1"/>
    <col min="2073" max="2083" width="0" style="711" hidden="1" customWidth="1"/>
    <col min="2084" max="2084" width="5.85546875" style="711" customWidth="1"/>
    <col min="2085" max="2085" width="5.7109375" style="711" customWidth="1"/>
    <col min="2086" max="2086" width="5" style="711" customWidth="1"/>
    <col min="2087" max="2087" width="4.140625" style="711" customWidth="1"/>
    <col min="2088" max="2088" width="5.85546875" style="711" customWidth="1"/>
    <col min="2089" max="2089" width="5.7109375" style="711" customWidth="1"/>
    <col min="2090" max="2090" width="4.7109375" style="711" customWidth="1"/>
    <col min="2091" max="2091" width="4.42578125" style="711" customWidth="1"/>
    <col min="2092" max="2095" width="0" style="711" hidden="1" customWidth="1"/>
    <col min="2096" max="2096" width="5.85546875" style="711" customWidth="1"/>
    <col min="2097" max="2097" width="5.42578125" style="711" customWidth="1"/>
    <col min="2098" max="2098" width="5.28515625" style="711" customWidth="1"/>
    <col min="2099" max="2099" width="4.85546875" style="711" customWidth="1"/>
    <col min="2100" max="2111" width="0" style="711" hidden="1" customWidth="1"/>
    <col min="2112" max="2112" width="5.85546875" style="711" customWidth="1"/>
    <col min="2113" max="2113" width="5.42578125" style="711" customWidth="1"/>
    <col min="2114" max="2114" width="5.140625" style="711" customWidth="1"/>
    <col min="2115" max="2115" width="4.140625" style="711" customWidth="1"/>
    <col min="2116" max="2116" width="6.140625" style="711" customWidth="1"/>
    <col min="2117" max="2118" width="5.5703125" style="711" customWidth="1"/>
    <col min="2119" max="2119" width="4.42578125" style="711" customWidth="1"/>
    <col min="2120" max="2131" width="0" style="711" hidden="1" customWidth="1"/>
    <col min="2132" max="2132" width="7.5703125" style="711" customWidth="1"/>
    <col min="2133" max="2133" width="6.42578125" style="711" customWidth="1"/>
    <col min="2134" max="2134" width="5.42578125" style="711" customWidth="1"/>
    <col min="2135" max="2135" width="5.140625" style="711" customWidth="1"/>
    <col min="2136" max="2136" width="5.7109375" style="711" customWidth="1"/>
    <col min="2137" max="2137" width="5.42578125" style="711" customWidth="1"/>
    <col min="2138" max="2138" width="4.5703125" style="711" customWidth="1"/>
    <col min="2139" max="2139" width="5.42578125" style="711" customWidth="1"/>
    <col min="2140" max="2142" width="5.85546875" style="711" customWidth="1"/>
    <col min="2143" max="2143" width="4.42578125" style="711" customWidth="1"/>
    <col min="2144" max="2158" width="0" style="711" hidden="1" customWidth="1"/>
    <col min="2159" max="2159" width="9.140625" style="711" customWidth="1"/>
    <col min="2160" max="2304" width="9.140625" style="711"/>
    <col min="2305" max="2305" width="3.140625" style="711" customWidth="1"/>
    <col min="2306" max="2306" width="12.28515625" style="711" customWidth="1"/>
    <col min="2307" max="2307" width="34.85546875" style="711" customWidth="1"/>
    <col min="2308" max="2308" width="8.42578125" style="711" customWidth="1"/>
    <col min="2309" max="2309" width="8.28515625" style="711" customWidth="1"/>
    <col min="2310" max="2310" width="9.42578125" style="711" customWidth="1"/>
    <col min="2311" max="2311" width="8.28515625" style="711" customWidth="1"/>
    <col min="2312" max="2314" width="6.42578125" style="711" customWidth="1"/>
    <col min="2315" max="2315" width="7.140625" style="711" customWidth="1"/>
    <col min="2316" max="2316" width="4.5703125" style="711" customWidth="1"/>
    <col min="2317" max="2317" width="6.7109375" style="711" customWidth="1"/>
    <col min="2318" max="2318" width="6.85546875" style="711" customWidth="1"/>
    <col min="2319" max="2319" width="6.28515625" style="711" customWidth="1"/>
    <col min="2320" max="2320" width="4" style="711" customWidth="1"/>
    <col min="2321" max="2321" width="7.28515625" style="711" customWidth="1"/>
    <col min="2322" max="2322" width="7.5703125" style="711" customWidth="1"/>
    <col min="2323" max="2323" width="6" style="711" customWidth="1"/>
    <col min="2324" max="2324" width="4.7109375" style="711" customWidth="1"/>
    <col min="2325" max="2325" width="5.42578125" style="711" customWidth="1"/>
    <col min="2326" max="2326" width="5.7109375" style="711" customWidth="1"/>
    <col min="2327" max="2327" width="5.85546875" style="711" customWidth="1"/>
    <col min="2328" max="2328" width="5.7109375" style="711" customWidth="1"/>
    <col min="2329" max="2339" width="0" style="711" hidden="1" customWidth="1"/>
    <col min="2340" max="2340" width="5.85546875" style="711" customWidth="1"/>
    <col min="2341" max="2341" width="5.7109375" style="711" customWidth="1"/>
    <col min="2342" max="2342" width="5" style="711" customWidth="1"/>
    <col min="2343" max="2343" width="4.140625" style="711" customWidth="1"/>
    <col min="2344" max="2344" width="5.85546875" style="711" customWidth="1"/>
    <col min="2345" max="2345" width="5.7109375" style="711" customWidth="1"/>
    <col min="2346" max="2346" width="4.7109375" style="711" customWidth="1"/>
    <col min="2347" max="2347" width="4.42578125" style="711" customWidth="1"/>
    <col min="2348" max="2351" width="0" style="711" hidden="1" customWidth="1"/>
    <col min="2352" max="2352" width="5.85546875" style="711" customWidth="1"/>
    <col min="2353" max="2353" width="5.42578125" style="711" customWidth="1"/>
    <col min="2354" max="2354" width="5.28515625" style="711" customWidth="1"/>
    <col min="2355" max="2355" width="4.85546875" style="711" customWidth="1"/>
    <col min="2356" max="2367" width="0" style="711" hidden="1" customWidth="1"/>
    <col min="2368" max="2368" width="5.85546875" style="711" customWidth="1"/>
    <col min="2369" max="2369" width="5.42578125" style="711" customWidth="1"/>
    <col min="2370" max="2370" width="5.140625" style="711" customWidth="1"/>
    <col min="2371" max="2371" width="4.140625" style="711" customWidth="1"/>
    <col min="2372" max="2372" width="6.140625" style="711" customWidth="1"/>
    <col min="2373" max="2374" width="5.5703125" style="711" customWidth="1"/>
    <col min="2375" max="2375" width="4.42578125" style="711" customWidth="1"/>
    <col min="2376" max="2387" width="0" style="711" hidden="1" customWidth="1"/>
    <col min="2388" max="2388" width="7.5703125" style="711" customWidth="1"/>
    <col min="2389" max="2389" width="6.42578125" style="711" customWidth="1"/>
    <col min="2390" max="2390" width="5.42578125" style="711" customWidth="1"/>
    <col min="2391" max="2391" width="5.140625" style="711" customWidth="1"/>
    <col min="2392" max="2392" width="5.7109375" style="711" customWidth="1"/>
    <col min="2393" max="2393" width="5.42578125" style="711" customWidth="1"/>
    <col min="2394" max="2394" width="4.5703125" style="711" customWidth="1"/>
    <col min="2395" max="2395" width="5.42578125" style="711" customWidth="1"/>
    <col min="2396" max="2398" width="5.85546875" style="711" customWidth="1"/>
    <col min="2399" max="2399" width="4.42578125" style="711" customWidth="1"/>
    <col min="2400" max="2414" width="0" style="711" hidden="1" customWidth="1"/>
    <col min="2415" max="2415" width="9.140625" style="711" customWidth="1"/>
    <col min="2416" max="2560" width="9.140625" style="711"/>
    <col min="2561" max="2561" width="3.140625" style="711" customWidth="1"/>
    <col min="2562" max="2562" width="12.28515625" style="711" customWidth="1"/>
    <col min="2563" max="2563" width="34.85546875" style="711" customWidth="1"/>
    <col min="2564" max="2564" width="8.42578125" style="711" customWidth="1"/>
    <col min="2565" max="2565" width="8.28515625" style="711" customWidth="1"/>
    <col min="2566" max="2566" width="9.42578125" style="711" customWidth="1"/>
    <col min="2567" max="2567" width="8.28515625" style="711" customWidth="1"/>
    <col min="2568" max="2570" width="6.42578125" style="711" customWidth="1"/>
    <col min="2571" max="2571" width="7.140625" style="711" customWidth="1"/>
    <col min="2572" max="2572" width="4.5703125" style="711" customWidth="1"/>
    <col min="2573" max="2573" width="6.7109375" style="711" customWidth="1"/>
    <col min="2574" max="2574" width="6.85546875" style="711" customWidth="1"/>
    <col min="2575" max="2575" width="6.28515625" style="711" customWidth="1"/>
    <col min="2576" max="2576" width="4" style="711" customWidth="1"/>
    <col min="2577" max="2577" width="7.28515625" style="711" customWidth="1"/>
    <col min="2578" max="2578" width="7.5703125" style="711" customWidth="1"/>
    <col min="2579" max="2579" width="6" style="711" customWidth="1"/>
    <col min="2580" max="2580" width="4.7109375" style="711" customWidth="1"/>
    <col min="2581" max="2581" width="5.42578125" style="711" customWidth="1"/>
    <col min="2582" max="2582" width="5.7109375" style="711" customWidth="1"/>
    <col min="2583" max="2583" width="5.85546875" style="711" customWidth="1"/>
    <col min="2584" max="2584" width="5.7109375" style="711" customWidth="1"/>
    <col min="2585" max="2595" width="0" style="711" hidden="1" customWidth="1"/>
    <col min="2596" max="2596" width="5.85546875" style="711" customWidth="1"/>
    <col min="2597" max="2597" width="5.7109375" style="711" customWidth="1"/>
    <col min="2598" max="2598" width="5" style="711" customWidth="1"/>
    <col min="2599" max="2599" width="4.140625" style="711" customWidth="1"/>
    <col min="2600" max="2600" width="5.85546875" style="711" customWidth="1"/>
    <col min="2601" max="2601" width="5.7109375" style="711" customWidth="1"/>
    <col min="2602" max="2602" width="4.7109375" style="711" customWidth="1"/>
    <col min="2603" max="2603" width="4.42578125" style="711" customWidth="1"/>
    <col min="2604" max="2607" width="0" style="711" hidden="1" customWidth="1"/>
    <col min="2608" max="2608" width="5.85546875" style="711" customWidth="1"/>
    <col min="2609" max="2609" width="5.42578125" style="711" customWidth="1"/>
    <col min="2610" max="2610" width="5.28515625" style="711" customWidth="1"/>
    <col min="2611" max="2611" width="4.85546875" style="711" customWidth="1"/>
    <col min="2612" max="2623" width="0" style="711" hidden="1" customWidth="1"/>
    <col min="2624" max="2624" width="5.85546875" style="711" customWidth="1"/>
    <col min="2625" max="2625" width="5.42578125" style="711" customWidth="1"/>
    <col min="2626" max="2626" width="5.140625" style="711" customWidth="1"/>
    <col min="2627" max="2627" width="4.140625" style="711" customWidth="1"/>
    <col min="2628" max="2628" width="6.140625" style="711" customWidth="1"/>
    <col min="2629" max="2630" width="5.5703125" style="711" customWidth="1"/>
    <col min="2631" max="2631" width="4.42578125" style="711" customWidth="1"/>
    <col min="2632" max="2643" width="0" style="711" hidden="1" customWidth="1"/>
    <col min="2644" max="2644" width="7.5703125" style="711" customWidth="1"/>
    <col min="2645" max="2645" width="6.42578125" style="711" customWidth="1"/>
    <col min="2646" max="2646" width="5.42578125" style="711" customWidth="1"/>
    <col min="2647" max="2647" width="5.140625" style="711" customWidth="1"/>
    <col min="2648" max="2648" width="5.7109375" style="711" customWidth="1"/>
    <col min="2649" max="2649" width="5.42578125" style="711" customWidth="1"/>
    <col min="2650" max="2650" width="4.5703125" style="711" customWidth="1"/>
    <col min="2651" max="2651" width="5.42578125" style="711" customWidth="1"/>
    <col min="2652" max="2654" width="5.85546875" style="711" customWidth="1"/>
    <col min="2655" max="2655" width="4.42578125" style="711" customWidth="1"/>
    <col min="2656" max="2670" width="0" style="711" hidden="1" customWidth="1"/>
    <col min="2671" max="2671" width="9.140625" style="711" customWidth="1"/>
    <col min="2672" max="2816" width="9.140625" style="711"/>
    <col min="2817" max="2817" width="3.140625" style="711" customWidth="1"/>
    <col min="2818" max="2818" width="12.28515625" style="711" customWidth="1"/>
    <col min="2819" max="2819" width="34.85546875" style="711" customWidth="1"/>
    <col min="2820" max="2820" width="8.42578125" style="711" customWidth="1"/>
    <col min="2821" max="2821" width="8.28515625" style="711" customWidth="1"/>
    <col min="2822" max="2822" width="9.42578125" style="711" customWidth="1"/>
    <col min="2823" max="2823" width="8.28515625" style="711" customWidth="1"/>
    <col min="2824" max="2826" width="6.42578125" style="711" customWidth="1"/>
    <col min="2827" max="2827" width="7.140625" style="711" customWidth="1"/>
    <col min="2828" max="2828" width="4.5703125" style="711" customWidth="1"/>
    <col min="2829" max="2829" width="6.7109375" style="711" customWidth="1"/>
    <col min="2830" max="2830" width="6.85546875" style="711" customWidth="1"/>
    <col min="2831" max="2831" width="6.28515625" style="711" customWidth="1"/>
    <col min="2832" max="2832" width="4" style="711" customWidth="1"/>
    <col min="2833" max="2833" width="7.28515625" style="711" customWidth="1"/>
    <col min="2834" max="2834" width="7.5703125" style="711" customWidth="1"/>
    <col min="2835" max="2835" width="6" style="711" customWidth="1"/>
    <col min="2836" max="2836" width="4.7109375" style="711" customWidth="1"/>
    <col min="2837" max="2837" width="5.42578125" style="711" customWidth="1"/>
    <col min="2838" max="2838" width="5.7109375" style="711" customWidth="1"/>
    <col min="2839" max="2839" width="5.85546875" style="711" customWidth="1"/>
    <col min="2840" max="2840" width="5.7109375" style="711" customWidth="1"/>
    <col min="2841" max="2851" width="0" style="711" hidden="1" customWidth="1"/>
    <col min="2852" max="2852" width="5.85546875" style="711" customWidth="1"/>
    <col min="2853" max="2853" width="5.7109375" style="711" customWidth="1"/>
    <col min="2854" max="2854" width="5" style="711" customWidth="1"/>
    <col min="2855" max="2855" width="4.140625" style="711" customWidth="1"/>
    <col min="2856" max="2856" width="5.85546875" style="711" customWidth="1"/>
    <col min="2857" max="2857" width="5.7109375" style="711" customWidth="1"/>
    <col min="2858" max="2858" width="4.7109375" style="711" customWidth="1"/>
    <col min="2859" max="2859" width="4.42578125" style="711" customWidth="1"/>
    <col min="2860" max="2863" width="0" style="711" hidden="1" customWidth="1"/>
    <col min="2864" max="2864" width="5.85546875" style="711" customWidth="1"/>
    <col min="2865" max="2865" width="5.42578125" style="711" customWidth="1"/>
    <col min="2866" max="2866" width="5.28515625" style="711" customWidth="1"/>
    <col min="2867" max="2867" width="4.85546875" style="711" customWidth="1"/>
    <col min="2868" max="2879" width="0" style="711" hidden="1" customWidth="1"/>
    <col min="2880" max="2880" width="5.85546875" style="711" customWidth="1"/>
    <col min="2881" max="2881" width="5.42578125" style="711" customWidth="1"/>
    <col min="2882" max="2882" width="5.140625" style="711" customWidth="1"/>
    <col min="2883" max="2883" width="4.140625" style="711" customWidth="1"/>
    <col min="2884" max="2884" width="6.140625" style="711" customWidth="1"/>
    <col min="2885" max="2886" width="5.5703125" style="711" customWidth="1"/>
    <col min="2887" max="2887" width="4.42578125" style="711" customWidth="1"/>
    <col min="2888" max="2899" width="0" style="711" hidden="1" customWidth="1"/>
    <col min="2900" max="2900" width="7.5703125" style="711" customWidth="1"/>
    <col min="2901" max="2901" width="6.42578125" style="711" customWidth="1"/>
    <col min="2902" max="2902" width="5.42578125" style="711" customWidth="1"/>
    <col min="2903" max="2903" width="5.140625" style="711" customWidth="1"/>
    <col min="2904" max="2904" width="5.7109375" style="711" customWidth="1"/>
    <col min="2905" max="2905" width="5.42578125" style="711" customWidth="1"/>
    <col min="2906" max="2906" width="4.5703125" style="711" customWidth="1"/>
    <col min="2907" max="2907" width="5.42578125" style="711" customWidth="1"/>
    <col min="2908" max="2910" width="5.85546875" style="711" customWidth="1"/>
    <col min="2911" max="2911" width="4.42578125" style="711" customWidth="1"/>
    <col min="2912" max="2926" width="0" style="711" hidden="1" customWidth="1"/>
    <col min="2927" max="2927" width="9.140625" style="711" customWidth="1"/>
    <col min="2928" max="3072" width="9.140625" style="711"/>
    <col min="3073" max="3073" width="3.140625" style="711" customWidth="1"/>
    <col min="3074" max="3074" width="12.28515625" style="711" customWidth="1"/>
    <col min="3075" max="3075" width="34.85546875" style="711" customWidth="1"/>
    <col min="3076" max="3076" width="8.42578125" style="711" customWidth="1"/>
    <col min="3077" max="3077" width="8.28515625" style="711" customWidth="1"/>
    <col min="3078" max="3078" width="9.42578125" style="711" customWidth="1"/>
    <col min="3079" max="3079" width="8.28515625" style="711" customWidth="1"/>
    <col min="3080" max="3082" width="6.42578125" style="711" customWidth="1"/>
    <col min="3083" max="3083" width="7.140625" style="711" customWidth="1"/>
    <col min="3084" max="3084" width="4.5703125" style="711" customWidth="1"/>
    <col min="3085" max="3085" width="6.7109375" style="711" customWidth="1"/>
    <col min="3086" max="3086" width="6.85546875" style="711" customWidth="1"/>
    <col min="3087" max="3087" width="6.28515625" style="711" customWidth="1"/>
    <col min="3088" max="3088" width="4" style="711" customWidth="1"/>
    <col min="3089" max="3089" width="7.28515625" style="711" customWidth="1"/>
    <col min="3090" max="3090" width="7.5703125" style="711" customWidth="1"/>
    <col min="3091" max="3091" width="6" style="711" customWidth="1"/>
    <col min="3092" max="3092" width="4.7109375" style="711" customWidth="1"/>
    <col min="3093" max="3093" width="5.42578125" style="711" customWidth="1"/>
    <col min="3094" max="3094" width="5.7109375" style="711" customWidth="1"/>
    <col min="3095" max="3095" width="5.85546875" style="711" customWidth="1"/>
    <col min="3096" max="3096" width="5.7109375" style="711" customWidth="1"/>
    <col min="3097" max="3107" width="0" style="711" hidden="1" customWidth="1"/>
    <col min="3108" max="3108" width="5.85546875" style="711" customWidth="1"/>
    <col min="3109" max="3109" width="5.7109375" style="711" customWidth="1"/>
    <col min="3110" max="3110" width="5" style="711" customWidth="1"/>
    <col min="3111" max="3111" width="4.140625" style="711" customWidth="1"/>
    <col min="3112" max="3112" width="5.85546875" style="711" customWidth="1"/>
    <col min="3113" max="3113" width="5.7109375" style="711" customWidth="1"/>
    <col min="3114" max="3114" width="4.7109375" style="711" customWidth="1"/>
    <col min="3115" max="3115" width="4.42578125" style="711" customWidth="1"/>
    <col min="3116" max="3119" width="0" style="711" hidden="1" customWidth="1"/>
    <col min="3120" max="3120" width="5.85546875" style="711" customWidth="1"/>
    <col min="3121" max="3121" width="5.42578125" style="711" customWidth="1"/>
    <col min="3122" max="3122" width="5.28515625" style="711" customWidth="1"/>
    <col min="3123" max="3123" width="4.85546875" style="711" customWidth="1"/>
    <col min="3124" max="3135" width="0" style="711" hidden="1" customWidth="1"/>
    <col min="3136" max="3136" width="5.85546875" style="711" customWidth="1"/>
    <col min="3137" max="3137" width="5.42578125" style="711" customWidth="1"/>
    <col min="3138" max="3138" width="5.140625" style="711" customWidth="1"/>
    <col min="3139" max="3139" width="4.140625" style="711" customWidth="1"/>
    <col min="3140" max="3140" width="6.140625" style="711" customWidth="1"/>
    <col min="3141" max="3142" width="5.5703125" style="711" customWidth="1"/>
    <col min="3143" max="3143" width="4.42578125" style="711" customWidth="1"/>
    <col min="3144" max="3155" width="0" style="711" hidden="1" customWidth="1"/>
    <col min="3156" max="3156" width="7.5703125" style="711" customWidth="1"/>
    <col min="3157" max="3157" width="6.42578125" style="711" customWidth="1"/>
    <col min="3158" max="3158" width="5.42578125" style="711" customWidth="1"/>
    <col min="3159" max="3159" width="5.140625" style="711" customWidth="1"/>
    <col min="3160" max="3160" width="5.7109375" style="711" customWidth="1"/>
    <col min="3161" max="3161" width="5.42578125" style="711" customWidth="1"/>
    <col min="3162" max="3162" width="4.5703125" style="711" customWidth="1"/>
    <col min="3163" max="3163" width="5.42578125" style="711" customWidth="1"/>
    <col min="3164" max="3166" width="5.85546875" style="711" customWidth="1"/>
    <col min="3167" max="3167" width="4.42578125" style="711" customWidth="1"/>
    <col min="3168" max="3182" width="0" style="711" hidden="1" customWidth="1"/>
    <col min="3183" max="3183" width="9.140625" style="711" customWidth="1"/>
    <col min="3184" max="3328" width="9.140625" style="711"/>
    <col min="3329" max="3329" width="3.140625" style="711" customWidth="1"/>
    <col min="3330" max="3330" width="12.28515625" style="711" customWidth="1"/>
    <col min="3331" max="3331" width="34.85546875" style="711" customWidth="1"/>
    <col min="3332" max="3332" width="8.42578125" style="711" customWidth="1"/>
    <col min="3333" max="3333" width="8.28515625" style="711" customWidth="1"/>
    <col min="3334" max="3334" width="9.42578125" style="711" customWidth="1"/>
    <col min="3335" max="3335" width="8.28515625" style="711" customWidth="1"/>
    <col min="3336" max="3338" width="6.42578125" style="711" customWidth="1"/>
    <col min="3339" max="3339" width="7.140625" style="711" customWidth="1"/>
    <col min="3340" max="3340" width="4.5703125" style="711" customWidth="1"/>
    <col min="3341" max="3341" width="6.7109375" style="711" customWidth="1"/>
    <col min="3342" max="3342" width="6.85546875" style="711" customWidth="1"/>
    <col min="3343" max="3343" width="6.28515625" style="711" customWidth="1"/>
    <col min="3344" max="3344" width="4" style="711" customWidth="1"/>
    <col min="3345" max="3345" width="7.28515625" style="711" customWidth="1"/>
    <col min="3346" max="3346" width="7.5703125" style="711" customWidth="1"/>
    <col min="3347" max="3347" width="6" style="711" customWidth="1"/>
    <col min="3348" max="3348" width="4.7109375" style="711" customWidth="1"/>
    <col min="3349" max="3349" width="5.42578125" style="711" customWidth="1"/>
    <col min="3350" max="3350" width="5.7109375" style="711" customWidth="1"/>
    <col min="3351" max="3351" width="5.85546875" style="711" customWidth="1"/>
    <col min="3352" max="3352" width="5.7109375" style="711" customWidth="1"/>
    <col min="3353" max="3363" width="0" style="711" hidden="1" customWidth="1"/>
    <col min="3364" max="3364" width="5.85546875" style="711" customWidth="1"/>
    <col min="3365" max="3365" width="5.7109375" style="711" customWidth="1"/>
    <col min="3366" max="3366" width="5" style="711" customWidth="1"/>
    <col min="3367" max="3367" width="4.140625" style="711" customWidth="1"/>
    <col min="3368" max="3368" width="5.85546875" style="711" customWidth="1"/>
    <col min="3369" max="3369" width="5.7109375" style="711" customWidth="1"/>
    <col min="3370" max="3370" width="4.7109375" style="711" customWidth="1"/>
    <col min="3371" max="3371" width="4.42578125" style="711" customWidth="1"/>
    <col min="3372" max="3375" width="0" style="711" hidden="1" customWidth="1"/>
    <col min="3376" max="3376" width="5.85546875" style="711" customWidth="1"/>
    <col min="3377" max="3377" width="5.42578125" style="711" customWidth="1"/>
    <col min="3378" max="3378" width="5.28515625" style="711" customWidth="1"/>
    <col min="3379" max="3379" width="4.85546875" style="711" customWidth="1"/>
    <col min="3380" max="3391" width="0" style="711" hidden="1" customWidth="1"/>
    <col min="3392" max="3392" width="5.85546875" style="711" customWidth="1"/>
    <col min="3393" max="3393" width="5.42578125" style="711" customWidth="1"/>
    <col min="3394" max="3394" width="5.140625" style="711" customWidth="1"/>
    <col min="3395" max="3395" width="4.140625" style="711" customWidth="1"/>
    <col min="3396" max="3396" width="6.140625" style="711" customWidth="1"/>
    <col min="3397" max="3398" width="5.5703125" style="711" customWidth="1"/>
    <col min="3399" max="3399" width="4.42578125" style="711" customWidth="1"/>
    <col min="3400" max="3411" width="0" style="711" hidden="1" customWidth="1"/>
    <col min="3412" max="3412" width="7.5703125" style="711" customWidth="1"/>
    <col min="3413" max="3413" width="6.42578125" style="711" customWidth="1"/>
    <col min="3414" max="3414" width="5.42578125" style="711" customWidth="1"/>
    <col min="3415" max="3415" width="5.140625" style="711" customWidth="1"/>
    <col min="3416" max="3416" width="5.7109375" style="711" customWidth="1"/>
    <col min="3417" max="3417" width="5.42578125" style="711" customWidth="1"/>
    <col min="3418" max="3418" width="4.5703125" style="711" customWidth="1"/>
    <col min="3419" max="3419" width="5.42578125" style="711" customWidth="1"/>
    <col min="3420" max="3422" width="5.85546875" style="711" customWidth="1"/>
    <col min="3423" max="3423" width="4.42578125" style="711" customWidth="1"/>
    <col min="3424" max="3438" width="0" style="711" hidden="1" customWidth="1"/>
    <col min="3439" max="3439" width="9.140625" style="711" customWidth="1"/>
    <col min="3440" max="3584" width="9.140625" style="711"/>
    <col min="3585" max="3585" width="3.140625" style="711" customWidth="1"/>
    <col min="3586" max="3586" width="12.28515625" style="711" customWidth="1"/>
    <col min="3587" max="3587" width="34.85546875" style="711" customWidth="1"/>
    <col min="3588" max="3588" width="8.42578125" style="711" customWidth="1"/>
    <col min="3589" max="3589" width="8.28515625" style="711" customWidth="1"/>
    <col min="3590" max="3590" width="9.42578125" style="711" customWidth="1"/>
    <col min="3591" max="3591" width="8.28515625" style="711" customWidth="1"/>
    <col min="3592" max="3594" width="6.42578125" style="711" customWidth="1"/>
    <col min="3595" max="3595" width="7.140625" style="711" customWidth="1"/>
    <col min="3596" max="3596" width="4.5703125" style="711" customWidth="1"/>
    <col min="3597" max="3597" width="6.7109375" style="711" customWidth="1"/>
    <col min="3598" max="3598" width="6.85546875" style="711" customWidth="1"/>
    <col min="3599" max="3599" width="6.28515625" style="711" customWidth="1"/>
    <col min="3600" max="3600" width="4" style="711" customWidth="1"/>
    <col min="3601" max="3601" width="7.28515625" style="711" customWidth="1"/>
    <col min="3602" max="3602" width="7.5703125" style="711" customWidth="1"/>
    <col min="3603" max="3603" width="6" style="711" customWidth="1"/>
    <col min="3604" max="3604" width="4.7109375" style="711" customWidth="1"/>
    <col min="3605" max="3605" width="5.42578125" style="711" customWidth="1"/>
    <col min="3606" max="3606" width="5.7109375" style="711" customWidth="1"/>
    <col min="3607" max="3607" width="5.85546875" style="711" customWidth="1"/>
    <col min="3608" max="3608" width="5.7109375" style="711" customWidth="1"/>
    <col min="3609" max="3619" width="0" style="711" hidden="1" customWidth="1"/>
    <col min="3620" max="3620" width="5.85546875" style="711" customWidth="1"/>
    <col min="3621" max="3621" width="5.7109375" style="711" customWidth="1"/>
    <col min="3622" max="3622" width="5" style="711" customWidth="1"/>
    <col min="3623" max="3623" width="4.140625" style="711" customWidth="1"/>
    <col min="3624" max="3624" width="5.85546875" style="711" customWidth="1"/>
    <col min="3625" max="3625" width="5.7109375" style="711" customWidth="1"/>
    <col min="3626" max="3626" width="4.7109375" style="711" customWidth="1"/>
    <col min="3627" max="3627" width="4.42578125" style="711" customWidth="1"/>
    <col min="3628" max="3631" width="0" style="711" hidden="1" customWidth="1"/>
    <col min="3632" max="3632" width="5.85546875" style="711" customWidth="1"/>
    <col min="3633" max="3633" width="5.42578125" style="711" customWidth="1"/>
    <col min="3634" max="3634" width="5.28515625" style="711" customWidth="1"/>
    <col min="3635" max="3635" width="4.85546875" style="711" customWidth="1"/>
    <col min="3636" max="3647" width="0" style="711" hidden="1" customWidth="1"/>
    <col min="3648" max="3648" width="5.85546875" style="711" customWidth="1"/>
    <col min="3649" max="3649" width="5.42578125" style="711" customWidth="1"/>
    <col min="3650" max="3650" width="5.140625" style="711" customWidth="1"/>
    <col min="3651" max="3651" width="4.140625" style="711" customWidth="1"/>
    <col min="3652" max="3652" width="6.140625" style="711" customWidth="1"/>
    <col min="3653" max="3654" width="5.5703125" style="711" customWidth="1"/>
    <col min="3655" max="3655" width="4.42578125" style="711" customWidth="1"/>
    <col min="3656" max="3667" width="0" style="711" hidden="1" customWidth="1"/>
    <col min="3668" max="3668" width="7.5703125" style="711" customWidth="1"/>
    <col min="3669" max="3669" width="6.42578125" style="711" customWidth="1"/>
    <col min="3670" max="3670" width="5.42578125" style="711" customWidth="1"/>
    <col min="3671" max="3671" width="5.140625" style="711" customWidth="1"/>
    <col min="3672" max="3672" width="5.7109375" style="711" customWidth="1"/>
    <col min="3673" max="3673" width="5.42578125" style="711" customWidth="1"/>
    <col min="3674" max="3674" width="4.5703125" style="711" customWidth="1"/>
    <col min="3675" max="3675" width="5.42578125" style="711" customWidth="1"/>
    <col min="3676" max="3678" width="5.85546875" style="711" customWidth="1"/>
    <col min="3679" max="3679" width="4.42578125" style="711" customWidth="1"/>
    <col min="3680" max="3694" width="0" style="711" hidden="1" customWidth="1"/>
    <col min="3695" max="3695" width="9.140625" style="711" customWidth="1"/>
    <col min="3696" max="3840" width="9.140625" style="711"/>
    <col min="3841" max="3841" width="3.140625" style="711" customWidth="1"/>
    <col min="3842" max="3842" width="12.28515625" style="711" customWidth="1"/>
    <col min="3843" max="3843" width="34.85546875" style="711" customWidth="1"/>
    <col min="3844" max="3844" width="8.42578125" style="711" customWidth="1"/>
    <col min="3845" max="3845" width="8.28515625" style="711" customWidth="1"/>
    <col min="3846" max="3846" width="9.42578125" style="711" customWidth="1"/>
    <col min="3847" max="3847" width="8.28515625" style="711" customWidth="1"/>
    <col min="3848" max="3850" width="6.42578125" style="711" customWidth="1"/>
    <col min="3851" max="3851" width="7.140625" style="711" customWidth="1"/>
    <col min="3852" max="3852" width="4.5703125" style="711" customWidth="1"/>
    <col min="3853" max="3853" width="6.7109375" style="711" customWidth="1"/>
    <col min="3854" max="3854" width="6.85546875" style="711" customWidth="1"/>
    <col min="3855" max="3855" width="6.28515625" style="711" customWidth="1"/>
    <col min="3856" max="3856" width="4" style="711" customWidth="1"/>
    <col min="3857" max="3857" width="7.28515625" style="711" customWidth="1"/>
    <col min="3858" max="3858" width="7.5703125" style="711" customWidth="1"/>
    <col min="3859" max="3859" width="6" style="711" customWidth="1"/>
    <col min="3860" max="3860" width="4.7109375" style="711" customWidth="1"/>
    <col min="3861" max="3861" width="5.42578125" style="711" customWidth="1"/>
    <col min="3862" max="3862" width="5.7109375" style="711" customWidth="1"/>
    <col min="3863" max="3863" width="5.85546875" style="711" customWidth="1"/>
    <col min="3864" max="3864" width="5.7109375" style="711" customWidth="1"/>
    <col min="3865" max="3875" width="0" style="711" hidden="1" customWidth="1"/>
    <col min="3876" max="3876" width="5.85546875" style="711" customWidth="1"/>
    <col min="3877" max="3877" width="5.7109375" style="711" customWidth="1"/>
    <col min="3878" max="3878" width="5" style="711" customWidth="1"/>
    <col min="3879" max="3879" width="4.140625" style="711" customWidth="1"/>
    <col min="3880" max="3880" width="5.85546875" style="711" customWidth="1"/>
    <col min="3881" max="3881" width="5.7109375" style="711" customWidth="1"/>
    <col min="3882" max="3882" width="4.7109375" style="711" customWidth="1"/>
    <col min="3883" max="3883" width="4.42578125" style="711" customWidth="1"/>
    <col min="3884" max="3887" width="0" style="711" hidden="1" customWidth="1"/>
    <col min="3888" max="3888" width="5.85546875" style="711" customWidth="1"/>
    <col min="3889" max="3889" width="5.42578125" style="711" customWidth="1"/>
    <col min="3890" max="3890" width="5.28515625" style="711" customWidth="1"/>
    <col min="3891" max="3891" width="4.85546875" style="711" customWidth="1"/>
    <col min="3892" max="3903" width="0" style="711" hidden="1" customWidth="1"/>
    <col min="3904" max="3904" width="5.85546875" style="711" customWidth="1"/>
    <col min="3905" max="3905" width="5.42578125" style="711" customWidth="1"/>
    <col min="3906" max="3906" width="5.140625" style="711" customWidth="1"/>
    <col min="3907" max="3907" width="4.140625" style="711" customWidth="1"/>
    <col min="3908" max="3908" width="6.140625" style="711" customWidth="1"/>
    <col min="3909" max="3910" width="5.5703125" style="711" customWidth="1"/>
    <col min="3911" max="3911" width="4.42578125" style="711" customWidth="1"/>
    <col min="3912" max="3923" width="0" style="711" hidden="1" customWidth="1"/>
    <col min="3924" max="3924" width="7.5703125" style="711" customWidth="1"/>
    <col min="3925" max="3925" width="6.42578125" style="711" customWidth="1"/>
    <col min="3926" max="3926" width="5.42578125" style="711" customWidth="1"/>
    <col min="3927" max="3927" width="5.140625" style="711" customWidth="1"/>
    <col min="3928" max="3928" width="5.7109375" style="711" customWidth="1"/>
    <col min="3929" max="3929" width="5.42578125" style="711" customWidth="1"/>
    <col min="3930" max="3930" width="4.5703125" style="711" customWidth="1"/>
    <col min="3931" max="3931" width="5.42578125" style="711" customWidth="1"/>
    <col min="3932" max="3934" width="5.85546875" style="711" customWidth="1"/>
    <col min="3935" max="3935" width="4.42578125" style="711" customWidth="1"/>
    <col min="3936" max="3950" width="0" style="711" hidden="1" customWidth="1"/>
    <col min="3951" max="3951" width="9.140625" style="711" customWidth="1"/>
    <col min="3952" max="4096" width="9.140625" style="711"/>
    <col min="4097" max="4097" width="3.140625" style="711" customWidth="1"/>
    <col min="4098" max="4098" width="12.28515625" style="711" customWidth="1"/>
    <col min="4099" max="4099" width="34.85546875" style="711" customWidth="1"/>
    <col min="4100" max="4100" width="8.42578125" style="711" customWidth="1"/>
    <col min="4101" max="4101" width="8.28515625" style="711" customWidth="1"/>
    <col min="4102" max="4102" width="9.42578125" style="711" customWidth="1"/>
    <col min="4103" max="4103" width="8.28515625" style="711" customWidth="1"/>
    <col min="4104" max="4106" width="6.42578125" style="711" customWidth="1"/>
    <col min="4107" max="4107" width="7.140625" style="711" customWidth="1"/>
    <col min="4108" max="4108" width="4.5703125" style="711" customWidth="1"/>
    <col min="4109" max="4109" width="6.7109375" style="711" customWidth="1"/>
    <col min="4110" max="4110" width="6.85546875" style="711" customWidth="1"/>
    <col min="4111" max="4111" width="6.28515625" style="711" customWidth="1"/>
    <col min="4112" max="4112" width="4" style="711" customWidth="1"/>
    <col min="4113" max="4113" width="7.28515625" style="711" customWidth="1"/>
    <col min="4114" max="4114" width="7.5703125" style="711" customWidth="1"/>
    <col min="4115" max="4115" width="6" style="711" customWidth="1"/>
    <col min="4116" max="4116" width="4.7109375" style="711" customWidth="1"/>
    <col min="4117" max="4117" width="5.42578125" style="711" customWidth="1"/>
    <col min="4118" max="4118" width="5.7109375" style="711" customWidth="1"/>
    <col min="4119" max="4119" width="5.85546875" style="711" customWidth="1"/>
    <col min="4120" max="4120" width="5.7109375" style="711" customWidth="1"/>
    <col min="4121" max="4131" width="0" style="711" hidden="1" customWidth="1"/>
    <col min="4132" max="4132" width="5.85546875" style="711" customWidth="1"/>
    <col min="4133" max="4133" width="5.7109375" style="711" customWidth="1"/>
    <col min="4134" max="4134" width="5" style="711" customWidth="1"/>
    <col min="4135" max="4135" width="4.140625" style="711" customWidth="1"/>
    <col min="4136" max="4136" width="5.85546875" style="711" customWidth="1"/>
    <col min="4137" max="4137" width="5.7109375" style="711" customWidth="1"/>
    <col min="4138" max="4138" width="4.7109375" style="711" customWidth="1"/>
    <col min="4139" max="4139" width="4.42578125" style="711" customWidth="1"/>
    <col min="4140" max="4143" width="0" style="711" hidden="1" customWidth="1"/>
    <col min="4144" max="4144" width="5.85546875" style="711" customWidth="1"/>
    <col min="4145" max="4145" width="5.42578125" style="711" customWidth="1"/>
    <col min="4146" max="4146" width="5.28515625" style="711" customWidth="1"/>
    <col min="4147" max="4147" width="4.85546875" style="711" customWidth="1"/>
    <col min="4148" max="4159" width="0" style="711" hidden="1" customWidth="1"/>
    <col min="4160" max="4160" width="5.85546875" style="711" customWidth="1"/>
    <col min="4161" max="4161" width="5.42578125" style="711" customWidth="1"/>
    <col min="4162" max="4162" width="5.140625" style="711" customWidth="1"/>
    <col min="4163" max="4163" width="4.140625" style="711" customWidth="1"/>
    <col min="4164" max="4164" width="6.140625" style="711" customWidth="1"/>
    <col min="4165" max="4166" width="5.5703125" style="711" customWidth="1"/>
    <col min="4167" max="4167" width="4.42578125" style="711" customWidth="1"/>
    <col min="4168" max="4179" width="0" style="711" hidden="1" customWidth="1"/>
    <col min="4180" max="4180" width="7.5703125" style="711" customWidth="1"/>
    <col min="4181" max="4181" width="6.42578125" style="711" customWidth="1"/>
    <col min="4182" max="4182" width="5.42578125" style="711" customWidth="1"/>
    <col min="4183" max="4183" width="5.140625" style="711" customWidth="1"/>
    <col min="4184" max="4184" width="5.7109375" style="711" customWidth="1"/>
    <col min="4185" max="4185" width="5.42578125" style="711" customWidth="1"/>
    <col min="4186" max="4186" width="4.5703125" style="711" customWidth="1"/>
    <col min="4187" max="4187" width="5.42578125" style="711" customWidth="1"/>
    <col min="4188" max="4190" width="5.85546875" style="711" customWidth="1"/>
    <col min="4191" max="4191" width="4.42578125" style="711" customWidth="1"/>
    <col min="4192" max="4206" width="0" style="711" hidden="1" customWidth="1"/>
    <col min="4207" max="4207" width="9.140625" style="711" customWidth="1"/>
    <col min="4208" max="4352" width="9.140625" style="711"/>
    <col min="4353" max="4353" width="3.140625" style="711" customWidth="1"/>
    <col min="4354" max="4354" width="12.28515625" style="711" customWidth="1"/>
    <col min="4355" max="4355" width="34.85546875" style="711" customWidth="1"/>
    <col min="4356" max="4356" width="8.42578125" style="711" customWidth="1"/>
    <col min="4357" max="4357" width="8.28515625" style="711" customWidth="1"/>
    <col min="4358" max="4358" width="9.42578125" style="711" customWidth="1"/>
    <col min="4359" max="4359" width="8.28515625" style="711" customWidth="1"/>
    <col min="4360" max="4362" width="6.42578125" style="711" customWidth="1"/>
    <col min="4363" max="4363" width="7.140625" style="711" customWidth="1"/>
    <col min="4364" max="4364" width="4.5703125" style="711" customWidth="1"/>
    <col min="4365" max="4365" width="6.7109375" style="711" customWidth="1"/>
    <col min="4366" max="4366" width="6.85546875" style="711" customWidth="1"/>
    <col min="4367" max="4367" width="6.28515625" style="711" customWidth="1"/>
    <col min="4368" max="4368" width="4" style="711" customWidth="1"/>
    <col min="4369" max="4369" width="7.28515625" style="711" customWidth="1"/>
    <col min="4370" max="4370" width="7.5703125" style="711" customWidth="1"/>
    <col min="4371" max="4371" width="6" style="711" customWidth="1"/>
    <col min="4372" max="4372" width="4.7109375" style="711" customWidth="1"/>
    <col min="4373" max="4373" width="5.42578125" style="711" customWidth="1"/>
    <col min="4374" max="4374" width="5.7109375" style="711" customWidth="1"/>
    <col min="4375" max="4375" width="5.85546875" style="711" customWidth="1"/>
    <col min="4376" max="4376" width="5.7109375" style="711" customWidth="1"/>
    <col min="4377" max="4387" width="0" style="711" hidden="1" customWidth="1"/>
    <col min="4388" max="4388" width="5.85546875" style="711" customWidth="1"/>
    <col min="4389" max="4389" width="5.7109375" style="711" customWidth="1"/>
    <col min="4390" max="4390" width="5" style="711" customWidth="1"/>
    <col min="4391" max="4391" width="4.140625" style="711" customWidth="1"/>
    <col min="4392" max="4392" width="5.85546875" style="711" customWidth="1"/>
    <col min="4393" max="4393" width="5.7109375" style="711" customWidth="1"/>
    <col min="4394" max="4394" width="4.7109375" style="711" customWidth="1"/>
    <col min="4395" max="4395" width="4.42578125" style="711" customWidth="1"/>
    <col min="4396" max="4399" width="0" style="711" hidden="1" customWidth="1"/>
    <col min="4400" max="4400" width="5.85546875" style="711" customWidth="1"/>
    <col min="4401" max="4401" width="5.42578125" style="711" customWidth="1"/>
    <col min="4402" max="4402" width="5.28515625" style="711" customWidth="1"/>
    <col min="4403" max="4403" width="4.85546875" style="711" customWidth="1"/>
    <col min="4404" max="4415" width="0" style="711" hidden="1" customWidth="1"/>
    <col min="4416" max="4416" width="5.85546875" style="711" customWidth="1"/>
    <col min="4417" max="4417" width="5.42578125" style="711" customWidth="1"/>
    <col min="4418" max="4418" width="5.140625" style="711" customWidth="1"/>
    <col min="4419" max="4419" width="4.140625" style="711" customWidth="1"/>
    <col min="4420" max="4420" width="6.140625" style="711" customWidth="1"/>
    <col min="4421" max="4422" width="5.5703125" style="711" customWidth="1"/>
    <col min="4423" max="4423" width="4.42578125" style="711" customWidth="1"/>
    <col min="4424" max="4435" width="0" style="711" hidden="1" customWidth="1"/>
    <col min="4436" max="4436" width="7.5703125" style="711" customWidth="1"/>
    <col min="4437" max="4437" width="6.42578125" style="711" customWidth="1"/>
    <col min="4438" max="4438" width="5.42578125" style="711" customWidth="1"/>
    <col min="4439" max="4439" width="5.140625" style="711" customWidth="1"/>
    <col min="4440" max="4440" width="5.7109375" style="711" customWidth="1"/>
    <col min="4441" max="4441" width="5.42578125" style="711" customWidth="1"/>
    <col min="4442" max="4442" width="4.5703125" style="711" customWidth="1"/>
    <col min="4443" max="4443" width="5.42578125" style="711" customWidth="1"/>
    <col min="4444" max="4446" width="5.85546875" style="711" customWidth="1"/>
    <col min="4447" max="4447" width="4.42578125" style="711" customWidth="1"/>
    <col min="4448" max="4462" width="0" style="711" hidden="1" customWidth="1"/>
    <col min="4463" max="4463" width="9.140625" style="711" customWidth="1"/>
    <col min="4464" max="4608" width="9.140625" style="711"/>
    <col min="4609" max="4609" width="3.140625" style="711" customWidth="1"/>
    <col min="4610" max="4610" width="12.28515625" style="711" customWidth="1"/>
    <col min="4611" max="4611" width="34.85546875" style="711" customWidth="1"/>
    <col min="4612" max="4612" width="8.42578125" style="711" customWidth="1"/>
    <col min="4613" max="4613" width="8.28515625" style="711" customWidth="1"/>
    <col min="4614" max="4614" width="9.42578125" style="711" customWidth="1"/>
    <col min="4615" max="4615" width="8.28515625" style="711" customWidth="1"/>
    <col min="4616" max="4618" width="6.42578125" style="711" customWidth="1"/>
    <col min="4619" max="4619" width="7.140625" style="711" customWidth="1"/>
    <col min="4620" max="4620" width="4.5703125" style="711" customWidth="1"/>
    <col min="4621" max="4621" width="6.7109375" style="711" customWidth="1"/>
    <col min="4622" max="4622" width="6.85546875" style="711" customWidth="1"/>
    <col min="4623" max="4623" width="6.28515625" style="711" customWidth="1"/>
    <col min="4624" max="4624" width="4" style="711" customWidth="1"/>
    <col min="4625" max="4625" width="7.28515625" style="711" customWidth="1"/>
    <col min="4626" max="4626" width="7.5703125" style="711" customWidth="1"/>
    <col min="4627" max="4627" width="6" style="711" customWidth="1"/>
    <col min="4628" max="4628" width="4.7109375" style="711" customWidth="1"/>
    <col min="4629" max="4629" width="5.42578125" style="711" customWidth="1"/>
    <col min="4630" max="4630" width="5.7109375" style="711" customWidth="1"/>
    <col min="4631" max="4631" width="5.85546875" style="711" customWidth="1"/>
    <col min="4632" max="4632" width="5.7109375" style="711" customWidth="1"/>
    <col min="4633" max="4643" width="0" style="711" hidden="1" customWidth="1"/>
    <col min="4644" max="4644" width="5.85546875" style="711" customWidth="1"/>
    <col min="4645" max="4645" width="5.7109375" style="711" customWidth="1"/>
    <col min="4646" max="4646" width="5" style="711" customWidth="1"/>
    <col min="4647" max="4647" width="4.140625" style="711" customWidth="1"/>
    <col min="4648" max="4648" width="5.85546875" style="711" customWidth="1"/>
    <col min="4649" max="4649" width="5.7109375" style="711" customWidth="1"/>
    <col min="4650" max="4650" width="4.7109375" style="711" customWidth="1"/>
    <col min="4651" max="4651" width="4.42578125" style="711" customWidth="1"/>
    <col min="4652" max="4655" width="0" style="711" hidden="1" customWidth="1"/>
    <col min="4656" max="4656" width="5.85546875" style="711" customWidth="1"/>
    <col min="4657" max="4657" width="5.42578125" style="711" customWidth="1"/>
    <col min="4658" max="4658" width="5.28515625" style="711" customWidth="1"/>
    <col min="4659" max="4659" width="4.85546875" style="711" customWidth="1"/>
    <col min="4660" max="4671" width="0" style="711" hidden="1" customWidth="1"/>
    <col min="4672" max="4672" width="5.85546875" style="711" customWidth="1"/>
    <col min="4673" max="4673" width="5.42578125" style="711" customWidth="1"/>
    <col min="4674" max="4674" width="5.140625" style="711" customWidth="1"/>
    <col min="4675" max="4675" width="4.140625" style="711" customWidth="1"/>
    <col min="4676" max="4676" width="6.140625" style="711" customWidth="1"/>
    <col min="4677" max="4678" width="5.5703125" style="711" customWidth="1"/>
    <col min="4679" max="4679" width="4.42578125" style="711" customWidth="1"/>
    <col min="4680" max="4691" width="0" style="711" hidden="1" customWidth="1"/>
    <col min="4692" max="4692" width="7.5703125" style="711" customWidth="1"/>
    <col min="4693" max="4693" width="6.42578125" style="711" customWidth="1"/>
    <col min="4694" max="4694" width="5.42578125" style="711" customWidth="1"/>
    <col min="4695" max="4695" width="5.140625" style="711" customWidth="1"/>
    <col min="4696" max="4696" width="5.7109375" style="711" customWidth="1"/>
    <col min="4697" max="4697" width="5.42578125" style="711" customWidth="1"/>
    <col min="4698" max="4698" width="4.5703125" style="711" customWidth="1"/>
    <col min="4699" max="4699" width="5.42578125" style="711" customWidth="1"/>
    <col min="4700" max="4702" width="5.85546875" style="711" customWidth="1"/>
    <col min="4703" max="4703" width="4.42578125" style="711" customWidth="1"/>
    <col min="4704" max="4718" width="0" style="711" hidden="1" customWidth="1"/>
    <col min="4719" max="4719" width="9.140625" style="711" customWidth="1"/>
    <col min="4720" max="4864" width="9.140625" style="711"/>
    <col min="4865" max="4865" width="3.140625" style="711" customWidth="1"/>
    <col min="4866" max="4866" width="12.28515625" style="711" customWidth="1"/>
    <col min="4867" max="4867" width="34.85546875" style="711" customWidth="1"/>
    <col min="4868" max="4868" width="8.42578125" style="711" customWidth="1"/>
    <col min="4869" max="4869" width="8.28515625" style="711" customWidth="1"/>
    <col min="4870" max="4870" width="9.42578125" style="711" customWidth="1"/>
    <col min="4871" max="4871" width="8.28515625" style="711" customWidth="1"/>
    <col min="4872" max="4874" width="6.42578125" style="711" customWidth="1"/>
    <col min="4875" max="4875" width="7.140625" style="711" customWidth="1"/>
    <col min="4876" max="4876" width="4.5703125" style="711" customWidth="1"/>
    <col min="4877" max="4877" width="6.7109375" style="711" customWidth="1"/>
    <col min="4878" max="4878" width="6.85546875" style="711" customWidth="1"/>
    <col min="4879" max="4879" width="6.28515625" style="711" customWidth="1"/>
    <col min="4880" max="4880" width="4" style="711" customWidth="1"/>
    <col min="4881" max="4881" width="7.28515625" style="711" customWidth="1"/>
    <col min="4882" max="4882" width="7.5703125" style="711" customWidth="1"/>
    <col min="4883" max="4883" width="6" style="711" customWidth="1"/>
    <col min="4884" max="4884" width="4.7109375" style="711" customWidth="1"/>
    <col min="4885" max="4885" width="5.42578125" style="711" customWidth="1"/>
    <col min="4886" max="4886" width="5.7109375" style="711" customWidth="1"/>
    <col min="4887" max="4887" width="5.85546875" style="711" customWidth="1"/>
    <col min="4888" max="4888" width="5.7109375" style="711" customWidth="1"/>
    <col min="4889" max="4899" width="0" style="711" hidden="1" customWidth="1"/>
    <col min="4900" max="4900" width="5.85546875" style="711" customWidth="1"/>
    <col min="4901" max="4901" width="5.7109375" style="711" customWidth="1"/>
    <col min="4902" max="4902" width="5" style="711" customWidth="1"/>
    <col min="4903" max="4903" width="4.140625" style="711" customWidth="1"/>
    <col min="4904" max="4904" width="5.85546875" style="711" customWidth="1"/>
    <col min="4905" max="4905" width="5.7109375" style="711" customWidth="1"/>
    <col min="4906" max="4906" width="4.7109375" style="711" customWidth="1"/>
    <col min="4907" max="4907" width="4.42578125" style="711" customWidth="1"/>
    <col min="4908" max="4911" width="0" style="711" hidden="1" customWidth="1"/>
    <col min="4912" max="4912" width="5.85546875" style="711" customWidth="1"/>
    <col min="4913" max="4913" width="5.42578125" style="711" customWidth="1"/>
    <col min="4914" max="4914" width="5.28515625" style="711" customWidth="1"/>
    <col min="4915" max="4915" width="4.85546875" style="711" customWidth="1"/>
    <col min="4916" max="4927" width="0" style="711" hidden="1" customWidth="1"/>
    <col min="4928" max="4928" width="5.85546875" style="711" customWidth="1"/>
    <col min="4929" max="4929" width="5.42578125" style="711" customWidth="1"/>
    <col min="4930" max="4930" width="5.140625" style="711" customWidth="1"/>
    <col min="4931" max="4931" width="4.140625" style="711" customWidth="1"/>
    <col min="4932" max="4932" width="6.140625" style="711" customWidth="1"/>
    <col min="4933" max="4934" width="5.5703125" style="711" customWidth="1"/>
    <col min="4935" max="4935" width="4.42578125" style="711" customWidth="1"/>
    <col min="4936" max="4947" width="0" style="711" hidden="1" customWidth="1"/>
    <col min="4948" max="4948" width="7.5703125" style="711" customWidth="1"/>
    <col min="4949" max="4949" width="6.42578125" style="711" customWidth="1"/>
    <col min="4950" max="4950" width="5.42578125" style="711" customWidth="1"/>
    <col min="4951" max="4951" width="5.140625" style="711" customWidth="1"/>
    <col min="4952" max="4952" width="5.7109375" style="711" customWidth="1"/>
    <col min="4953" max="4953" width="5.42578125" style="711" customWidth="1"/>
    <col min="4954" max="4954" width="4.5703125" style="711" customWidth="1"/>
    <col min="4955" max="4955" width="5.42578125" style="711" customWidth="1"/>
    <col min="4956" max="4958" width="5.85546875" style="711" customWidth="1"/>
    <col min="4959" max="4959" width="4.42578125" style="711" customWidth="1"/>
    <col min="4960" max="4974" width="0" style="711" hidden="1" customWidth="1"/>
    <col min="4975" max="4975" width="9.140625" style="711" customWidth="1"/>
    <col min="4976" max="5120" width="9.140625" style="711"/>
    <col min="5121" max="5121" width="3.140625" style="711" customWidth="1"/>
    <col min="5122" max="5122" width="12.28515625" style="711" customWidth="1"/>
    <col min="5123" max="5123" width="34.85546875" style="711" customWidth="1"/>
    <col min="5124" max="5124" width="8.42578125" style="711" customWidth="1"/>
    <col min="5125" max="5125" width="8.28515625" style="711" customWidth="1"/>
    <col min="5126" max="5126" width="9.42578125" style="711" customWidth="1"/>
    <col min="5127" max="5127" width="8.28515625" style="711" customWidth="1"/>
    <col min="5128" max="5130" width="6.42578125" style="711" customWidth="1"/>
    <col min="5131" max="5131" width="7.140625" style="711" customWidth="1"/>
    <col min="5132" max="5132" width="4.5703125" style="711" customWidth="1"/>
    <col min="5133" max="5133" width="6.7109375" style="711" customWidth="1"/>
    <col min="5134" max="5134" width="6.85546875" style="711" customWidth="1"/>
    <col min="5135" max="5135" width="6.28515625" style="711" customWidth="1"/>
    <col min="5136" max="5136" width="4" style="711" customWidth="1"/>
    <col min="5137" max="5137" width="7.28515625" style="711" customWidth="1"/>
    <col min="5138" max="5138" width="7.5703125" style="711" customWidth="1"/>
    <col min="5139" max="5139" width="6" style="711" customWidth="1"/>
    <col min="5140" max="5140" width="4.7109375" style="711" customWidth="1"/>
    <col min="5141" max="5141" width="5.42578125" style="711" customWidth="1"/>
    <col min="5142" max="5142" width="5.7109375" style="711" customWidth="1"/>
    <col min="5143" max="5143" width="5.85546875" style="711" customWidth="1"/>
    <col min="5144" max="5144" width="5.7109375" style="711" customWidth="1"/>
    <col min="5145" max="5155" width="0" style="711" hidden="1" customWidth="1"/>
    <col min="5156" max="5156" width="5.85546875" style="711" customWidth="1"/>
    <col min="5157" max="5157" width="5.7109375" style="711" customWidth="1"/>
    <col min="5158" max="5158" width="5" style="711" customWidth="1"/>
    <col min="5159" max="5159" width="4.140625" style="711" customWidth="1"/>
    <col min="5160" max="5160" width="5.85546875" style="711" customWidth="1"/>
    <col min="5161" max="5161" width="5.7109375" style="711" customWidth="1"/>
    <col min="5162" max="5162" width="4.7109375" style="711" customWidth="1"/>
    <col min="5163" max="5163" width="4.42578125" style="711" customWidth="1"/>
    <col min="5164" max="5167" width="0" style="711" hidden="1" customWidth="1"/>
    <col min="5168" max="5168" width="5.85546875" style="711" customWidth="1"/>
    <col min="5169" max="5169" width="5.42578125" style="711" customWidth="1"/>
    <col min="5170" max="5170" width="5.28515625" style="711" customWidth="1"/>
    <col min="5171" max="5171" width="4.85546875" style="711" customWidth="1"/>
    <col min="5172" max="5183" width="0" style="711" hidden="1" customWidth="1"/>
    <col min="5184" max="5184" width="5.85546875" style="711" customWidth="1"/>
    <col min="5185" max="5185" width="5.42578125" style="711" customWidth="1"/>
    <col min="5186" max="5186" width="5.140625" style="711" customWidth="1"/>
    <col min="5187" max="5187" width="4.140625" style="711" customWidth="1"/>
    <col min="5188" max="5188" width="6.140625" style="711" customWidth="1"/>
    <col min="5189" max="5190" width="5.5703125" style="711" customWidth="1"/>
    <col min="5191" max="5191" width="4.42578125" style="711" customWidth="1"/>
    <col min="5192" max="5203" width="0" style="711" hidden="1" customWidth="1"/>
    <col min="5204" max="5204" width="7.5703125" style="711" customWidth="1"/>
    <col min="5205" max="5205" width="6.42578125" style="711" customWidth="1"/>
    <col min="5206" max="5206" width="5.42578125" style="711" customWidth="1"/>
    <col min="5207" max="5207" width="5.140625" style="711" customWidth="1"/>
    <col min="5208" max="5208" width="5.7109375" style="711" customWidth="1"/>
    <col min="5209" max="5209" width="5.42578125" style="711" customWidth="1"/>
    <col min="5210" max="5210" width="4.5703125" style="711" customWidth="1"/>
    <col min="5211" max="5211" width="5.42578125" style="711" customWidth="1"/>
    <col min="5212" max="5214" width="5.85546875" style="711" customWidth="1"/>
    <col min="5215" max="5215" width="4.42578125" style="711" customWidth="1"/>
    <col min="5216" max="5230" width="0" style="711" hidden="1" customWidth="1"/>
    <col min="5231" max="5231" width="9.140625" style="711" customWidth="1"/>
    <col min="5232" max="5376" width="9.140625" style="711"/>
    <col min="5377" max="5377" width="3.140625" style="711" customWidth="1"/>
    <col min="5378" max="5378" width="12.28515625" style="711" customWidth="1"/>
    <col min="5379" max="5379" width="34.85546875" style="711" customWidth="1"/>
    <col min="5380" max="5380" width="8.42578125" style="711" customWidth="1"/>
    <col min="5381" max="5381" width="8.28515625" style="711" customWidth="1"/>
    <col min="5382" max="5382" width="9.42578125" style="711" customWidth="1"/>
    <col min="5383" max="5383" width="8.28515625" style="711" customWidth="1"/>
    <col min="5384" max="5386" width="6.42578125" style="711" customWidth="1"/>
    <col min="5387" max="5387" width="7.140625" style="711" customWidth="1"/>
    <col min="5388" max="5388" width="4.5703125" style="711" customWidth="1"/>
    <col min="5389" max="5389" width="6.7109375" style="711" customWidth="1"/>
    <col min="5390" max="5390" width="6.85546875" style="711" customWidth="1"/>
    <col min="5391" max="5391" width="6.28515625" style="711" customWidth="1"/>
    <col min="5392" max="5392" width="4" style="711" customWidth="1"/>
    <col min="5393" max="5393" width="7.28515625" style="711" customWidth="1"/>
    <col min="5394" max="5394" width="7.5703125" style="711" customWidth="1"/>
    <col min="5395" max="5395" width="6" style="711" customWidth="1"/>
    <col min="5396" max="5396" width="4.7109375" style="711" customWidth="1"/>
    <col min="5397" max="5397" width="5.42578125" style="711" customWidth="1"/>
    <col min="5398" max="5398" width="5.7109375" style="711" customWidth="1"/>
    <col min="5399" max="5399" width="5.85546875" style="711" customWidth="1"/>
    <col min="5400" max="5400" width="5.7109375" style="711" customWidth="1"/>
    <col min="5401" max="5411" width="0" style="711" hidden="1" customWidth="1"/>
    <col min="5412" max="5412" width="5.85546875" style="711" customWidth="1"/>
    <col min="5413" max="5413" width="5.7109375" style="711" customWidth="1"/>
    <col min="5414" max="5414" width="5" style="711" customWidth="1"/>
    <col min="5415" max="5415" width="4.140625" style="711" customWidth="1"/>
    <col min="5416" max="5416" width="5.85546875" style="711" customWidth="1"/>
    <col min="5417" max="5417" width="5.7109375" style="711" customWidth="1"/>
    <col min="5418" max="5418" width="4.7109375" style="711" customWidth="1"/>
    <col min="5419" max="5419" width="4.42578125" style="711" customWidth="1"/>
    <col min="5420" max="5423" width="0" style="711" hidden="1" customWidth="1"/>
    <col min="5424" max="5424" width="5.85546875" style="711" customWidth="1"/>
    <col min="5425" max="5425" width="5.42578125" style="711" customWidth="1"/>
    <col min="5426" max="5426" width="5.28515625" style="711" customWidth="1"/>
    <col min="5427" max="5427" width="4.85546875" style="711" customWidth="1"/>
    <col min="5428" max="5439" width="0" style="711" hidden="1" customWidth="1"/>
    <col min="5440" max="5440" width="5.85546875" style="711" customWidth="1"/>
    <col min="5441" max="5441" width="5.42578125" style="711" customWidth="1"/>
    <col min="5442" max="5442" width="5.140625" style="711" customWidth="1"/>
    <col min="5443" max="5443" width="4.140625" style="711" customWidth="1"/>
    <col min="5444" max="5444" width="6.140625" style="711" customWidth="1"/>
    <col min="5445" max="5446" width="5.5703125" style="711" customWidth="1"/>
    <col min="5447" max="5447" width="4.42578125" style="711" customWidth="1"/>
    <col min="5448" max="5459" width="0" style="711" hidden="1" customWidth="1"/>
    <col min="5460" max="5460" width="7.5703125" style="711" customWidth="1"/>
    <col min="5461" max="5461" width="6.42578125" style="711" customWidth="1"/>
    <col min="5462" max="5462" width="5.42578125" style="711" customWidth="1"/>
    <col min="5463" max="5463" width="5.140625" style="711" customWidth="1"/>
    <col min="5464" max="5464" width="5.7109375" style="711" customWidth="1"/>
    <col min="5465" max="5465" width="5.42578125" style="711" customWidth="1"/>
    <col min="5466" max="5466" width="4.5703125" style="711" customWidth="1"/>
    <col min="5467" max="5467" width="5.42578125" style="711" customWidth="1"/>
    <col min="5468" max="5470" width="5.85546875" style="711" customWidth="1"/>
    <col min="5471" max="5471" width="4.42578125" style="711" customWidth="1"/>
    <col min="5472" max="5486" width="0" style="711" hidden="1" customWidth="1"/>
    <col min="5487" max="5487" width="9.140625" style="711" customWidth="1"/>
    <col min="5488" max="5632" width="9.140625" style="711"/>
    <col min="5633" max="5633" width="3.140625" style="711" customWidth="1"/>
    <col min="5634" max="5634" width="12.28515625" style="711" customWidth="1"/>
    <col min="5635" max="5635" width="34.85546875" style="711" customWidth="1"/>
    <col min="5636" max="5636" width="8.42578125" style="711" customWidth="1"/>
    <col min="5637" max="5637" width="8.28515625" style="711" customWidth="1"/>
    <col min="5638" max="5638" width="9.42578125" style="711" customWidth="1"/>
    <col min="5639" max="5639" width="8.28515625" style="711" customWidth="1"/>
    <col min="5640" max="5642" width="6.42578125" style="711" customWidth="1"/>
    <col min="5643" max="5643" width="7.140625" style="711" customWidth="1"/>
    <col min="5644" max="5644" width="4.5703125" style="711" customWidth="1"/>
    <col min="5645" max="5645" width="6.7109375" style="711" customWidth="1"/>
    <col min="5646" max="5646" width="6.85546875" style="711" customWidth="1"/>
    <col min="5647" max="5647" width="6.28515625" style="711" customWidth="1"/>
    <col min="5648" max="5648" width="4" style="711" customWidth="1"/>
    <col min="5649" max="5649" width="7.28515625" style="711" customWidth="1"/>
    <col min="5650" max="5650" width="7.5703125" style="711" customWidth="1"/>
    <col min="5651" max="5651" width="6" style="711" customWidth="1"/>
    <col min="5652" max="5652" width="4.7109375" style="711" customWidth="1"/>
    <col min="5653" max="5653" width="5.42578125" style="711" customWidth="1"/>
    <col min="5654" max="5654" width="5.7109375" style="711" customWidth="1"/>
    <col min="5655" max="5655" width="5.85546875" style="711" customWidth="1"/>
    <col min="5656" max="5656" width="5.7109375" style="711" customWidth="1"/>
    <col min="5657" max="5667" width="0" style="711" hidden="1" customWidth="1"/>
    <col min="5668" max="5668" width="5.85546875" style="711" customWidth="1"/>
    <col min="5669" max="5669" width="5.7109375" style="711" customWidth="1"/>
    <col min="5670" max="5670" width="5" style="711" customWidth="1"/>
    <col min="5671" max="5671" width="4.140625" style="711" customWidth="1"/>
    <col min="5672" max="5672" width="5.85546875" style="711" customWidth="1"/>
    <col min="5673" max="5673" width="5.7109375" style="711" customWidth="1"/>
    <col min="5674" max="5674" width="4.7109375" style="711" customWidth="1"/>
    <col min="5675" max="5675" width="4.42578125" style="711" customWidth="1"/>
    <col min="5676" max="5679" width="0" style="711" hidden="1" customWidth="1"/>
    <col min="5680" max="5680" width="5.85546875" style="711" customWidth="1"/>
    <col min="5681" max="5681" width="5.42578125" style="711" customWidth="1"/>
    <col min="5682" max="5682" width="5.28515625" style="711" customWidth="1"/>
    <col min="5683" max="5683" width="4.85546875" style="711" customWidth="1"/>
    <col min="5684" max="5695" width="0" style="711" hidden="1" customWidth="1"/>
    <col min="5696" max="5696" width="5.85546875" style="711" customWidth="1"/>
    <col min="5697" max="5697" width="5.42578125" style="711" customWidth="1"/>
    <col min="5698" max="5698" width="5.140625" style="711" customWidth="1"/>
    <col min="5699" max="5699" width="4.140625" style="711" customWidth="1"/>
    <col min="5700" max="5700" width="6.140625" style="711" customWidth="1"/>
    <col min="5701" max="5702" width="5.5703125" style="711" customWidth="1"/>
    <col min="5703" max="5703" width="4.42578125" style="711" customWidth="1"/>
    <col min="5704" max="5715" width="0" style="711" hidden="1" customWidth="1"/>
    <col min="5716" max="5716" width="7.5703125" style="711" customWidth="1"/>
    <col min="5717" max="5717" width="6.42578125" style="711" customWidth="1"/>
    <col min="5718" max="5718" width="5.42578125" style="711" customWidth="1"/>
    <col min="5719" max="5719" width="5.140625" style="711" customWidth="1"/>
    <col min="5720" max="5720" width="5.7109375" style="711" customWidth="1"/>
    <col min="5721" max="5721" width="5.42578125" style="711" customWidth="1"/>
    <col min="5722" max="5722" width="4.5703125" style="711" customWidth="1"/>
    <col min="5723" max="5723" width="5.42578125" style="711" customWidth="1"/>
    <col min="5724" max="5726" width="5.85546875" style="711" customWidth="1"/>
    <col min="5727" max="5727" width="4.42578125" style="711" customWidth="1"/>
    <col min="5728" max="5742" width="0" style="711" hidden="1" customWidth="1"/>
    <col min="5743" max="5743" width="9.140625" style="711" customWidth="1"/>
    <col min="5744" max="5888" width="9.140625" style="711"/>
    <col min="5889" max="5889" width="3.140625" style="711" customWidth="1"/>
    <col min="5890" max="5890" width="12.28515625" style="711" customWidth="1"/>
    <col min="5891" max="5891" width="34.85546875" style="711" customWidth="1"/>
    <col min="5892" max="5892" width="8.42578125" style="711" customWidth="1"/>
    <col min="5893" max="5893" width="8.28515625" style="711" customWidth="1"/>
    <col min="5894" max="5894" width="9.42578125" style="711" customWidth="1"/>
    <col min="5895" max="5895" width="8.28515625" style="711" customWidth="1"/>
    <col min="5896" max="5898" width="6.42578125" style="711" customWidth="1"/>
    <col min="5899" max="5899" width="7.140625" style="711" customWidth="1"/>
    <col min="5900" max="5900" width="4.5703125" style="711" customWidth="1"/>
    <col min="5901" max="5901" width="6.7109375" style="711" customWidth="1"/>
    <col min="5902" max="5902" width="6.85546875" style="711" customWidth="1"/>
    <col min="5903" max="5903" width="6.28515625" style="711" customWidth="1"/>
    <col min="5904" max="5904" width="4" style="711" customWidth="1"/>
    <col min="5905" max="5905" width="7.28515625" style="711" customWidth="1"/>
    <col min="5906" max="5906" width="7.5703125" style="711" customWidth="1"/>
    <col min="5907" max="5907" width="6" style="711" customWidth="1"/>
    <col min="5908" max="5908" width="4.7109375" style="711" customWidth="1"/>
    <col min="5909" max="5909" width="5.42578125" style="711" customWidth="1"/>
    <col min="5910" max="5910" width="5.7109375" style="711" customWidth="1"/>
    <col min="5911" max="5911" width="5.85546875" style="711" customWidth="1"/>
    <col min="5912" max="5912" width="5.7109375" style="711" customWidth="1"/>
    <col min="5913" max="5923" width="0" style="711" hidden="1" customWidth="1"/>
    <col min="5924" max="5924" width="5.85546875" style="711" customWidth="1"/>
    <col min="5925" max="5925" width="5.7109375" style="711" customWidth="1"/>
    <col min="5926" max="5926" width="5" style="711" customWidth="1"/>
    <col min="5927" max="5927" width="4.140625" style="711" customWidth="1"/>
    <col min="5928" max="5928" width="5.85546875" style="711" customWidth="1"/>
    <col min="5929" max="5929" width="5.7109375" style="711" customWidth="1"/>
    <col min="5930" max="5930" width="4.7109375" style="711" customWidth="1"/>
    <col min="5931" max="5931" width="4.42578125" style="711" customWidth="1"/>
    <col min="5932" max="5935" width="0" style="711" hidden="1" customWidth="1"/>
    <col min="5936" max="5936" width="5.85546875" style="711" customWidth="1"/>
    <col min="5937" max="5937" width="5.42578125" style="711" customWidth="1"/>
    <col min="5938" max="5938" width="5.28515625" style="711" customWidth="1"/>
    <col min="5939" max="5939" width="4.85546875" style="711" customWidth="1"/>
    <col min="5940" max="5951" width="0" style="711" hidden="1" customWidth="1"/>
    <col min="5952" max="5952" width="5.85546875" style="711" customWidth="1"/>
    <col min="5953" max="5953" width="5.42578125" style="711" customWidth="1"/>
    <col min="5954" max="5954" width="5.140625" style="711" customWidth="1"/>
    <col min="5955" max="5955" width="4.140625" style="711" customWidth="1"/>
    <col min="5956" max="5956" width="6.140625" style="711" customWidth="1"/>
    <col min="5957" max="5958" width="5.5703125" style="711" customWidth="1"/>
    <col min="5959" max="5959" width="4.42578125" style="711" customWidth="1"/>
    <col min="5960" max="5971" width="0" style="711" hidden="1" customWidth="1"/>
    <col min="5972" max="5972" width="7.5703125" style="711" customWidth="1"/>
    <col min="5973" max="5973" width="6.42578125" style="711" customWidth="1"/>
    <col min="5974" max="5974" width="5.42578125" style="711" customWidth="1"/>
    <col min="5975" max="5975" width="5.140625" style="711" customWidth="1"/>
    <col min="5976" max="5976" width="5.7109375" style="711" customWidth="1"/>
    <col min="5977" max="5977" width="5.42578125" style="711" customWidth="1"/>
    <col min="5978" max="5978" width="4.5703125" style="711" customWidth="1"/>
    <col min="5979" max="5979" width="5.42578125" style="711" customWidth="1"/>
    <col min="5980" max="5982" width="5.85546875" style="711" customWidth="1"/>
    <col min="5983" max="5983" width="4.42578125" style="711" customWidth="1"/>
    <col min="5984" max="5998" width="0" style="711" hidden="1" customWidth="1"/>
    <col min="5999" max="5999" width="9.140625" style="711" customWidth="1"/>
    <col min="6000" max="6144" width="9.140625" style="711"/>
    <col min="6145" max="6145" width="3.140625" style="711" customWidth="1"/>
    <col min="6146" max="6146" width="12.28515625" style="711" customWidth="1"/>
    <col min="6147" max="6147" width="34.85546875" style="711" customWidth="1"/>
    <col min="6148" max="6148" width="8.42578125" style="711" customWidth="1"/>
    <col min="6149" max="6149" width="8.28515625" style="711" customWidth="1"/>
    <col min="6150" max="6150" width="9.42578125" style="711" customWidth="1"/>
    <col min="6151" max="6151" width="8.28515625" style="711" customWidth="1"/>
    <col min="6152" max="6154" width="6.42578125" style="711" customWidth="1"/>
    <col min="6155" max="6155" width="7.140625" style="711" customWidth="1"/>
    <col min="6156" max="6156" width="4.5703125" style="711" customWidth="1"/>
    <col min="6157" max="6157" width="6.7109375" style="711" customWidth="1"/>
    <col min="6158" max="6158" width="6.85546875" style="711" customWidth="1"/>
    <col min="6159" max="6159" width="6.28515625" style="711" customWidth="1"/>
    <col min="6160" max="6160" width="4" style="711" customWidth="1"/>
    <col min="6161" max="6161" width="7.28515625" style="711" customWidth="1"/>
    <col min="6162" max="6162" width="7.5703125" style="711" customWidth="1"/>
    <col min="6163" max="6163" width="6" style="711" customWidth="1"/>
    <col min="6164" max="6164" width="4.7109375" style="711" customWidth="1"/>
    <col min="6165" max="6165" width="5.42578125" style="711" customWidth="1"/>
    <col min="6166" max="6166" width="5.7109375" style="711" customWidth="1"/>
    <col min="6167" max="6167" width="5.85546875" style="711" customWidth="1"/>
    <col min="6168" max="6168" width="5.7109375" style="711" customWidth="1"/>
    <col min="6169" max="6179" width="0" style="711" hidden="1" customWidth="1"/>
    <col min="6180" max="6180" width="5.85546875" style="711" customWidth="1"/>
    <col min="6181" max="6181" width="5.7109375" style="711" customWidth="1"/>
    <col min="6182" max="6182" width="5" style="711" customWidth="1"/>
    <col min="6183" max="6183" width="4.140625" style="711" customWidth="1"/>
    <col min="6184" max="6184" width="5.85546875" style="711" customWidth="1"/>
    <col min="6185" max="6185" width="5.7109375" style="711" customWidth="1"/>
    <col min="6186" max="6186" width="4.7109375" style="711" customWidth="1"/>
    <col min="6187" max="6187" width="4.42578125" style="711" customWidth="1"/>
    <col min="6188" max="6191" width="0" style="711" hidden="1" customWidth="1"/>
    <col min="6192" max="6192" width="5.85546875" style="711" customWidth="1"/>
    <col min="6193" max="6193" width="5.42578125" style="711" customWidth="1"/>
    <col min="6194" max="6194" width="5.28515625" style="711" customWidth="1"/>
    <col min="6195" max="6195" width="4.85546875" style="711" customWidth="1"/>
    <col min="6196" max="6207" width="0" style="711" hidden="1" customWidth="1"/>
    <col min="6208" max="6208" width="5.85546875" style="711" customWidth="1"/>
    <col min="6209" max="6209" width="5.42578125" style="711" customWidth="1"/>
    <col min="6210" max="6210" width="5.140625" style="711" customWidth="1"/>
    <col min="6211" max="6211" width="4.140625" style="711" customWidth="1"/>
    <col min="6212" max="6212" width="6.140625" style="711" customWidth="1"/>
    <col min="6213" max="6214" width="5.5703125" style="711" customWidth="1"/>
    <col min="6215" max="6215" width="4.42578125" style="711" customWidth="1"/>
    <col min="6216" max="6227" width="0" style="711" hidden="1" customWidth="1"/>
    <col min="6228" max="6228" width="7.5703125" style="711" customWidth="1"/>
    <col min="6229" max="6229" width="6.42578125" style="711" customWidth="1"/>
    <col min="6230" max="6230" width="5.42578125" style="711" customWidth="1"/>
    <col min="6231" max="6231" width="5.140625" style="711" customWidth="1"/>
    <col min="6232" max="6232" width="5.7109375" style="711" customWidth="1"/>
    <col min="6233" max="6233" width="5.42578125" style="711" customWidth="1"/>
    <col min="6234" max="6234" width="4.5703125" style="711" customWidth="1"/>
    <col min="6235" max="6235" width="5.42578125" style="711" customWidth="1"/>
    <col min="6236" max="6238" width="5.85546875" style="711" customWidth="1"/>
    <col min="6239" max="6239" width="4.42578125" style="711" customWidth="1"/>
    <col min="6240" max="6254" width="0" style="711" hidden="1" customWidth="1"/>
    <col min="6255" max="6255" width="9.140625" style="711" customWidth="1"/>
    <col min="6256" max="6400" width="9.140625" style="711"/>
    <col min="6401" max="6401" width="3.140625" style="711" customWidth="1"/>
    <col min="6402" max="6402" width="12.28515625" style="711" customWidth="1"/>
    <col min="6403" max="6403" width="34.85546875" style="711" customWidth="1"/>
    <col min="6404" max="6404" width="8.42578125" style="711" customWidth="1"/>
    <col min="6405" max="6405" width="8.28515625" style="711" customWidth="1"/>
    <col min="6406" max="6406" width="9.42578125" style="711" customWidth="1"/>
    <col min="6407" max="6407" width="8.28515625" style="711" customWidth="1"/>
    <col min="6408" max="6410" width="6.42578125" style="711" customWidth="1"/>
    <col min="6411" max="6411" width="7.140625" style="711" customWidth="1"/>
    <col min="6412" max="6412" width="4.5703125" style="711" customWidth="1"/>
    <col min="6413" max="6413" width="6.7109375" style="711" customWidth="1"/>
    <col min="6414" max="6414" width="6.85546875" style="711" customWidth="1"/>
    <col min="6415" max="6415" width="6.28515625" style="711" customWidth="1"/>
    <col min="6416" max="6416" width="4" style="711" customWidth="1"/>
    <col min="6417" max="6417" width="7.28515625" style="711" customWidth="1"/>
    <col min="6418" max="6418" width="7.5703125" style="711" customWidth="1"/>
    <col min="6419" max="6419" width="6" style="711" customWidth="1"/>
    <col min="6420" max="6420" width="4.7109375" style="711" customWidth="1"/>
    <col min="6421" max="6421" width="5.42578125" style="711" customWidth="1"/>
    <col min="6422" max="6422" width="5.7109375" style="711" customWidth="1"/>
    <col min="6423" max="6423" width="5.85546875" style="711" customWidth="1"/>
    <col min="6424" max="6424" width="5.7109375" style="711" customWidth="1"/>
    <col min="6425" max="6435" width="0" style="711" hidden="1" customWidth="1"/>
    <col min="6436" max="6436" width="5.85546875" style="711" customWidth="1"/>
    <col min="6437" max="6437" width="5.7109375" style="711" customWidth="1"/>
    <col min="6438" max="6438" width="5" style="711" customWidth="1"/>
    <col min="6439" max="6439" width="4.140625" style="711" customWidth="1"/>
    <col min="6440" max="6440" width="5.85546875" style="711" customWidth="1"/>
    <col min="6441" max="6441" width="5.7109375" style="711" customWidth="1"/>
    <col min="6442" max="6442" width="4.7109375" style="711" customWidth="1"/>
    <col min="6443" max="6443" width="4.42578125" style="711" customWidth="1"/>
    <col min="6444" max="6447" width="0" style="711" hidden="1" customWidth="1"/>
    <col min="6448" max="6448" width="5.85546875" style="711" customWidth="1"/>
    <col min="6449" max="6449" width="5.42578125" style="711" customWidth="1"/>
    <col min="6450" max="6450" width="5.28515625" style="711" customWidth="1"/>
    <col min="6451" max="6451" width="4.85546875" style="711" customWidth="1"/>
    <col min="6452" max="6463" width="0" style="711" hidden="1" customWidth="1"/>
    <col min="6464" max="6464" width="5.85546875" style="711" customWidth="1"/>
    <col min="6465" max="6465" width="5.42578125" style="711" customWidth="1"/>
    <col min="6466" max="6466" width="5.140625" style="711" customWidth="1"/>
    <col min="6467" max="6467" width="4.140625" style="711" customWidth="1"/>
    <col min="6468" max="6468" width="6.140625" style="711" customWidth="1"/>
    <col min="6469" max="6470" width="5.5703125" style="711" customWidth="1"/>
    <col min="6471" max="6471" width="4.42578125" style="711" customWidth="1"/>
    <col min="6472" max="6483" width="0" style="711" hidden="1" customWidth="1"/>
    <col min="6484" max="6484" width="7.5703125" style="711" customWidth="1"/>
    <col min="6485" max="6485" width="6.42578125" style="711" customWidth="1"/>
    <col min="6486" max="6486" width="5.42578125" style="711" customWidth="1"/>
    <col min="6487" max="6487" width="5.140625" style="711" customWidth="1"/>
    <col min="6488" max="6488" width="5.7109375" style="711" customWidth="1"/>
    <col min="6489" max="6489" width="5.42578125" style="711" customWidth="1"/>
    <col min="6490" max="6490" width="4.5703125" style="711" customWidth="1"/>
    <col min="6491" max="6491" width="5.42578125" style="711" customWidth="1"/>
    <col min="6492" max="6494" width="5.85546875" style="711" customWidth="1"/>
    <col min="6495" max="6495" width="4.42578125" style="711" customWidth="1"/>
    <col min="6496" max="6510" width="0" style="711" hidden="1" customWidth="1"/>
    <col min="6511" max="6511" width="9.140625" style="711" customWidth="1"/>
    <col min="6512" max="6656" width="9.140625" style="711"/>
    <col min="6657" max="6657" width="3.140625" style="711" customWidth="1"/>
    <col min="6658" max="6658" width="12.28515625" style="711" customWidth="1"/>
    <col min="6659" max="6659" width="34.85546875" style="711" customWidth="1"/>
    <col min="6660" max="6660" width="8.42578125" style="711" customWidth="1"/>
    <col min="6661" max="6661" width="8.28515625" style="711" customWidth="1"/>
    <col min="6662" max="6662" width="9.42578125" style="711" customWidth="1"/>
    <col min="6663" max="6663" width="8.28515625" style="711" customWidth="1"/>
    <col min="6664" max="6666" width="6.42578125" style="711" customWidth="1"/>
    <col min="6667" max="6667" width="7.140625" style="711" customWidth="1"/>
    <col min="6668" max="6668" width="4.5703125" style="711" customWidth="1"/>
    <col min="6669" max="6669" width="6.7109375" style="711" customWidth="1"/>
    <col min="6670" max="6670" width="6.85546875" style="711" customWidth="1"/>
    <col min="6671" max="6671" width="6.28515625" style="711" customWidth="1"/>
    <col min="6672" max="6672" width="4" style="711" customWidth="1"/>
    <col min="6673" max="6673" width="7.28515625" style="711" customWidth="1"/>
    <col min="6674" max="6674" width="7.5703125" style="711" customWidth="1"/>
    <col min="6675" max="6675" width="6" style="711" customWidth="1"/>
    <col min="6676" max="6676" width="4.7109375" style="711" customWidth="1"/>
    <col min="6677" max="6677" width="5.42578125" style="711" customWidth="1"/>
    <col min="6678" max="6678" width="5.7109375" style="711" customWidth="1"/>
    <col min="6679" max="6679" width="5.85546875" style="711" customWidth="1"/>
    <col min="6680" max="6680" width="5.7109375" style="711" customWidth="1"/>
    <col min="6681" max="6691" width="0" style="711" hidden="1" customWidth="1"/>
    <col min="6692" max="6692" width="5.85546875" style="711" customWidth="1"/>
    <col min="6693" max="6693" width="5.7109375" style="711" customWidth="1"/>
    <col min="6694" max="6694" width="5" style="711" customWidth="1"/>
    <col min="6695" max="6695" width="4.140625" style="711" customWidth="1"/>
    <col min="6696" max="6696" width="5.85546875" style="711" customWidth="1"/>
    <col min="6697" max="6697" width="5.7109375" style="711" customWidth="1"/>
    <col min="6698" max="6698" width="4.7109375" style="711" customWidth="1"/>
    <col min="6699" max="6699" width="4.42578125" style="711" customWidth="1"/>
    <col min="6700" max="6703" width="0" style="711" hidden="1" customWidth="1"/>
    <col min="6704" max="6704" width="5.85546875" style="711" customWidth="1"/>
    <col min="6705" max="6705" width="5.42578125" style="711" customWidth="1"/>
    <col min="6706" max="6706" width="5.28515625" style="711" customWidth="1"/>
    <col min="6707" max="6707" width="4.85546875" style="711" customWidth="1"/>
    <col min="6708" max="6719" width="0" style="711" hidden="1" customWidth="1"/>
    <col min="6720" max="6720" width="5.85546875" style="711" customWidth="1"/>
    <col min="6721" max="6721" width="5.42578125" style="711" customWidth="1"/>
    <col min="6722" max="6722" width="5.140625" style="711" customWidth="1"/>
    <col min="6723" max="6723" width="4.140625" style="711" customWidth="1"/>
    <col min="6724" max="6724" width="6.140625" style="711" customWidth="1"/>
    <col min="6725" max="6726" width="5.5703125" style="711" customWidth="1"/>
    <col min="6727" max="6727" width="4.42578125" style="711" customWidth="1"/>
    <col min="6728" max="6739" width="0" style="711" hidden="1" customWidth="1"/>
    <col min="6740" max="6740" width="7.5703125" style="711" customWidth="1"/>
    <col min="6741" max="6741" width="6.42578125" style="711" customWidth="1"/>
    <col min="6742" max="6742" width="5.42578125" style="711" customWidth="1"/>
    <col min="6743" max="6743" width="5.140625" style="711" customWidth="1"/>
    <col min="6744" max="6744" width="5.7109375" style="711" customWidth="1"/>
    <col min="6745" max="6745" width="5.42578125" style="711" customWidth="1"/>
    <col min="6746" max="6746" width="4.5703125" style="711" customWidth="1"/>
    <col min="6747" max="6747" width="5.42578125" style="711" customWidth="1"/>
    <col min="6748" max="6750" width="5.85546875" style="711" customWidth="1"/>
    <col min="6751" max="6751" width="4.42578125" style="711" customWidth="1"/>
    <col min="6752" max="6766" width="0" style="711" hidden="1" customWidth="1"/>
    <col min="6767" max="6767" width="9.140625" style="711" customWidth="1"/>
    <col min="6768" max="6912" width="9.140625" style="711"/>
    <col min="6913" max="6913" width="3.140625" style="711" customWidth="1"/>
    <col min="6914" max="6914" width="12.28515625" style="711" customWidth="1"/>
    <col min="6915" max="6915" width="34.85546875" style="711" customWidth="1"/>
    <col min="6916" max="6916" width="8.42578125" style="711" customWidth="1"/>
    <col min="6917" max="6917" width="8.28515625" style="711" customWidth="1"/>
    <col min="6918" max="6918" width="9.42578125" style="711" customWidth="1"/>
    <col min="6919" max="6919" width="8.28515625" style="711" customWidth="1"/>
    <col min="6920" max="6922" width="6.42578125" style="711" customWidth="1"/>
    <col min="6923" max="6923" width="7.140625" style="711" customWidth="1"/>
    <col min="6924" max="6924" width="4.5703125" style="711" customWidth="1"/>
    <col min="6925" max="6925" width="6.7109375" style="711" customWidth="1"/>
    <col min="6926" max="6926" width="6.85546875" style="711" customWidth="1"/>
    <col min="6927" max="6927" width="6.28515625" style="711" customWidth="1"/>
    <col min="6928" max="6928" width="4" style="711" customWidth="1"/>
    <col min="6929" max="6929" width="7.28515625" style="711" customWidth="1"/>
    <col min="6930" max="6930" width="7.5703125" style="711" customWidth="1"/>
    <col min="6931" max="6931" width="6" style="711" customWidth="1"/>
    <col min="6932" max="6932" width="4.7109375" style="711" customWidth="1"/>
    <col min="6933" max="6933" width="5.42578125" style="711" customWidth="1"/>
    <col min="6934" max="6934" width="5.7109375" style="711" customWidth="1"/>
    <col min="6935" max="6935" width="5.85546875" style="711" customWidth="1"/>
    <col min="6936" max="6936" width="5.7109375" style="711" customWidth="1"/>
    <col min="6937" max="6947" width="0" style="711" hidden="1" customWidth="1"/>
    <col min="6948" max="6948" width="5.85546875" style="711" customWidth="1"/>
    <col min="6949" max="6949" width="5.7109375" style="711" customWidth="1"/>
    <col min="6950" max="6950" width="5" style="711" customWidth="1"/>
    <col min="6951" max="6951" width="4.140625" style="711" customWidth="1"/>
    <col min="6952" max="6952" width="5.85546875" style="711" customWidth="1"/>
    <col min="6953" max="6953" width="5.7109375" style="711" customWidth="1"/>
    <col min="6954" max="6954" width="4.7109375" style="711" customWidth="1"/>
    <col min="6955" max="6955" width="4.42578125" style="711" customWidth="1"/>
    <col min="6956" max="6959" width="0" style="711" hidden="1" customWidth="1"/>
    <col min="6960" max="6960" width="5.85546875" style="711" customWidth="1"/>
    <col min="6961" max="6961" width="5.42578125" style="711" customWidth="1"/>
    <col min="6962" max="6962" width="5.28515625" style="711" customWidth="1"/>
    <col min="6963" max="6963" width="4.85546875" style="711" customWidth="1"/>
    <col min="6964" max="6975" width="0" style="711" hidden="1" customWidth="1"/>
    <col min="6976" max="6976" width="5.85546875" style="711" customWidth="1"/>
    <col min="6977" max="6977" width="5.42578125" style="711" customWidth="1"/>
    <col min="6978" max="6978" width="5.140625" style="711" customWidth="1"/>
    <col min="6979" max="6979" width="4.140625" style="711" customWidth="1"/>
    <col min="6980" max="6980" width="6.140625" style="711" customWidth="1"/>
    <col min="6981" max="6982" width="5.5703125" style="711" customWidth="1"/>
    <col min="6983" max="6983" width="4.42578125" style="711" customWidth="1"/>
    <col min="6984" max="6995" width="0" style="711" hidden="1" customWidth="1"/>
    <col min="6996" max="6996" width="7.5703125" style="711" customWidth="1"/>
    <col min="6997" max="6997" width="6.42578125" style="711" customWidth="1"/>
    <col min="6998" max="6998" width="5.42578125" style="711" customWidth="1"/>
    <col min="6999" max="6999" width="5.140625" style="711" customWidth="1"/>
    <col min="7000" max="7000" width="5.7109375" style="711" customWidth="1"/>
    <col min="7001" max="7001" width="5.42578125" style="711" customWidth="1"/>
    <col min="7002" max="7002" width="4.5703125" style="711" customWidth="1"/>
    <col min="7003" max="7003" width="5.42578125" style="711" customWidth="1"/>
    <col min="7004" max="7006" width="5.85546875" style="711" customWidth="1"/>
    <col min="7007" max="7007" width="4.42578125" style="711" customWidth="1"/>
    <col min="7008" max="7022" width="0" style="711" hidden="1" customWidth="1"/>
    <col min="7023" max="7023" width="9.140625" style="711" customWidth="1"/>
    <col min="7024" max="7168" width="9.140625" style="711"/>
    <col min="7169" max="7169" width="3.140625" style="711" customWidth="1"/>
    <col min="7170" max="7170" width="12.28515625" style="711" customWidth="1"/>
    <col min="7171" max="7171" width="34.85546875" style="711" customWidth="1"/>
    <col min="7172" max="7172" width="8.42578125" style="711" customWidth="1"/>
    <col min="7173" max="7173" width="8.28515625" style="711" customWidth="1"/>
    <col min="7174" max="7174" width="9.42578125" style="711" customWidth="1"/>
    <col min="7175" max="7175" width="8.28515625" style="711" customWidth="1"/>
    <col min="7176" max="7178" width="6.42578125" style="711" customWidth="1"/>
    <col min="7179" max="7179" width="7.140625" style="711" customWidth="1"/>
    <col min="7180" max="7180" width="4.5703125" style="711" customWidth="1"/>
    <col min="7181" max="7181" width="6.7109375" style="711" customWidth="1"/>
    <col min="7182" max="7182" width="6.85546875" style="711" customWidth="1"/>
    <col min="7183" max="7183" width="6.28515625" style="711" customWidth="1"/>
    <col min="7184" max="7184" width="4" style="711" customWidth="1"/>
    <col min="7185" max="7185" width="7.28515625" style="711" customWidth="1"/>
    <col min="7186" max="7186" width="7.5703125" style="711" customWidth="1"/>
    <col min="7187" max="7187" width="6" style="711" customWidth="1"/>
    <col min="7188" max="7188" width="4.7109375" style="711" customWidth="1"/>
    <col min="7189" max="7189" width="5.42578125" style="711" customWidth="1"/>
    <col min="7190" max="7190" width="5.7109375" style="711" customWidth="1"/>
    <col min="7191" max="7191" width="5.85546875" style="711" customWidth="1"/>
    <col min="7192" max="7192" width="5.7109375" style="711" customWidth="1"/>
    <col min="7193" max="7203" width="0" style="711" hidden="1" customWidth="1"/>
    <col min="7204" max="7204" width="5.85546875" style="711" customWidth="1"/>
    <col min="7205" max="7205" width="5.7109375" style="711" customWidth="1"/>
    <col min="7206" max="7206" width="5" style="711" customWidth="1"/>
    <col min="7207" max="7207" width="4.140625" style="711" customWidth="1"/>
    <col min="7208" max="7208" width="5.85546875" style="711" customWidth="1"/>
    <col min="7209" max="7209" width="5.7109375" style="711" customWidth="1"/>
    <col min="7210" max="7210" width="4.7109375" style="711" customWidth="1"/>
    <col min="7211" max="7211" width="4.42578125" style="711" customWidth="1"/>
    <col min="7212" max="7215" width="0" style="711" hidden="1" customWidth="1"/>
    <col min="7216" max="7216" width="5.85546875" style="711" customWidth="1"/>
    <col min="7217" max="7217" width="5.42578125" style="711" customWidth="1"/>
    <col min="7218" max="7218" width="5.28515625" style="711" customWidth="1"/>
    <col min="7219" max="7219" width="4.85546875" style="711" customWidth="1"/>
    <col min="7220" max="7231" width="0" style="711" hidden="1" customWidth="1"/>
    <col min="7232" max="7232" width="5.85546875" style="711" customWidth="1"/>
    <col min="7233" max="7233" width="5.42578125" style="711" customWidth="1"/>
    <col min="7234" max="7234" width="5.140625" style="711" customWidth="1"/>
    <col min="7235" max="7235" width="4.140625" style="711" customWidth="1"/>
    <col min="7236" max="7236" width="6.140625" style="711" customWidth="1"/>
    <col min="7237" max="7238" width="5.5703125" style="711" customWidth="1"/>
    <col min="7239" max="7239" width="4.42578125" style="711" customWidth="1"/>
    <col min="7240" max="7251" width="0" style="711" hidden="1" customWidth="1"/>
    <col min="7252" max="7252" width="7.5703125" style="711" customWidth="1"/>
    <col min="7253" max="7253" width="6.42578125" style="711" customWidth="1"/>
    <col min="7254" max="7254" width="5.42578125" style="711" customWidth="1"/>
    <col min="7255" max="7255" width="5.140625" style="711" customWidth="1"/>
    <col min="7256" max="7256" width="5.7109375" style="711" customWidth="1"/>
    <col min="7257" max="7257" width="5.42578125" style="711" customWidth="1"/>
    <col min="7258" max="7258" width="4.5703125" style="711" customWidth="1"/>
    <col min="7259" max="7259" width="5.42578125" style="711" customWidth="1"/>
    <col min="7260" max="7262" width="5.85546875" style="711" customWidth="1"/>
    <col min="7263" max="7263" width="4.42578125" style="711" customWidth="1"/>
    <col min="7264" max="7278" width="0" style="711" hidden="1" customWidth="1"/>
    <col min="7279" max="7279" width="9.140625" style="711" customWidth="1"/>
    <col min="7280" max="7424" width="9.140625" style="711"/>
    <col min="7425" max="7425" width="3.140625" style="711" customWidth="1"/>
    <col min="7426" max="7426" width="12.28515625" style="711" customWidth="1"/>
    <col min="7427" max="7427" width="34.85546875" style="711" customWidth="1"/>
    <col min="7428" max="7428" width="8.42578125" style="711" customWidth="1"/>
    <col min="7429" max="7429" width="8.28515625" style="711" customWidth="1"/>
    <col min="7430" max="7430" width="9.42578125" style="711" customWidth="1"/>
    <col min="7431" max="7431" width="8.28515625" style="711" customWidth="1"/>
    <col min="7432" max="7434" width="6.42578125" style="711" customWidth="1"/>
    <col min="7435" max="7435" width="7.140625" style="711" customWidth="1"/>
    <col min="7436" max="7436" width="4.5703125" style="711" customWidth="1"/>
    <col min="7437" max="7437" width="6.7109375" style="711" customWidth="1"/>
    <col min="7438" max="7438" width="6.85546875" style="711" customWidth="1"/>
    <col min="7439" max="7439" width="6.28515625" style="711" customWidth="1"/>
    <col min="7440" max="7440" width="4" style="711" customWidth="1"/>
    <col min="7441" max="7441" width="7.28515625" style="711" customWidth="1"/>
    <col min="7442" max="7442" width="7.5703125" style="711" customWidth="1"/>
    <col min="7443" max="7443" width="6" style="711" customWidth="1"/>
    <col min="7444" max="7444" width="4.7109375" style="711" customWidth="1"/>
    <col min="7445" max="7445" width="5.42578125" style="711" customWidth="1"/>
    <col min="7446" max="7446" width="5.7109375" style="711" customWidth="1"/>
    <col min="7447" max="7447" width="5.85546875" style="711" customWidth="1"/>
    <col min="7448" max="7448" width="5.7109375" style="711" customWidth="1"/>
    <col min="7449" max="7459" width="0" style="711" hidden="1" customWidth="1"/>
    <col min="7460" max="7460" width="5.85546875" style="711" customWidth="1"/>
    <col min="7461" max="7461" width="5.7109375" style="711" customWidth="1"/>
    <col min="7462" max="7462" width="5" style="711" customWidth="1"/>
    <col min="7463" max="7463" width="4.140625" style="711" customWidth="1"/>
    <col min="7464" max="7464" width="5.85546875" style="711" customWidth="1"/>
    <col min="7465" max="7465" width="5.7109375" style="711" customWidth="1"/>
    <col min="7466" max="7466" width="4.7109375" style="711" customWidth="1"/>
    <col min="7467" max="7467" width="4.42578125" style="711" customWidth="1"/>
    <col min="7468" max="7471" width="0" style="711" hidden="1" customWidth="1"/>
    <col min="7472" max="7472" width="5.85546875" style="711" customWidth="1"/>
    <col min="7473" max="7473" width="5.42578125" style="711" customWidth="1"/>
    <col min="7474" max="7474" width="5.28515625" style="711" customWidth="1"/>
    <col min="7475" max="7475" width="4.85546875" style="711" customWidth="1"/>
    <col min="7476" max="7487" width="0" style="711" hidden="1" customWidth="1"/>
    <col min="7488" max="7488" width="5.85546875" style="711" customWidth="1"/>
    <col min="7489" max="7489" width="5.42578125" style="711" customWidth="1"/>
    <col min="7490" max="7490" width="5.140625" style="711" customWidth="1"/>
    <col min="7491" max="7491" width="4.140625" style="711" customWidth="1"/>
    <col min="7492" max="7492" width="6.140625" style="711" customWidth="1"/>
    <col min="7493" max="7494" width="5.5703125" style="711" customWidth="1"/>
    <col min="7495" max="7495" width="4.42578125" style="711" customWidth="1"/>
    <col min="7496" max="7507" width="0" style="711" hidden="1" customWidth="1"/>
    <col min="7508" max="7508" width="7.5703125" style="711" customWidth="1"/>
    <col min="7509" max="7509" width="6.42578125" style="711" customWidth="1"/>
    <col min="7510" max="7510" width="5.42578125" style="711" customWidth="1"/>
    <col min="7511" max="7511" width="5.140625" style="711" customWidth="1"/>
    <col min="7512" max="7512" width="5.7109375" style="711" customWidth="1"/>
    <col min="7513" max="7513" width="5.42578125" style="711" customWidth="1"/>
    <col min="7514" max="7514" width="4.5703125" style="711" customWidth="1"/>
    <col min="7515" max="7515" width="5.42578125" style="711" customWidth="1"/>
    <col min="7516" max="7518" width="5.85546875" style="711" customWidth="1"/>
    <col min="7519" max="7519" width="4.42578125" style="711" customWidth="1"/>
    <col min="7520" max="7534" width="0" style="711" hidden="1" customWidth="1"/>
    <col min="7535" max="7535" width="9.140625" style="711" customWidth="1"/>
    <col min="7536" max="7680" width="9.140625" style="711"/>
    <col min="7681" max="7681" width="3.140625" style="711" customWidth="1"/>
    <col min="7682" max="7682" width="12.28515625" style="711" customWidth="1"/>
    <col min="7683" max="7683" width="34.85546875" style="711" customWidth="1"/>
    <col min="7684" max="7684" width="8.42578125" style="711" customWidth="1"/>
    <col min="7685" max="7685" width="8.28515625" style="711" customWidth="1"/>
    <col min="7686" max="7686" width="9.42578125" style="711" customWidth="1"/>
    <col min="7687" max="7687" width="8.28515625" style="711" customWidth="1"/>
    <col min="7688" max="7690" width="6.42578125" style="711" customWidth="1"/>
    <col min="7691" max="7691" width="7.140625" style="711" customWidth="1"/>
    <col min="7692" max="7692" width="4.5703125" style="711" customWidth="1"/>
    <col min="7693" max="7693" width="6.7109375" style="711" customWidth="1"/>
    <col min="7694" max="7694" width="6.85546875" style="711" customWidth="1"/>
    <col min="7695" max="7695" width="6.28515625" style="711" customWidth="1"/>
    <col min="7696" max="7696" width="4" style="711" customWidth="1"/>
    <col min="7697" max="7697" width="7.28515625" style="711" customWidth="1"/>
    <col min="7698" max="7698" width="7.5703125" style="711" customWidth="1"/>
    <col min="7699" max="7699" width="6" style="711" customWidth="1"/>
    <col min="7700" max="7700" width="4.7109375" style="711" customWidth="1"/>
    <col min="7701" max="7701" width="5.42578125" style="711" customWidth="1"/>
    <col min="7702" max="7702" width="5.7109375" style="711" customWidth="1"/>
    <col min="7703" max="7703" width="5.85546875" style="711" customWidth="1"/>
    <col min="7704" max="7704" width="5.7109375" style="711" customWidth="1"/>
    <col min="7705" max="7715" width="0" style="711" hidden="1" customWidth="1"/>
    <col min="7716" max="7716" width="5.85546875" style="711" customWidth="1"/>
    <col min="7717" max="7717" width="5.7109375" style="711" customWidth="1"/>
    <col min="7718" max="7718" width="5" style="711" customWidth="1"/>
    <col min="7719" max="7719" width="4.140625" style="711" customWidth="1"/>
    <col min="7720" max="7720" width="5.85546875" style="711" customWidth="1"/>
    <col min="7721" max="7721" width="5.7109375" style="711" customWidth="1"/>
    <col min="7722" max="7722" width="4.7109375" style="711" customWidth="1"/>
    <col min="7723" max="7723" width="4.42578125" style="711" customWidth="1"/>
    <col min="7724" max="7727" width="0" style="711" hidden="1" customWidth="1"/>
    <col min="7728" max="7728" width="5.85546875" style="711" customWidth="1"/>
    <col min="7729" max="7729" width="5.42578125" style="711" customWidth="1"/>
    <col min="7730" max="7730" width="5.28515625" style="711" customWidth="1"/>
    <col min="7731" max="7731" width="4.85546875" style="711" customWidth="1"/>
    <col min="7732" max="7743" width="0" style="711" hidden="1" customWidth="1"/>
    <col min="7744" max="7744" width="5.85546875" style="711" customWidth="1"/>
    <col min="7745" max="7745" width="5.42578125" style="711" customWidth="1"/>
    <col min="7746" max="7746" width="5.140625" style="711" customWidth="1"/>
    <col min="7747" max="7747" width="4.140625" style="711" customWidth="1"/>
    <col min="7748" max="7748" width="6.140625" style="711" customWidth="1"/>
    <col min="7749" max="7750" width="5.5703125" style="711" customWidth="1"/>
    <col min="7751" max="7751" width="4.42578125" style="711" customWidth="1"/>
    <col min="7752" max="7763" width="0" style="711" hidden="1" customWidth="1"/>
    <col min="7764" max="7764" width="7.5703125" style="711" customWidth="1"/>
    <col min="7765" max="7765" width="6.42578125" style="711" customWidth="1"/>
    <col min="7766" max="7766" width="5.42578125" style="711" customWidth="1"/>
    <col min="7767" max="7767" width="5.140625" style="711" customWidth="1"/>
    <col min="7768" max="7768" width="5.7109375" style="711" customWidth="1"/>
    <col min="7769" max="7769" width="5.42578125" style="711" customWidth="1"/>
    <col min="7770" max="7770" width="4.5703125" style="711" customWidth="1"/>
    <col min="7771" max="7771" width="5.42578125" style="711" customWidth="1"/>
    <col min="7772" max="7774" width="5.85546875" style="711" customWidth="1"/>
    <col min="7775" max="7775" width="4.42578125" style="711" customWidth="1"/>
    <col min="7776" max="7790" width="0" style="711" hidden="1" customWidth="1"/>
    <col min="7791" max="7791" width="9.140625" style="711" customWidth="1"/>
    <col min="7792" max="7936" width="9.140625" style="711"/>
    <col min="7937" max="7937" width="3.140625" style="711" customWidth="1"/>
    <col min="7938" max="7938" width="12.28515625" style="711" customWidth="1"/>
    <col min="7939" max="7939" width="34.85546875" style="711" customWidth="1"/>
    <col min="7940" max="7940" width="8.42578125" style="711" customWidth="1"/>
    <col min="7941" max="7941" width="8.28515625" style="711" customWidth="1"/>
    <col min="7942" max="7942" width="9.42578125" style="711" customWidth="1"/>
    <col min="7943" max="7943" width="8.28515625" style="711" customWidth="1"/>
    <col min="7944" max="7946" width="6.42578125" style="711" customWidth="1"/>
    <col min="7947" max="7947" width="7.140625" style="711" customWidth="1"/>
    <col min="7948" max="7948" width="4.5703125" style="711" customWidth="1"/>
    <col min="7949" max="7949" width="6.7109375" style="711" customWidth="1"/>
    <col min="7950" max="7950" width="6.85546875" style="711" customWidth="1"/>
    <col min="7951" max="7951" width="6.28515625" style="711" customWidth="1"/>
    <col min="7952" max="7952" width="4" style="711" customWidth="1"/>
    <col min="7953" max="7953" width="7.28515625" style="711" customWidth="1"/>
    <col min="7954" max="7954" width="7.5703125" style="711" customWidth="1"/>
    <col min="7955" max="7955" width="6" style="711" customWidth="1"/>
    <col min="7956" max="7956" width="4.7109375" style="711" customWidth="1"/>
    <col min="7957" max="7957" width="5.42578125" style="711" customWidth="1"/>
    <col min="7958" max="7958" width="5.7109375" style="711" customWidth="1"/>
    <col min="7959" max="7959" width="5.85546875" style="711" customWidth="1"/>
    <col min="7960" max="7960" width="5.7109375" style="711" customWidth="1"/>
    <col min="7961" max="7971" width="0" style="711" hidden="1" customWidth="1"/>
    <col min="7972" max="7972" width="5.85546875" style="711" customWidth="1"/>
    <col min="7973" max="7973" width="5.7109375" style="711" customWidth="1"/>
    <col min="7974" max="7974" width="5" style="711" customWidth="1"/>
    <col min="7975" max="7975" width="4.140625" style="711" customWidth="1"/>
    <col min="7976" max="7976" width="5.85546875" style="711" customWidth="1"/>
    <col min="7977" max="7977" width="5.7109375" style="711" customWidth="1"/>
    <col min="7978" max="7978" width="4.7109375" style="711" customWidth="1"/>
    <col min="7979" max="7979" width="4.42578125" style="711" customWidth="1"/>
    <col min="7980" max="7983" width="0" style="711" hidden="1" customWidth="1"/>
    <col min="7984" max="7984" width="5.85546875" style="711" customWidth="1"/>
    <col min="7985" max="7985" width="5.42578125" style="711" customWidth="1"/>
    <col min="7986" max="7986" width="5.28515625" style="711" customWidth="1"/>
    <col min="7987" max="7987" width="4.85546875" style="711" customWidth="1"/>
    <col min="7988" max="7999" width="0" style="711" hidden="1" customWidth="1"/>
    <col min="8000" max="8000" width="5.85546875" style="711" customWidth="1"/>
    <col min="8001" max="8001" width="5.42578125" style="711" customWidth="1"/>
    <col min="8002" max="8002" width="5.140625" style="711" customWidth="1"/>
    <col min="8003" max="8003" width="4.140625" style="711" customWidth="1"/>
    <col min="8004" max="8004" width="6.140625" style="711" customWidth="1"/>
    <col min="8005" max="8006" width="5.5703125" style="711" customWidth="1"/>
    <col min="8007" max="8007" width="4.42578125" style="711" customWidth="1"/>
    <col min="8008" max="8019" width="0" style="711" hidden="1" customWidth="1"/>
    <col min="8020" max="8020" width="7.5703125" style="711" customWidth="1"/>
    <col min="8021" max="8021" width="6.42578125" style="711" customWidth="1"/>
    <col min="8022" max="8022" width="5.42578125" style="711" customWidth="1"/>
    <col min="8023" max="8023" width="5.140625" style="711" customWidth="1"/>
    <col min="8024" max="8024" width="5.7109375" style="711" customWidth="1"/>
    <col min="8025" max="8025" width="5.42578125" style="711" customWidth="1"/>
    <col min="8026" max="8026" width="4.5703125" style="711" customWidth="1"/>
    <col min="8027" max="8027" width="5.42578125" style="711" customWidth="1"/>
    <col min="8028" max="8030" width="5.85546875" style="711" customWidth="1"/>
    <col min="8031" max="8031" width="4.42578125" style="711" customWidth="1"/>
    <col min="8032" max="8046" width="0" style="711" hidden="1" customWidth="1"/>
    <col min="8047" max="8047" width="9.140625" style="711" customWidth="1"/>
    <col min="8048" max="8192" width="9.140625" style="711"/>
    <col min="8193" max="8193" width="3.140625" style="711" customWidth="1"/>
    <col min="8194" max="8194" width="12.28515625" style="711" customWidth="1"/>
    <col min="8195" max="8195" width="34.85546875" style="711" customWidth="1"/>
    <col min="8196" max="8196" width="8.42578125" style="711" customWidth="1"/>
    <col min="8197" max="8197" width="8.28515625" style="711" customWidth="1"/>
    <col min="8198" max="8198" width="9.42578125" style="711" customWidth="1"/>
    <col min="8199" max="8199" width="8.28515625" style="711" customWidth="1"/>
    <col min="8200" max="8202" width="6.42578125" style="711" customWidth="1"/>
    <col min="8203" max="8203" width="7.140625" style="711" customWidth="1"/>
    <col min="8204" max="8204" width="4.5703125" style="711" customWidth="1"/>
    <col min="8205" max="8205" width="6.7109375" style="711" customWidth="1"/>
    <col min="8206" max="8206" width="6.85546875" style="711" customWidth="1"/>
    <col min="8207" max="8207" width="6.28515625" style="711" customWidth="1"/>
    <col min="8208" max="8208" width="4" style="711" customWidth="1"/>
    <col min="8209" max="8209" width="7.28515625" style="711" customWidth="1"/>
    <col min="8210" max="8210" width="7.5703125" style="711" customWidth="1"/>
    <col min="8211" max="8211" width="6" style="711" customWidth="1"/>
    <col min="8212" max="8212" width="4.7109375" style="711" customWidth="1"/>
    <col min="8213" max="8213" width="5.42578125" style="711" customWidth="1"/>
    <col min="8214" max="8214" width="5.7109375" style="711" customWidth="1"/>
    <col min="8215" max="8215" width="5.85546875" style="711" customWidth="1"/>
    <col min="8216" max="8216" width="5.7109375" style="711" customWidth="1"/>
    <col min="8217" max="8227" width="0" style="711" hidden="1" customWidth="1"/>
    <col min="8228" max="8228" width="5.85546875" style="711" customWidth="1"/>
    <col min="8229" max="8229" width="5.7109375" style="711" customWidth="1"/>
    <col min="8230" max="8230" width="5" style="711" customWidth="1"/>
    <col min="8231" max="8231" width="4.140625" style="711" customWidth="1"/>
    <col min="8232" max="8232" width="5.85546875" style="711" customWidth="1"/>
    <col min="8233" max="8233" width="5.7109375" style="711" customWidth="1"/>
    <col min="8234" max="8234" width="4.7109375" style="711" customWidth="1"/>
    <col min="8235" max="8235" width="4.42578125" style="711" customWidth="1"/>
    <col min="8236" max="8239" width="0" style="711" hidden="1" customWidth="1"/>
    <col min="8240" max="8240" width="5.85546875" style="711" customWidth="1"/>
    <col min="8241" max="8241" width="5.42578125" style="711" customWidth="1"/>
    <col min="8242" max="8242" width="5.28515625" style="711" customWidth="1"/>
    <col min="8243" max="8243" width="4.85546875" style="711" customWidth="1"/>
    <col min="8244" max="8255" width="0" style="711" hidden="1" customWidth="1"/>
    <col min="8256" max="8256" width="5.85546875" style="711" customWidth="1"/>
    <col min="8257" max="8257" width="5.42578125" style="711" customWidth="1"/>
    <col min="8258" max="8258" width="5.140625" style="711" customWidth="1"/>
    <col min="8259" max="8259" width="4.140625" style="711" customWidth="1"/>
    <col min="8260" max="8260" width="6.140625" style="711" customWidth="1"/>
    <col min="8261" max="8262" width="5.5703125" style="711" customWidth="1"/>
    <col min="8263" max="8263" width="4.42578125" style="711" customWidth="1"/>
    <col min="8264" max="8275" width="0" style="711" hidden="1" customWidth="1"/>
    <col min="8276" max="8276" width="7.5703125" style="711" customWidth="1"/>
    <col min="8277" max="8277" width="6.42578125" style="711" customWidth="1"/>
    <col min="8278" max="8278" width="5.42578125" style="711" customWidth="1"/>
    <col min="8279" max="8279" width="5.140625" style="711" customWidth="1"/>
    <col min="8280" max="8280" width="5.7109375" style="711" customWidth="1"/>
    <col min="8281" max="8281" width="5.42578125" style="711" customWidth="1"/>
    <col min="8282" max="8282" width="4.5703125" style="711" customWidth="1"/>
    <col min="8283" max="8283" width="5.42578125" style="711" customWidth="1"/>
    <col min="8284" max="8286" width="5.85546875" style="711" customWidth="1"/>
    <col min="8287" max="8287" width="4.42578125" style="711" customWidth="1"/>
    <col min="8288" max="8302" width="0" style="711" hidden="1" customWidth="1"/>
    <col min="8303" max="8303" width="9.140625" style="711" customWidth="1"/>
    <col min="8304" max="8448" width="9.140625" style="711"/>
    <col min="8449" max="8449" width="3.140625" style="711" customWidth="1"/>
    <col min="8450" max="8450" width="12.28515625" style="711" customWidth="1"/>
    <col min="8451" max="8451" width="34.85546875" style="711" customWidth="1"/>
    <col min="8452" max="8452" width="8.42578125" style="711" customWidth="1"/>
    <col min="8453" max="8453" width="8.28515625" style="711" customWidth="1"/>
    <col min="8454" max="8454" width="9.42578125" style="711" customWidth="1"/>
    <col min="8455" max="8455" width="8.28515625" style="711" customWidth="1"/>
    <col min="8456" max="8458" width="6.42578125" style="711" customWidth="1"/>
    <col min="8459" max="8459" width="7.140625" style="711" customWidth="1"/>
    <col min="8460" max="8460" width="4.5703125" style="711" customWidth="1"/>
    <col min="8461" max="8461" width="6.7109375" style="711" customWidth="1"/>
    <col min="8462" max="8462" width="6.85546875" style="711" customWidth="1"/>
    <col min="8463" max="8463" width="6.28515625" style="711" customWidth="1"/>
    <col min="8464" max="8464" width="4" style="711" customWidth="1"/>
    <col min="8465" max="8465" width="7.28515625" style="711" customWidth="1"/>
    <col min="8466" max="8466" width="7.5703125" style="711" customWidth="1"/>
    <col min="8467" max="8467" width="6" style="711" customWidth="1"/>
    <col min="8468" max="8468" width="4.7109375" style="711" customWidth="1"/>
    <col min="8469" max="8469" width="5.42578125" style="711" customWidth="1"/>
    <col min="8470" max="8470" width="5.7109375" style="711" customWidth="1"/>
    <col min="8471" max="8471" width="5.85546875" style="711" customWidth="1"/>
    <col min="8472" max="8472" width="5.7109375" style="711" customWidth="1"/>
    <col min="8473" max="8483" width="0" style="711" hidden="1" customWidth="1"/>
    <col min="8484" max="8484" width="5.85546875" style="711" customWidth="1"/>
    <col min="8485" max="8485" width="5.7109375" style="711" customWidth="1"/>
    <col min="8486" max="8486" width="5" style="711" customWidth="1"/>
    <col min="8487" max="8487" width="4.140625" style="711" customWidth="1"/>
    <col min="8488" max="8488" width="5.85546875" style="711" customWidth="1"/>
    <col min="8489" max="8489" width="5.7109375" style="711" customWidth="1"/>
    <col min="8490" max="8490" width="4.7109375" style="711" customWidth="1"/>
    <col min="8491" max="8491" width="4.42578125" style="711" customWidth="1"/>
    <col min="8492" max="8495" width="0" style="711" hidden="1" customWidth="1"/>
    <col min="8496" max="8496" width="5.85546875" style="711" customWidth="1"/>
    <col min="8497" max="8497" width="5.42578125" style="711" customWidth="1"/>
    <col min="8498" max="8498" width="5.28515625" style="711" customWidth="1"/>
    <col min="8499" max="8499" width="4.85546875" style="711" customWidth="1"/>
    <col min="8500" max="8511" width="0" style="711" hidden="1" customWidth="1"/>
    <col min="8512" max="8512" width="5.85546875" style="711" customWidth="1"/>
    <col min="8513" max="8513" width="5.42578125" style="711" customWidth="1"/>
    <col min="8514" max="8514" width="5.140625" style="711" customWidth="1"/>
    <col min="8515" max="8515" width="4.140625" style="711" customWidth="1"/>
    <col min="8516" max="8516" width="6.140625" style="711" customWidth="1"/>
    <col min="8517" max="8518" width="5.5703125" style="711" customWidth="1"/>
    <col min="8519" max="8519" width="4.42578125" style="711" customWidth="1"/>
    <col min="8520" max="8531" width="0" style="711" hidden="1" customWidth="1"/>
    <col min="8532" max="8532" width="7.5703125" style="711" customWidth="1"/>
    <col min="8533" max="8533" width="6.42578125" style="711" customWidth="1"/>
    <col min="8534" max="8534" width="5.42578125" style="711" customWidth="1"/>
    <col min="8535" max="8535" width="5.140625" style="711" customWidth="1"/>
    <col min="8536" max="8536" width="5.7109375" style="711" customWidth="1"/>
    <col min="8537" max="8537" width="5.42578125" style="711" customWidth="1"/>
    <col min="8538" max="8538" width="4.5703125" style="711" customWidth="1"/>
    <col min="8539" max="8539" width="5.42578125" style="711" customWidth="1"/>
    <col min="8540" max="8542" width="5.85546875" style="711" customWidth="1"/>
    <col min="8543" max="8543" width="4.42578125" style="711" customWidth="1"/>
    <col min="8544" max="8558" width="0" style="711" hidden="1" customWidth="1"/>
    <col min="8559" max="8559" width="9.140625" style="711" customWidth="1"/>
    <col min="8560" max="8704" width="9.140625" style="711"/>
    <col min="8705" max="8705" width="3.140625" style="711" customWidth="1"/>
    <col min="8706" max="8706" width="12.28515625" style="711" customWidth="1"/>
    <col min="8707" max="8707" width="34.85546875" style="711" customWidth="1"/>
    <col min="8708" max="8708" width="8.42578125" style="711" customWidth="1"/>
    <col min="8709" max="8709" width="8.28515625" style="711" customWidth="1"/>
    <col min="8710" max="8710" width="9.42578125" style="711" customWidth="1"/>
    <col min="8711" max="8711" width="8.28515625" style="711" customWidth="1"/>
    <col min="8712" max="8714" width="6.42578125" style="711" customWidth="1"/>
    <col min="8715" max="8715" width="7.140625" style="711" customWidth="1"/>
    <col min="8716" max="8716" width="4.5703125" style="711" customWidth="1"/>
    <col min="8717" max="8717" width="6.7109375" style="711" customWidth="1"/>
    <col min="8718" max="8718" width="6.85546875" style="711" customWidth="1"/>
    <col min="8719" max="8719" width="6.28515625" style="711" customWidth="1"/>
    <col min="8720" max="8720" width="4" style="711" customWidth="1"/>
    <col min="8721" max="8721" width="7.28515625" style="711" customWidth="1"/>
    <col min="8722" max="8722" width="7.5703125" style="711" customWidth="1"/>
    <col min="8723" max="8723" width="6" style="711" customWidth="1"/>
    <col min="8724" max="8724" width="4.7109375" style="711" customWidth="1"/>
    <col min="8725" max="8725" width="5.42578125" style="711" customWidth="1"/>
    <col min="8726" max="8726" width="5.7109375" style="711" customWidth="1"/>
    <col min="8727" max="8727" width="5.85546875" style="711" customWidth="1"/>
    <col min="8728" max="8728" width="5.7109375" style="711" customWidth="1"/>
    <col min="8729" max="8739" width="0" style="711" hidden="1" customWidth="1"/>
    <col min="8740" max="8740" width="5.85546875" style="711" customWidth="1"/>
    <col min="8741" max="8741" width="5.7109375" style="711" customWidth="1"/>
    <col min="8742" max="8742" width="5" style="711" customWidth="1"/>
    <col min="8743" max="8743" width="4.140625" style="711" customWidth="1"/>
    <col min="8744" max="8744" width="5.85546875" style="711" customWidth="1"/>
    <col min="8745" max="8745" width="5.7109375" style="711" customWidth="1"/>
    <col min="8746" max="8746" width="4.7109375" style="711" customWidth="1"/>
    <col min="8747" max="8747" width="4.42578125" style="711" customWidth="1"/>
    <col min="8748" max="8751" width="0" style="711" hidden="1" customWidth="1"/>
    <col min="8752" max="8752" width="5.85546875" style="711" customWidth="1"/>
    <col min="8753" max="8753" width="5.42578125" style="711" customWidth="1"/>
    <col min="8754" max="8754" width="5.28515625" style="711" customWidth="1"/>
    <col min="8755" max="8755" width="4.85546875" style="711" customWidth="1"/>
    <col min="8756" max="8767" width="0" style="711" hidden="1" customWidth="1"/>
    <col min="8768" max="8768" width="5.85546875" style="711" customWidth="1"/>
    <col min="8769" max="8769" width="5.42578125" style="711" customWidth="1"/>
    <col min="8770" max="8770" width="5.140625" style="711" customWidth="1"/>
    <col min="8771" max="8771" width="4.140625" style="711" customWidth="1"/>
    <col min="8772" max="8772" width="6.140625" style="711" customWidth="1"/>
    <col min="8773" max="8774" width="5.5703125" style="711" customWidth="1"/>
    <col min="8775" max="8775" width="4.42578125" style="711" customWidth="1"/>
    <col min="8776" max="8787" width="0" style="711" hidden="1" customWidth="1"/>
    <col min="8788" max="8788" width="7.5703125" style="711" customWidth="1"/>
    <col min="8789" max="8789" width="6.42578125" style="711" customWidth="1"/>
    <col min="8790" max="8790" width="5.42578125" style="711" customWidth="1"/>
    <col min="8791" max="8791" width="5.140625" style="711" customWidth="1"/>
    <col min="8792" max="8792" width="5.7109375" style="711" customWidth="1"/>
    <col min="8793" max="8793" width="5.42578125" style="711" customWidth="1"/>
    <col min="8794" max="8794" width="4.5703125" style="711" customWidth="1"/>
    <col min="8795" max="8795" width="5.42578125" style="711" customWidth="1"/>
    <col min="8796" max="8798" width="5.85546875" style="711" customWidth="1"/>
    <col min="8799" max="8799" width="4.42578125" style="711" customWidth="1"/>
    <col min="8800" max="8814" width="0" style="711" hidden="1" customWidth="1"/>
    <col min="8815" max="8815" width="9.140625" style="711" customWidth="1"/>
    <col min="8816" max="8960" width="9.140625" style="711"/>
    <col min="8961" max="8961" width="3.140625" style="711" customWidth="1"/>
    <col min="8962" max="8962" width="12.28515625" style="711" customWidth="1"/>
    <col min="8963" max="8963" width="34.85546875" style="711" customWidth="1"/>
    <col min="8964" max="8964" width="8.42578125" style="711" customWidth="1"/>
    <col min="8965" max="8965" width="8.28515625" style="711" customWidth="1"/>
    <col min="8966" max="8966" width="9.42578125" style="711" customWidth="1"/>
    <col min="8967" max="8967" width="8.28515625" style="711" customWidth="1"/>
    <col min="8968" max="8970" width="6.42578125" style="711" customWidth="1"/>
    <col min="8971" max="8971" width="7.140625" style="711" customWidth="1"/>
    <col min="8972" max="8972" width="4.5703125" style="711" customWidth="1"/>
    <col min="8973" max="8973" width="6.7109375" style="711" customWidth="1"/>
    <col min="8974" max="8974" width="6.85546875" style="711" customWidth="1"/>
    <col min="8975" max="8975" width="6.28515625" style="711" customWidth="1"/>
    <col min="8976" max="8976" width="4" style="711" customWidth="1"/>
    <col min="8977" max="8977" width="7.28515625" style="711" customWidth="1"/>
    <col min="8978" max="8978" width="7.5703125" style="711" customWidth="1"/>
    <col min="8979" max="8979" width="6" style="711" customWidth="1"/>
    <col min="8980" max="8980" width="4.7109375" style="711" customWidth="1"/>
    <col min="8981" max="8981" width="5.42578125" style="711" customWidth="1"/>
    <col min="8982" max="8982" width="5.7109375" style="711" customWidth="1"/>
    <col min="8983" max="8983" width="5.85546875" style="711" customWidth="1"/>
    <col min="8984" max="8984" width="5.7109375" style="711" customWidth="1"/>
    <col min="8985" max="8995" width="0" style="711" hidden="1" customWidth="1"/>
    <col min="8996" max="8996" width="5.85546875" style="711" customWidth="1"/>
    <col min="8997" max="8997" width="5.7109375" style="711" customWidth="1"/>
    <col min="8998" max="8998" width="5" style="711" customWidth="1"/>
    <col min="8999" max="8999" width="4.140625" style="711" customWidth="1"/>
    <col min="9000" max="9000" width="5.85546875" style="711" customWidth="1"/>
    <col min="9001" max="9001" width="5.7109375" style="711" customWidth="1"/>
    <col min="9002" max="9002" width="4.7109375" style="711" customWidth="1"/>
    <col min="9003" max="9003" width="4.42578125" style="711" customWidth="1"/>
    <col min="9004" max="9007" width="0" style="711" hidden="1" customWidth="1"/>
    <col min="9008" max="9008" width="5.85546875" style="711" customWidth="1"/>
    <col min="9009" max="9009" width="5.42578125" style="711" customWidth="1"/>
    <col min="9010" max="9010" width="5.28515625" style="711" customWidth="1"/>
    <col min="9011" max="9011" width="4.85546875" style="711" customWidth="1"/>
    <col min="9012" max="9023" width="0" style="711" hidden="1" customWidth="1"/>
    <col min="9024" max="9024" width="5.85546875" style="711" customWidth="1"/>
    <col min="9025" max="9025" width="5.42578125" style="711" customWidth="1"/>
    <col min="9026" max="9026" width="5.140625" style="711" customWidth="1"/>
    <col min="9027" max="9027" width="4.140625" style="711" customWidth="1"/>
    <col min="9028" max="9028" width="6.140625" style="711" customWidth="1"/>
    <col min="9029" max="9030" width="5.5703125" style="711" customWidth="1"/>
    <col min="9031" max="9031" width="4.42578125" style="711" customWidth="1"/>
    <col min="9032" max="9043" width="0" style="711" hidden="1" customWidth="1"/>
    <col min="9044" max="9044" width="7.5703125" style="711" customWidth="1"/>
    <col min="9045" max="9045" width="6.42578125" style="711" customWidth="1"/>
    <col min="9046" max="9046" width="5.42578125" style="711" customWidth="1"/>
    <col min="9047" max="9047" width="5.140625" style="711" customWidth="1"/>
    <col min="9048" max="9048" width="5.7109375" style="711" customWidth="1"/>
    <col min="9049" max="9049" width="5.42578125" style="711" customWidth="1"/>
    <col min="9050" max="9050" width="4.5703125" style="711" customWidth="1"/>
    <col min="9051" max="9051" width="5.42578125" style="711" customWidth="1"/>
    <col min="9052" max="9054" width="5.85546875" style="711" customWidth="1"/>
    <col min="9055" max="9055" width="4.42578125" style="711" customWidth="1"/>
    <col min="9056" max="9070" width="0" style="711" hidden="1" customWidth="1"/>
    <col min="9071" max="9071" width="9.140625" style="711" customWidth="1"/>
    <col min="9072" max="9216" width="9.140625" style="711"/>
    <col min="9217" max="9217" width="3.140625" style="711" customWidth="1"/>
    <col min="9218" max="9218" width="12.28515625" style="711" customWidth="1"/>
    <col min="9219" max="9219" width="34.85546875" style="711" customWidth="1"/>
    <col min="9220" max="9220" width="8.42578125" style="711" customWidth="1"/>
    <col min="9221" max="9221" width="8.28515625" style="711" customWidth="1"/>
    <col min="9222" max="9222" width="9.42578125" style="711" customWidth="1"/>
    <col min="9223" max="9223" width="8.28515625" style="711" customWidth="1"/>
    <col min="9224" max="9226" width="6.42578125" style="711" customWidth="1"/>
    <col min="9227" max="9227" width="7.140625" style="711" customWidth="1"/>
    <col min="9228" max="9228" width="4.5703125" style="711" customWidth="1"/>
    <col min="9229" max="9229" width="6.7109375" style="711" customWidth="1"/>
    <col min="9230" max="9230" width="6.85546875" style="711" customWidth="1"/>
    <col min="9231" max="9231" width="6.28515625" style="711" customWidth="1"/>
    <col min="9232" max="9232" width="4" style="711" customWidth="1"/>
    <col min="9233" max="9233" width="7.28515625" style="711" customWidth="1"/>
    <col min="9234" max="9234" width="7.5703125" style="711" customWidth="1"/>
    <col min="9235" max="9235" width="6" style="711" customWidth="1"/>
    <col min="9236" max="9236" width="4.7109375" style="711" customWidth="1"/>
    <col min="9237" max="9237" width="5.42578125" style="711" customWidth="1"/>
    <col min="9238" max="9238" width="5.7109375" style="711" customWidth="1"/>
    <col min="9239" max="9239" width="5.85546875" style="711" customWidth="1"/>
    <col min="9240" max="9240" width="5.7109375" style="711" customWidth="1"/>
    <col min="9241" max="9251" width="0" style="711" hidden="1" customWidth="1"/>
    <col min="9252" max="9252" width="5.85546875" style="711" customWidth="1"/>
    <col min="9253" max="9253" width="5.7109375" style="711" customWidth="1"/>
    <col min="9254" max="9254" width="5" style="711" customWidth="1"/>
    <col min="9255" max="9255" width="4.140625" style="711" customWidth="1"/>
    <col min="9256" max="9256" width="5.85546875" style="711" customWidth="1"/>
    <col min="9257" max="9257" width="5.7109375" style="711" customWidth="1"/>
    <col min="9258" max="9258" width="4.7109375" style="711" customWidth="1"/>
    <col min="9259" max="9259" width="4.42578125" style="711" customWidth="1"/>
    <col min="9260" max="9263" width="0" style="711" hidden="1" customWidth="1"/>
    <col min="9264" max="9264" width="5.85546875" style="711" customWidth="1"/>
    <col min="9265" max="9265" width="5.42578125" style="711" customWidth="1"/>
    <col min="9266" max="9266" width="5.28515625" style="711" customWidth="1"/>
    <col min="9267" max="9267" width="4.85546875" style="711" customWidth="1"/>
    <col min="9268" max="9279" width="0" style="711" hidden="1" customWidth="1"/>
    <col min="9280" max="9280" width="5.85546875" style="711" customWidth="1"/>
    <col min="9281" max="9281" width="5.42578125" style="711" customWidth="1"/>
    <col min="9282" max="9282" width="5.140625" style="711" customWidth="1"/>
    <col min="9283" max="9283" width="4.140625" style="711" customWidth="1"/>
    <col min="9284" max="9284" width="6.140625" style="711" customWidth="1"/>
    <col min="9285" max="9286" width="5.5703125" style="711" customWidth="1"/>
    <col min="9287" max="9287" width="4.42578125" style="711" customWidth="1"/>
    <col min="9288" max="9299" width="0" style="711" hidden="1" customWidth="1"/>
    <col min="9300" max="9300" width="7.5703125" style="711" customWidth="1"/>
    <col min="9301" max="9301" width="6.42578125" style="711" customWidth="1"/>
    <col min="9302" max="9302" width="5.42578125" style="711" customWidth="1"/>
    <col min="9303" max="9303" width="5.140625" style="711" customWidth="1"/>
    <col min="9304" max="9304" width="5.7109375" style="711" customWidth="1"/>
    <col min="9305" max="9305" width="5.42578125" style="711" customWidth="1"/>
    <col min="9306" max="9306" width="4.5703125" style="711" customWidth="1"/>
    <col min="9307" max="9307" width="5.42578125" style="711" customWidth="1"/>
    <col min="9308" max="9310" width="5.85546875" style="711" customWidth="1"/>
    <col min="9311" max="9311" width="4.42578125" style="711" customWidth="1"/>
    <col min="9312" max="9326" width="0" style="711" hidden="1" customWidth="1"/>
    <col min="9327" max="9327" width="9.140625" style="711" customWidth="1"/>
    <col min="9328" max="9472" width="9.140625" style="711"/>
    <col min="9473" max="9473" width="3.140625" style="711" customWidth="1"/>
    <col min="9474" max="9474" width="12.28515625" style="711" customWidth="1"/>
    <col min="9475" max="9475" width="34.85546875" style="711" customWidth="1"/>
    <col min="9476" max="9476" width="8.42578125" style="711" customWidth="1"/>
    <col min="9477" max="9477" width="8.28515625" style="711" customWidth="1"/>
    <col min="9478" max="9478" width="9.42578125" style="711" customWidth="1"/>
    <col min="9479" max="9479" width="8.28515625" style="711" customWidth="1"/>
    <col min="9480" max="9482" width="6.42578125" style="711" customWidth="1"/>
    <col min="9483" max="9483" width="7.140625" style="711" customWidth="1"/>
    <col min="9484" max="9484" width="4.5703125" style="711" customWidth="1"/>
    <col min="9485" max="9485" width="6.7109375" style="711" customWidth="1"/>
    <col min="9486" max="9486" width="6.85546875" style="711" customWidth="1"/>
    <col min="9487" max="9487" width="6.28515625" style="711" customWidth="1"/>
    <col min="9488" max="9488" width="4" style="711" customWidth="1"/>
    <col min="9489" max="9489" width="7.28515625" style="711" customWidth="1"/>
    <col min="9490" max="9490" width="7.5703125" style="711" customWidth="1"/>
    <col min="9491" max="9491" width="6" style="711" customWidth="1"/>
    <col min="9492" max="9492" width="4.7109375" style="711" customWidth="1"/>
    <col min="9493" max="9493" width="5.42578125" style="711" customWidth="1"/>
    <col min="9494" max="9494" width="5.7109375" style="711" customWidth="1"/>
    <col min="9495" max="9495" width="5.85546875" style="711" customWidth="1"/>
    <col min="9496" max="9496" width="5.7109375" style="711" customWidth="1"/>
    <col min="9497" max="9507" width="0" style="711" hidden="1" customWidth="1"/>
    <col min="9508" max="9508" width="5.85546875" style="711" customWidth="1"/>
    <col min="9509" max="9509" width="5.7109375" style="711" customWidth="1"/>
    <col min="9510" max="9510" width="5" style="711" customWidth="1"/>
    <col min="9511" max="9511" width="4.140625" style="711" customWidth="1"/>
    <col min="9512" max="9512" width="5.85546875" style="711" customWidth="1"/>
    <col min="9513" max="9513" width="5.7109375" style="711" customWidth="1"/>
    <col min="9514" max="9514" width="4.7109375" style="711" customWidth="1"/>
    <col min="9515" max="9515" width="4.42578125" style="711" customWidth="1"/>
    <col min="9516" max="9519" width="0" style="711" hidden="1" customWidth="1"/>
    <col min="9520" max="9520" width="5.85546875" style="711" customWidth="1"/>
    <col min="9521" max="9521" width="5.42578125" style="711" customWidth="1"/>
    <col min="9522" max="9522" width="5.28515625" style="711" customWidth="1"/>
    <col min="9523" max="9523" width="4.85546875" style="711" customWidth="1"/>
    <col min="9524" max="9535" width="0" style="711" hidden="1" customWidth="1"/>
    <col min="9536" max="9536" width="5.85546875" style="711" customWidth="1"/>
    <col min="9537" max="9537" width="5.42578125" style="711" customWidth="1"/>
    <col min="9538" max="9538" width="5.140625" style="711" customWidth="1"/>
    <col min="9539" max="9539" width="4.140625" style="711" customWidth="1"/>
    <col min="9540" max="9540" width="6.140625" style="711" customWidth="1"/>
    <col min="9541" max="9542" width="5.5703125" style="711" customWidth="1"/>
    <col min="9543" max="9543" width="4.42578125" style="711" customWidth="1"/>
    <col min="9544" max="9555" width="0" style="711" hidden="1" customWidth="1"/>
    <col min="9556" max="9556" width="7.5703125" style="711" customWidth="1"/>
    <col min="9557" max="9557" width="6.42578125" style="711" customWidth="1"/>
    <col min="9558" max="9558" width="5.42578125" style="711" customWidth="1"/>
    <col min="9559" max="9559" width="5.140625" style="711" customWidth="1"/>
    <col min="9560" max="9560" width="5.7109375" style="711" customWidth="1"/>
    <col min="9561" max="9561" width="5.42578125" style="711" customWidth="1"/>
    <col min="9562" max="9562" width="4.5703125" style="711" customWidth="1"/>
    <col min="9563" max="9563" width="5.42578125" style="711" customWidth="1"/>
    <col min="9564" max="9566" width="5.85546875" style="711" customWidth="1"/>
    <col min="9567" max="9567" width="4.42578125" style="711" customWidth="1"/>
    <col min="9568" max="9582" width="0" style="711" hidden="1" customWidth="1"/>
    <col min="9583" max="9583" width="9.140625" style="711" customWidth="1"/>
    <col min="9584" max="9728" width="9.140625" style="711"/>
    <col min="9729" max="9729" width="3.140625" style="711" customWidth="1"/>
    <col min="9730" max="9730" width="12.28515625" style="711" customWidth="1"/>
    <col min="9731" max="9731" width="34.85546875" style="711" customWidth="1"/>
    <col min="9732" max="9732" width="8.42578125" style="711" customWidth="1"/>
    <col min="9733" max="9733" width="8.28515625" style="711" customWidth="1"/>
    <col min="9734" max="9734" width="9.42578125" style="711" customWidth="1"/>
    <col min="9735" max="9735" width="8.28515625" style="711" customWidth="1"/>
    <col min="9736" max="9738" width="6.42578125" style="711" customWidth="1"/>
    <col min="9739" max="9739" width="7.140625" style="711" customWidth="1"/>
    <col min="9740" max="9740" width="4.5703125" style="711" customWidth="1"/>
    <col min="9741" max="9741" width="6.7109375" style="711" customWidth="1"/>
    <col min="9742" max="9742" width="6.85546875" style="711" customWidth="1"/>
    <col min="9743" max="9743" width="6.28515625" style="711" customWidth="1"/>
    <col min="9744" max="9744" width="4" style="711" customWidth="1"/>
    <col min="9745" max="9745" width="7.28515625" style="711" customWidth="1"/>
    <col min="9746" max="9746" width="7.5703125" style="711" customWidth="1"/>
    <col min="9747" max="9747" width="6" style="711" customWidth="1"/>
    <col min="9748" max="9748" width="4.7109375" style="711" customWidth="1"/>
    <col min="9749" max="9749" width="5.42578125" style="711" customWidth="1"/>
    <col min="9750" max="9750" width="5.7109375" style="711" customWidth="1"/>
    <col min="9751" max="9751" width="5.85546875" style="711" customWidth="1"/>
    <col min="9752" max="9752" width="5.7109375" style="711" customWidth="1"/>
    <col min="9753" max="9763" width="0" style="711" hidden="1" customWidth="1"/>
    <col min="9764" max="9764" width="5.85546875" style="711" customWidth="1"/>
    <col min="9765" max="9765" width="5.7109375" style="711" customWidth="1"/>
    <col min="9766" max="9766" width="5" style="711" customWidth="1"/>
    <col min="9767" max="9767" width="4.140625" style="711" customWidth="1"/>
    <col min="9768" max="9768" width="5.85546875" style="711" customWidth="1"/>
    <col min="9769" max="9769" width="5.7109375" style="711" customWidth="1"/>
    <col min="9770" max="9770" width="4.7109375" style="711" customWidth="1"/>
    <col min="9771" max="9771" width="4.42578125" style="711" customWidth="1"/>
    <col min="9772" max="9775" width="0" style="711" hidden="1" customWidth="1"/>
    <col min="9776" max="9776" width="5.85546875" style="711" customWidth="1"/>
    <col min="9777" max="9777" width="5.42578125" style="711" customWidth="1"/>
    <col min="9778" max="9778" width="5.28515625" style="711" customWidth="1"/>
    <col min="9779" max="9779" width="4.85546875" style="711" customWidth="1"/>
    <col min="9780" max="9791" width="0" style="711" hidden="1" customWidth="1"/>
    <col min="9792" max="9792" width="5.85546875" style="711" customWidth="1"/>
    <col min="9793" max="9793" width="5.42578125" style="711" customWidth="1"/>
    <col min="9794" max="9794" width="5.140625" style="711" customWidth="1"/>
    <col min="9795" max="9795" width="4.140625" style="711" customWidth="1"/>
    <col min="9796" max="9796" width="6.140625" style="711" customWidth="1"/>
    <col min="9797" max="9798" width="5.5703125" style="711" customWidth="1"/>
    <col min="9799" max="9799" width="4.42578125" style="711" customWidth="1"/>
    <col min="9800" max="9811" width="0" style="711" hidden="1" customWidth="1"/>
    <col min="9812" max="9812" width="7.5703125" style="711" customWidth="1"/>
    <col min="9813" max="9813" width="6.42578125" style="711" customWidth="1"/>
    <col min="9814" max="9814" width="5.42578125" style="711" customWidth="1"/>
    <col min="9815" max="9815" width="5.140625" style="711" customWidth="1"/>
    <col min="9816" max="9816" width="5.7109375" style="711" customWidth="1"/>
    <col min="9817" max="9817" width="5.42578125" style="711" customWidth="1"/>
    <col min="9818" max="9818" width="4.5703125" style="711" customWidth="1"/>
    <col min="9819" max="9819" width="5.42578125" style="711" customWidth="1"/>
    <col min="9820" max="9822" width="5.85546875" style="711" customWidth="1"/>
    <col min="9823" max="9823" width="4.42578125" style="711" customWidth="1"/>
    <col min="9824" max="9838" width="0" style="711" hidden="1" customWidth="1"/>
    <col min="9839" max="9839" width="9.140625" style="711" customWidth="1"/>
    <col min="9840" max="9984" width="9.140625" style="711"/>
    <col min="9985" max="9985" width="3.140625" style="711" customWidth="1"/>
    <col min="9986" max="9986" width="12.28515625" style="711" customWidth="1"/>
    <col min="9987" max="9987" width="34.85546875" style="711" customWidth="1"/>
    <col min="9988" max="9988" width="8.42578125" style="711" customWidth="1"/>
    <col min="9989" max="9989" width="8.28515625" style="711" customWidth="1"/>
    <col min="9990" max="9990" width="9.42578125" style="711" customWidth="1"/>
    <col min="9991" max="9991" width="8.28515625" style="711" customWidth="1"/>
    <col min="9992" max="9994" width="6.42578125" style="711" customWidth="1"/>
    <col min="9995" max="9995" width="7.140625" style="711" customWidth="1"/>
    <col min="9996" max="9996" width="4.5703125" style="711" customWidth="1"/>
    <col min="9997" max="9997" width="6.7109375" style="711" customWidth="1"/>
    <col min="9998" max="9998" width="6.85546875" style="711" customWidth="1"/>
    <col min="9999" max="9999" width="6.28515625" style="711" customWidth="1"/>
    <col min="10000" max="10000" width="4" style="711" customWidth="1"/>
    <col min="10001" max="10001" width="7.28515625" style="711" customWidth="1"/>
    <col min="10002" max="10002" width="7.5703125" style="711" customWidth="1"/>
    <col min="10003" max="10003" width="6" style="711" customWidth="1"/>
    <col min="10004" max="10004" width="4.7109375" style="711" customWidth="1"/>
    <col min="10005" max="10005" width="5.42578125" style="711" customWidth="1"/>
    <col min="10006" max="10006" width="5.7109375" style="711" customWidth="1"/>
    <col min="10007" max="10007" width="5.85546875" style="711" customWidth="1"/>
    <col min="10008" max="10008" width="5.7109375" style="711" customWidth="1"/>
    <col min="10009" max="10019" width="0" style="711" hidden="1" customWidth="1"/>
    <col min="10020" max="10020" width="5.85546875" style="711" customWidth="1"/>
    <col min="10021" max="10021" width="5.7109375" style="711" customWidth="1"/>
    <col min="10022" max="10022" width="5" style="711" customWidth="1"/>
    <col min="10023" max="10023" width="4.140625" style="711" customWidth="1"/>
    <col min="10024" max="10024" width="5.85546875" style="711" customWidth="1"/>
    <col min="10025" max="10025" width="5.7109375" style="711" customWidth="1"/>
    <col min="10026" max="10026" width="4.7109375" style="711" customWidth="1"/>
    <col min="10027" max="10027" width="4.42578125" style="711" customWidth="1"/>
    <col min="10028" max="10031" width="0" style="711" hidden="1" customWidth="1"/>
    <col min="10032" max="10032" width="5.85546875" style="711" customWidth="1"/>
    <col min="10033" max="10033" width="5.42578125" style="711" customWidth="1"/>
    <col min="10034" max="10034" width="5.28515625" style="711" customWidth="1"/>
    <col min="10035" max="10035" width="4.85546875" style="711" customWidth="1"/>
    <col min="10036" max="10047" width="0" style="711" hidden="1" customWidth="1"/>
    <col min="10048" max="10048" width="5.85546875" style="711" customWidth="1"/>
    <col min="10049" max="10049" width="5.42578125" style="711" customWidth="1"/>
    <col min="10050" max="10050" width="5.140625" style="711" customWidth="1"/>
    <col min="10051" max="10051" width="4.140625" style="711" customWidth="1"/>
    <col min="10052" max="10052" width="6.140625" style="711" customWidth="1"/>
    <col min="10053" max="10054" width="5.5703125" style="711" customWidth="1"/>
    <col min="10055" max="10055" width="4.42578125" style="711" customWidth="1"/>
    <col min="10056" max="10067" width="0" style="711" hidden="1" customWidth="1"/>
    <col min="10068" max="10068" width="7.5703125" style="711" customWidth="1"/>
    <col min="10069" max="10069" width="6.42578125" style="711" customWidth="1"/>
    <col min="10070" max="10070" width="5.42578125" style="711" customWidth="1"/>
    <col min="10071" max="10071" width="5.140625" style="711" customWidth="1"/>
    <col min="10072" max="10072" width="5.7109375" style="711" customWidth="1"/>
    <col min="10073" max="10073" width="5.42578125" style="711" customWidth="1"/>
    <col min="10074" max="10074" width="4.5703125" style="711" customWidth="1"/>
    <col min="10075" max="10075" width="5.42578125" style="711" customWidth="1"/>
    <col min="10076" max="10078" width="5.85546875" style="711" customWidth="1"/>
    <col min="10079" max="10079" width="4.42578125" style="711" customWidth="1"/>
    <col min="10080" max="10094" width="0" style="711" hidden="1" customWidth="1"/>
    <col min="10095" max="10095" width="9.140625" style="711" customWidth="1"/>
    <col min="10096" max="10240" width="9.140625" style="711"/>
    <col min="10241" max="10241" width="3.140625" style="711" customWidth="1"/>
    <col min="10242" max="10242" width="12.28515625" style="711" customWidth="1"/>
    <col min="10243" max="10243" width="34.85546875" style="711" customWidth="1"/>
    <col min="10244" max="10244" width="8.42578125" style="711" customWidth="1"/>
    <col min="10245" max="10245" width="8.28515625" style="711" customWidth="1"/>
    <col min="10246" max="10246" width="9.42578125" style="711" customWidth="1"/>
    <col min="10247" max="10247" width="8.28515625" style="711" customWidth="1"/>
    <col min="10248" max="10250" width="6.42578125" style="711" customWidth="1"/>
    <col min="10251" max="10251" width="7.140625" style="711" customWidth="1"/>
    <col min="10252" max="10252" width="4.5703125" style="711" customWidth="1"/>
    <col min="10253" max="10253" width="6.7109375" style="711" customWidth="1"/>
    <col min="10254" max="10254" width="6.85546875" style="711" customWidth="1"/>
    <col min="10255" max="10255" width="6.28515625" style="711" customWidth="1"/>
    <col min="10256" max="10256" width="4" style="711" customWidth="1"/>
    <col min="10257" max="10257" width="7.28515625" style="711" customWidth="1"/>
    <col min="10258" max="10258" width="7.5703125" style="711" customWidth="1"/>
    <col min="10259" max="10259" width="6" style="711" customWidth="1"/>
    <col min="10260" max="10260" width="4.7109375" style="711" customWidth="1"/>
    <col min="10261" max="10261" width="5.42578125" style="711" customWidth="1"/>
    <col min="10262" max="10262" width="5.7109375" style="711" customWidth="1"/>
    <col min="10263" max="10263" width="5.85546875" style="711" customWidth="1"/>
    <col min="10264" max="10264" width="5.7109375" style="711" customWidth="1"/>
    <col min="10265" max="10275" width="0" style="711" hidden="1" customWidth="1"/>
    <col min="10276" max="10276" width="5.85546875" style="711" customWidth="1"/>
    <col min="10277" max="10277" width="5.7109375" style="711" customWidth="1"/>
    <col min="10278" max="10278" width="5" style="711" customWidth="1"/>
    <col min="10279" max="10279" width="4.140625" style="711" customWidth="1"/>
    <col min="10280" max="10280" width="5.85546875" style="711" customWidth="1"/>
    <col min="10281" max="10281" width="5.7109375" style="711" customWidth="1"/>
    <col min="10282" max="10282" width="4.7109375" style="711" customWidth="1"/>
    <col min="10283" max="10283" width="4.42578125" style="711" customWidth="1"/>
    <col min="10284" max="10287" width="0" style="711" hidden="1" customWidth="1"/>
    <col min="10288" max="10288" width="5.85546875" style="711" customWidth="1"/>
    <col min="10289" max="10289" width="5.42578125" style="711" customWidth="1"/>
    <col min="10290" max="10290" width="5.28515625" style="711" customWidth="1"/>
    <col min="10291" max="10291" width="4.85546875" style="711" customWidth="1"/>
    <col min="10292" max="10303" width="0" style="711" hidden="1" customWidth="1"/>
    <col min="10304" max="10304" width="5.85546875" style="711" customWidth="1"/>
    <col min="10305" max="10305" width="5.42578125" style="711" customWidth="1"/>
    <col min="10306" max="10306" width="5.140625" style="711" customWidth="1"/>
    <col min="10307" max="10307" width="4.140625" style="711" customWidth="1"/>
    <col min="10308" max="10308" width="6.140625" style="711" customWidth="1"/>
    <col min="10309" max="10310" width="5.5703125" style="711" customWidth="1"/>
    <col min="10311" max="10311" width="4.42578125" style="711" customWidth="1"/>
    <col min="10312" max="10323" width="0" style="711" hidden="1" customWidth="1"/>
    <col min="10324" max="10324" width="7.5703125" style="711" customWidth="1"/>
    <col min="10325" max="10325" width="6.42578125" style="711" customWidth="1"/>
    <col min="10326" max="10326" width="5.42578125" style="711" customWidth="1"/>
    <col min="10327" max="10327" width="5.140625" style="711" customWidth="1"/>
    <col min="10328" max="10328" width="5.7109375" style="711" customWidth="1"/>
    <col min="10329" max="10329" width="5.42578125" style="711" customWidth="1"/>
    <col min="10330" max="10330" width="4.5703125" style="711" customWidth="1"/>
    <col min="10331" max="10331" width="5.42578125" style="711" customWidth="1"/>
    <col min="10332" max="10334" width="5.85546875" style="711" customWidth="1"/>
    <col min="10335" max="10335" width="4.42578125" style="711" customWidth="1"/>
    <col min="10336" max="10350" width="0" style="711" hidden="1" customWidth="1"/>
    <col min="10351" max="10351" width="9.140625" style="711" customWidth="1"/>
    <col min="10352" max="10496" width="9.140625" style="711"/>
    <col min="10497" max="10497" width="3.140625" style="711" customWidth="1"/>
    <col min="10498" max="10498" width="12.28515625" style="711" customWidth="1"/>
    <col min="10499" max="10499" width="34.85546875" style="711" customWidth="1"/>
    <col min="10500" max="10500" width="8.42578125" style="711" customWidth="1"/>
    <col min="10501" max="10501" width="8.28515625" style="711" customWidth="1"/>
    <col min="10502" max="10502" width="9.42578125" style="711" customWidth="1"/>
    <col min="10503" max="10503" width="8.28515625" style="711" customWidth="1"/>
    <col min="10504" max="10506" width="6.42578125" style="711" customWidth="1"/>
    <col min="10507" max="10507" width="7.140625" style="711" customWidth="1"/>
    <col min="10508" max="10508" width="4.5703125" style="711" customWidth="1"/>
    <col min="10509" max="10509" width="6.7109375" style="711" customWidth="1"/>
    <col min="10510" max="10510" width="6.85546875" style="711" customWidth="1"/>
    <col min="10511" max="10511" width="6.28515625" style="711" customWidth="1"/>
    <col min="10512" max="10512" width="4" style="711" customWidth="1"/>
    <col min="10513" max="10513" width="7.28515625" style="711" customWidth="1"/>
    <col min="10514" max="10514" width="7.5703125" style="711" customWidth="1"/>
    <col min="10515" max="10515" width="6" style="711" customWidth="1"/>
    <col min="10516" max="10516" width="4.7109375" style="711" customWidth="1"/>
    <col min="10517" max="10517" width="5.42578125" style="711" customWidth="1"/>
    <col min="10518" max="10518" width="5.7109375" style="711" customWidth="1"/>
    <col min="10519" max="10519" width="5.85546875" style="711" customWidth="1"/>
    <col min="10520" max="10520" width="5.7109375" style="711" customWidth="1"/>
    <col min="10521" max="10531" width="0" style="711" hidden="1" customWidth="1"/>
    <col min="10532" max="10532" width="5.85546875" style="711" customWidth="1"/>
    <col min="10533" max="10533" width="5.7109375" style="711" customWidth="1"/>
    <col min="10534" max="10534" width="5" style="711" customWidth="1"/>
    <col min="10535" max="10535" width="4.140625" style="711" customWidth="1"/>
    <col min="10536" max="10536" width="5.85546875" style="711" customWidth="1"/>
    <col min="10537" max="10537" width="5.7109375" style="711" customWidth="1"/>
    <col min="10538" max="10538" width="4.7109375" style="711" customWidth="1"/>
    <col min="10539" max="10539" width="4.42578125" style="711" customWidth="1"/>
    <col min="10540" max="10543" width="0" style="711" hidden="1" customWidth="1"/>
    <col min="10544" max="10544" width="5.85546875" style="711" customWidth="1"/>
    <col min="10545" max="10545" width="5.42578125" style="711" customWidth="1"/>
    <col min="10546" max="10546" width="5.28515625" style="711" customWidth="1"/>
    <col min="10547" max="10547" width="4.85546875" style="711" customWidth="1"/>
    <col min="10548" max="10559" width="0" style="711" hidden="1" customWidth="1"/>
    <col min="10560" max="10560" width="5.85546875" style="711" customWidth="1"/>
    <col min="10561" max="10561" width="5.42578125" style="711" customWidth="1"/>
    <col min="10562" max="10562" width="5.140625" style="711" customWidth="1"/>
    <col min="10563" max="10563" width="4.140625" style="711" customWidth="1"/>
    <col min="10564" max="10564" width="6.140625" style="711" customWidth="1"/>
    <col min="10565" max="10566" width="5.5703125" style="711" customWidth="1"/>
    <col min="10567" max="10567" width="4.42578125" style="711" customWidth="1"/>
    <col min="10568" max="10579" width="0" style="711" hidden="1" customWidth="1"/>
    <col min="10580" max="10580" width="7.5703125" style="711" customWidth="1"/>
    <col min="10581" max="10581" width="6.42578125" style="711" customWidth="1"/>
    <col min="10582" max="10582" width="5.42578125" style="711" customWidth="1"/>
    <col min="10583" max="10583" width="5.140625" style="711" customWidth="1"/>
    <col min="10584" max="10584" width="5.7109375" style="711" customWidth="1"/>
    <col min="10585" max="10585" width="5.42578125" style="711" customWidth="1"/>
    <col min="10586" max="10586" width="4.5703125" style="711" customWidth="1"/>
    <col min="10587" max="10587" width="5.42578125" style="711" customWidth="1"/>
    <col min="10588" max="10590" width="5.85546875" style="711" customWidth="1"/>
    <col min="10591" max="10591" width="4.42578125" style="711" customWidth="1"/>
    <col min="10592" max="10606" width="0" style="711" hidden="1" customWidth="1"/>
    <col min="10607" max="10607" width="9.140625" style="711" customWidth="1"/>
    <col min="10608" max="10752" width="9.140625" style="711"/>
    <col min="10753" max="10753" width="3.140625" style="711" customWidth="1"/>
    <col min="10754" max="10754" width="12.28515625" style="711" customWidth="1"/>
    <col min="10755" max="10755" width="34.85546875" style="711" customWidth="1"/>
    <col min="10756" max="10756" width="8.42578125" style="711" customWidth="1"/>
    <col min="10757" max="10757" width="8.28515625" style="711" customWidth="1"/>
    <col min="10758" max="10758" width="9.42578125" style="711" customWidth="1"/>
    <col min="10759" max="10759" width="8.28515625" style="711" customWidth="1"/>
    <col min="10760" max="10762" width="6.42578125" style="711" customWidth="1"/>
    <col min="10763" max="10763" width="7.140625" style="711" customWidth="1"/>
    <col min="10764" max="10764" width="4.5703125" style="711" customWidth="1"/>
    <col min="10765" max="10765" width="6.7109375" style="711" customWidth="1"/>
    <col min="10766" max="10766" width="6.85546875" style="711" customWidth="1"/>
    <col min="10767" max="10767" width="6.28515625" style="711" customWidth="1"/>
    <col min="10768" max="10768" width="4" style="711" customWidth="1"/>
    <col min="10769" max="10769" width="7.28515625" style="711" customWidth="1"/>
    <col min="10770" max="10770" width="7.5703125" style="711" customWidth="1"/>
    <col min="10771" max="10771" width="6" style="711" customWidth="1"/>
    <col min="10772" max="10772" width="4.7109375" style="711" customWidth="1"/>
    <col min="10773" max="10773" width="5.42578125" style="711" customWidth="1"/>
    <col min="10774" max="10774" width="5.7109375" style="711" customWidth="1"/>
    <col min="10775" max="10775" width="5.85546875" style="711" customWidth="1"/>
    <col min="10776" max="10776" width="5.7109375" style="711" customWidth="1"/>
    <col min="10777" max="10787" width="0" style="711" hidden="1" customWidth="1"/>
    <col min="10788" max="10788" width="5.85546875" style="711" customWidth="1"/>
    <col min="10789" max="10789" width="5.7109375" style="711" customWidth="1"/>
    <col min="10790" max="10790" width="5" style="711" customWidth="1"/>
    <col min="10791" max="10791" width="4.140625" style="711" customWidth="1"/>
    <col min="10792" max="10792" width="5.85546875" style="711" customWidth="1"/>
    <col min="10793" max="10793" width="5.7109375" style="711" customWidth="1"/>
    <col min="10794" max="10794" width="4.7109375" style="711" customWidth="1"/>
    <col min="10795" max="10795" width="4.42578125" style="711" customWidth="1"/>
    <col min="10796" max="10799" width="0" style="711" hidden="1" customWidth="1"/>
    <col min="10800" max="10800" width="5.85546875" style="711" customWidth="1"/>
    <col min="10801" max="10801" width="5.42578125" style="711" customWidth="1"/>
    <col min="10802" max="10802" width="5.28515625" style="711" customWidth="1"/>
    <col min="10803" max="10803" width="4.85546875" style="711" customWidth="1"/>
    <col min="10804" max="10815" width="0" style="711" hidden="1" customWidth="1"/>
    <col min="10816" max="10816" width="5.85546875" style="711" customWidth="1"/>
    <col min="10817" max="10817" width="5.42578125" style="711" customWidth="1"/>
    <col min="10818" max="10818" width="5.140625" style="711" customWidth="1"/>
    <col min="10819" max="10819" width="4.140625" style="711" customWidth="1"/>
    <col min="10820" max="10820" width="6.140625" style="711" customWidth="1"/>
    <col min="10821" max="10822" width="5.5703125" style="711" customWidth="1"/>
    <col min="10823" max="10823" width="4.42578125" style="711" customWidth="1"/>
    <col min="10824" max="10835" width="0" style="711" hidden="1" customWidth="1"/>
    <col min="10836" max="10836" width="7.5703125" style="711" customWidth="1"/>
    <col min="10837" max="10837" width="6.42578125" style="711" customWidth="1"/>
    <col min="10838" max="10838" width="5.42578125" style="711" customWidth="1"/>
    <col min="10839" max="10839" width="5.140625" style="711" customWidth="1"/>
    <col min="10840" max="10840" width="5.7109375" style="711" customWidth="1"/>
    <col min="10841" max="10841" width="5.42578125" style="711" customWidth="1"/>
    <col min="10842" max="10842" width="4.5703125" style="711" customWidth="1"/>
    <col min="10843" max="10843" width="5.42578125" style="711" customWidth="1"/>
    <col min="10844" max="10846" width="5.85546875" style="711" customWidth="1"/>
    <col min="10847" max="10847" width="4.42578125" style="711" customWidth="1"/>
    <col min="10848" max="10862" width="0" style="711" hidden="1" customWidth="1"/>
    <col min="10863" max="10863" width="9.140625" style="711" customWidth="1"/>
    <col min="10864" max="11008" width="9.140625" style="711"/>
    <col min="11009" max="11009" width="3.140625" style="711" customWidth="1"/>
    <col min="11010" max="11010" width="12.28515625" style="711" customWidth="1"/>
    <col min="11011" max="11011" width="34.85546875" style="711" customWidth="1"/>
    <col min="11012" max="11012" width="8.42578125" style="711" customWidth="1"/>
    <col min="11013" max="11013" width="8.28515625" style="711" customWidth="1"/>
    <col min="11014" max="11014" width="9.42578125" style="711" customWidth="1"/>
    <col min="11015" max="11015" width="8.28515625" style="711" customWidth="1"/>
    <col min="11016" max="11018" width="6.42578125" style="711" customWidth="1"/>
    <col min="11019" max="11019" width="7.140625" style="711" customWidth="1"/>
    <col min="11020" max="11020" width="4.5703125" style="711" customWidth="1"/>
    <col min="11021" max="11021" width="6.7109375" style="711" customWidth="1"/>
    <col min="11022" max="11022" width="6.85546875" style="711" customWidth="1"/>
    <col min="11023" max="11023" width="6.28515625" style="711" customWidth="1"/>
    <col min="11024" max="11024" width="4" style="711" customWidth="1"/>
    <col min="11025" max="11025" width="7.28515625" style="711" customWidth="1"/>
    <col min="11026" max="11026" width="7.5703125" style="711" customWidth="1"/>
    <col min="11027" max="11027" width="6" style="711" customWidth="1"/>
    <col min="11028" max="11028" width="4.7109375" style="711" customWidth="1"/>
    <col min="11029" max="11029" width="5.42578125" style="711" customWidth="1"/>
    <col min="11030" max="11030" width="5.7109375" style="711" customWidth="1"/>
    <col min="11031" max="11031" width="5.85546875" style="711" customWidth="1"/>
    <col min="11032" max="11032" width="5.7109375" style="711" customWidth="1"/>
    <col min="11033" max="11043" width="0" style="711" hidden="1" customWidth="1"/>
    <col min="11044" max="11044" width="5.85546875" style="711" customWidth="1"/>
    <col min="11045" max="11045" width="5.7109375" style="711" customWidth="1"/>
    <col min="11046" max="11046" width="5" style="711" customWidth="1"/>
    <col min="11047" max="11047" width="4.140625" style="711" customWidth="1"/>
    <col min="11048" max="11048" width="5.85546875" style="711" customWidth="1"/>
    <col min="11049" max="11049" width="5.7109375" style="711" customWidth="1"/>
    <col min="11050" max="11050" width="4.7109375" style="711" customWidth="1"/>
    <col min="11051" max="11051" width="4.42578125" style="711" customWidth="1"/>
    <col min="11052" max="11055" width="0" style="711" hidden="1" customWidth="1"/>
    <col min="11056" max="11056" width="5.85546875" style="711" customWidth="1"/>
    <col min="11057" max="11057" width="5.42578125" style="711" customWidth="1"/>
    <col min="11058" max="11058" width="5.28515625" style="711" customWidth="1"/>
    <col min="11059" max="11059" width="4.85546875" style="711" customWidth="1"/>
    <col min="11060" max="11071" width="0" style="711" hidden="1" customWidth="1"/>
    <col min="11072" max="11072" width="5.85546875" style="711" customWidth="1"/>
    <col min="11073" max="11073" width="5.42578125" style="711" customWidth="1"/>
    <col min="11074" max="11074" width="5.140625" style="711" customWidth="1"/>
    <col min="11075" max="11075" width="4.140625" style="711" customWidth="1"/>
    <col min="11076" max="11076" width="6.140625" style="711" customWidth="1"/>
    <col min="11077" max="11078" width="5.5703125" style="711" customWidth="1"/>
    <col min="11079" max="11079" width="4.42578125" style="711" customWidth="1"/>
    <col min="11080" max="11091" width="0" style="711" hidden="1" customWidth="1"/>
    <col min="11092" max="11092" width="7.5703125" style="711" customWidth="1"/>
    <col min="11093" max="11093" width="6.42578125" style="711" customWidth="1"/>
    <col min="11094" max="11094" width="5.42578125" style="711" customWidth="1"/>
    <col min="11095" max="11095" width="5.140625" style="711" customWidth="1"/>
    <col min="11096" max="11096" width="5.7109375" style="711" customWidth="1"/>
    <col min="11097" max="11097" width="5.42578125" style="711" customWidth="1"/>
    <col min="11098" max="11098" width="4.5703125" style="711" customWidth="1"/>
    <col min="11099" max="11099" width="5.42578125" style="711" customWidth="1"/>
    <col min="11100" max="11102" width="5.85546875" style="711" customWidth="1"/>
    <col min="11103" max="11103" width="4.42578125" style="711" customWidth="1"/>
    <col min="11104" max="11118" width="0" style="711" hidden="1" customWidth="1"/>
    <col min="11119" max="11119" width="9.140625" style="711" customWidth="1"/>
    <col min="11120" max="11264" width="9.140625" style="711"/>
    <col min="11265" max="11265" width="3.140625" style="711" customWidth="1"/>
    <col min="11266" max="11266" width="12.28515625" style="711" customWidth="1"/>
    <col min="11267" max="11267" width="34.85546875" style="711" customWidth="1"/>
    <col min="11268" max="11268" width="8.42578125" style="711" customWidth="1"/>
    <col min="11269" max="11269" width="8.28515625" style="711" customWidth="1"/>
    <col min="11270" max="11270" width="9.42578125" style="711" customWidth="1"/>
    <col min="11271" max="11271" width="8.28515625" style="711" customWidth="1"/>
    <col min="11272" max="11274" width="6.42578125" style="711" customWidth="1"/>
    <col min="11275" max="11275" width="7.140625" style="711" customWidth="1"/>
    <col min="11276" max="11276" width="4.5703125" style="711" customWidth="1"/>
    <col min="11277" max="11277" width="6.7109375" style="711" customWidth="1"/>
    <col min="11278" max="11278" width="6.85546875" style="711" customWidth="1"/>
    <col min="11279" max="11279" width="6.28515625" style="711" customWidth="1"/>
    <col min="11280" max="11280" width="4" style="711" customWidth="1"/>
    <col min="11281" max="11281" width="7.28515625" style="711" customWidth="1"/>
    <col min="11282" max="11282" width="7.5703125" style="711" customWidth="1"/>
    <col min="11283" max="11283" width="6" style="711" customWidth="1"/>
    <col min="11284" max="11284" width="4.7109375" style="711" customWidth="1"/>
    <col min="11285" max="11285" width="5.42578125" style="711" customWidth="1"/>
    <col min="11286" max="11286" width="5.7109375" style="711" customWidth="1"/>
    <col min="11287" max="11287" width="5.85546875" style="711" customWidth="1"/>
    <col min="11288" max="11288" width="5.7109375" style="711" customWidth="1"/>
    <col min="11289" max="11299" width="0" style="711" hidden="1" customWidth="1"/>
    <col min="11300" max="11300" width="5.85546875" style="711" customWidth="1"/>
    <col min="11301" max="11301" width="5.7109375" style="711" customWidth="1"/>
    <col min="11302" max="11302" width="5" style="711" customWidth="1"/>
    <col min="11303" max="11303" width="4.140625" style="711" customWidth="1"/>
    <col min="11304" max="11304" width="5.85546875" style="711" customWidth="1"/>
    <col min="11305" max="11305" width="5.7109375" style="711" customWidth="1"/>
    <col min="11306" max="11306" width="4.7109375" style="711" customWidth="1"/>
    <col min="11307" max="11307" width="4.42578125" style="711" customWidth="1"/>
    <col min="11308" max="11311" width="0" style="711" hidden="1" customWidth="1"/>
    <col min="11312" max="11312" width="5.85546875" style="711" customWidth="1"/>
    <col min="11313" max="11313" width="5.42578125" style="711" customWidth="1"/>
    <col min="11314" max="11314" width="5.28515625" style="711" customWidth="1"/>
    <col min="11315" max="11315" width="4.85546875" style="711" customWidth="1"/>
    <col min="11316" max="11327" width="0" style="711" hidden="1" customWidth="1"/>
    <col min="11328" max="11328" width="5.85546875" style="711" customWidth="1"/>
    <col min="11329" max="11329" width="5.42578125" style="711" customWidth="1"/>
    <col min="11330" max="11330" width="5.140625" style="711" customWidth="1"/>
    <col min="11331" max="11331" width="4.140625" style="711" customWidth="1"/>
    <col min="11332" max="11332" width="6.140625" style="711" customWidth="1"/>
    <col min="11333" max="11334" width="5.5703125" style="711" customWidth="1"/>
    <col min="11335" max="11335" width="4.42578125" style="711" customWidth="1"/>
    <col min="11336" max="11347" width="0" style="711" hidden="1" customWidth="1"/>
    <col min="11348" max="11348" width="7.5703125" style="711" customWidth="1"/>
    <col min="11349" max="11349" width="6.42578125" style="711" customWidth="1"/>
    <col min="11350" max="11350" width="5.42578125" style="711" customWidth="1"/>
    <col min="11351" max="11351" width="5.140625" style="711" customWidth="1"/>
    <col min="11352" max="11352" width="5.7109375" style="711" customWidth="1"/>
    <col min="11353" max="11353" width="5.42578125" style="711" customWidth="1"/>
    <col min="11354" max="11354" width="4.5703125" style="711" customWidth="1"/>
    <col min="11355" max="11355" width="5.42578125" style="711" customWidth="1"/>
    <col min="11356" max="11358" width="5.85546875" style="711" customWidth="1"/>
    <col min="11359" max="11359" width="4.42578125" style="711" customWidth="1"/>
    <col min="11360" max="11374" width="0" style="711" hidden="1" customWidth="1"/>
    <col min="11375" max="11375" width="9.140625" style="711" customWidth="1"/>
    <col min="11376" max="11520" width="9.140625" style="711"/>
    <col min="11521" max="11521" width="3.140625" style="711" customWidth="1"/>
    <col min="11522" max="11522" width="12.28515625" style="711" customWidth="1"/>
    <col min="11523" max="11523" width="34.85546875" style="711" customWidth="1"/>
    <col min="11524" max="11524" width="8.42578125" style="711" customWidth="1"/>
    <col min="11525" max="11525" width="8.28515625" style="711" customWidth="1"/>
    <col min="11526" max="11526" width="9.42578125" style="711" customWidth="1"/>
    <col min="11527" max="11527" width="8.28515625" style="711" customWidth="1"/>
    <col min="11528" max="11530" width="6.42578125" style="711" customWidth="1"/>
    <col min="11531" max="11531" width="7.140625" style="711" customWidth="1"/>
    <col min="11532" max="11532" width="4.5703125" style="711" customWidth="1"/>
    <col min="11533" max="11533" width="6.7109375" style="711" customWidth="1"/>
    <col min="11534" max="11534" width="6.85546875" style="711" customWidth="1"/>
    <col min="11535" max="11535" width="6.28515625" style="711" customWidth="1"/>
    <col min="11536" max="11536" width="4" style="711" customWidth="1"/>
    <col min="11537" max="11537" width="7.28515625" style="711" customWidth="1"/>
    <col min="11538" max="11538" width="7.5703125" style="711" customWidth="1"/>
    <col min="11539" max="11539" width="6" style="711" customWidth="1"/>
    <col min="11540" max="11540" width="4.7109375" style="711" customWidth="1"/>
    <col min="11541" max="11541" width="5.42578125" style="711" customWidth="1"/>
    <col min="11542" max="11542" width="5.7109375" style="711" customWidth="1"/>
    <col min="11543" max="11543" width="5.85546875" style="711" customWidth="1"/>
    <col min="11544" max="11544" width="5.7109375" style="711" customWidth="1"/>
    <col min="11545" max="11555" width="0" style="711" hidden="1" customWidth="1"/>
    <col min="11556" max="11556" width="5.85546875" style="711" customWidth="1"/>
    <col min="11557" max="11557" width="5.7109375" style="711" customWidth="1"/>
    <col min="11558" max="11558" width="5" style="711" customWidth="1"/>
    <col min="11559" max="11559" width="4.140625" style="711" customWidth="1"/>
    <col min="11560" max="11560" width="5.85546875" style="711" customWidth="1"/>
    <col min="11561" max="11561" width="5.7109375" style="711" customWidth="1"/>
    <col min="11562" max="11562" width="4.7109375" style="711" customWidth="1"/>
    <col min="11563" max="11563" width="4.42578125" style="711" customWidth="1"/>
    <col min="11564" max="11567" width="0" style="711" hidden="1" customWidth="1"/>
    <col min="11568" max="11568" width="5.85546875" style="711" customWidth="1"/>
    <col min="11569" max="11569" width="5.42578125" style="711" customWidth="1"/>
    <col min="11570" max="11570" width="5.28515625" style="711" customWidth="1"/>
    <col min="11571" max="11571" width="4.85546875" style="711" customWidth="1"/>
    <col min="11572" max="11583" width="0" style="711" hidden="1" customWidth="1"/>
    <col min="11584" max="11584" width="5.85546875" style="711" customWidth="1"/>
    <col min="11585" max="11585" width="5.42578125" style="711" customWidth="1"/>
    <col min="11586" max="11586" width="5.140625" style="711" customWidth="1"/>
    <col min="11587" max="11587" width="4.140625" style="711" customWidth="1"/>
    <col min="11588" max="11588" width="6.140625" style="711" customWidth="1"/>
    <col min="11589" max="11590" width="5.5703125" style="711" customWidth="1"/>
    <col min="11591" max="11591" width="4.42578125" style="711" customWidth="1"/>
    <col min="11592" max="11603" width="0" style="711" hidden="1" customWidth="1"/>
    <col min="11604" max="11604" width="7.5703125" style="711" customWidth="1"/>
    <col min="11605" max="11605" width="6.42578125" style="711" customWidth="1"/>
    <col min="11606" max="11606" width="5.42578125" style="711" customWidth="1"/>
    <col min="11607" max="11607" width="5.140625" style="711" customWidth="1"/>
    <col min="11608" max="11608" width="5.7109375" style="711" customWidth="1"/>
    <col min="11609" max="11609" width="5.42578125" style="711" customWidth="1"/>
    <col min="11610" max="11610" width="4.5703125" style="711" customWidth="1"/>
    <col min="11611" max="11611" width="5.42578125" style="711" customWidth="1"/>
    <col min="11612" max="11614" width="5.85546875" style="711" customWidth="1"/>
    <col min="11615" max="11615" width="4.42578125" style="711" customWidth="1"/>
    <col min="11616" max="11630" width="0" style="711" hidden="1" customWidth="1"/>
    <col min="11631" max="11631" width="9.140625" style="711" customWidth="1"/>
    <col min="11632" max="11776" width="9.140625" style="711"/>
    <col min="11777" max="11777" width="3.140625" style="711" customWidth="1"/>
    <col min="11778" max="11778" width="12.28515625" style="711" customWidth="1"/>
    <col min="11779" max="11779" width="34.85546875" style="711" customWidth="1"/>
    <col min="11780" max="11780" width="8.42578125" style="711" customWidth="1"/>
    <col min="11781" max="11781" width="8.28515625" style="711" customWidth="1"/>
    <col min="11782" max="11782" width="9.42578125" style="711" customWidth="1"/>
    <col min="11783" max="11783" width="8.28515625" style="711" customWidth="1"/>
    <col min="11784" max="11786" width="6.42578125" style="711" customWidth="1"/>
    <col min="11787" max="11787" width="7.140625" style="711" customWidth="1"/>
    <col min="11788" max="11788" width="4.5703125" style="711" customWidth="1"/>
    <col min="11789" max="11789" width="6.7109375" style="711" customWidth="1"/>
    <col min="11790" max="11790" width="6.85546875" style="711" customWidth="1"/>
    <col min="11791" max="11791" width="6.28515625" style="711" customWidth="1"/>
    <col min="11792" max="11792" width="4" style="711" customWidth="1"/>
    <col min="11793" max="11793" width="7.28515625" style="711" customWidth="1"/>
    <col min="11794" max="11794" width="7.5703125" style="711" customWidth="1"/>
    <col min="11795" max="11795" width="6" style="711" customWidth="1"/>
    <col min="11796" max="11796" width="4.7109375" style="711" customWidth="1"/>
    <col min="11797" max="11797" width="5.42578125" style="711" customWidth="1"/>
    <col min="11798" max="11798" width="5.7109375" style="711" customWidth="1"/>
    <col min="11799" max="11799" width="5.85546875" style="711" customWidth="1"/>
    <col min="11800" max="11800" width="5.7109375" style="711" customWidth="1"/>
    <col min="11801" max="11811" width="0" style="711" hidden="1" customWidth="1"/>
    <col min="11812" max="11812" width="5.85546875" style="711" customWidth="1"/>
    <col min="11813" max="11813" width="5.7109375" style="711" customWidth="1"/>
    <col min="11814" max="11814" width="5" style="711" customWidth="1"/>
    <col min="11815" max="11815" width="4.140625" style="711" customWidth="1"/>
    <col min="11816" max="11816" width="5.85546875" style="711" customWidth="1"/>
    <col min="11817" max="11817" width="5.7109375" style="711" customWidth="1"/>
    <col min="11818" max="11818" width="4.7109375" style="711" customWidth="1"/>
    <col min="11819" max="11819" width="4.42578125" style="711" customWidth="1"/>
    <col min="11820" max="11823" width="0" style="711" hidden="1" customWidth="1"/>
    <col min="11824" max="11824" width="5.85546875" style="711" customWidth="1"/>
    <col min="11825" max="11825" width="5.42578125" style="711" customWidth="1"/>
    <col min="11826" max="11826" width="5.28515625" style="711" customWidth="1"/>
    <col min="11827" max="11827" width="4.85546875" style="711" customWidth="1"/>
    <col min="11828" max="11839" width="0" style="711" hidden="1" customWidth="1"/>
    <col min="11840" max="11840" width="5.85546875" style="711" customWidth="1"/>
    <col min="11841" max="11841" width="5.42578125" style="711" customWidth="1"/>
    <col min="11842" max="11842" width="5.140625" style="711" customWidth="1"/>
    <col min="11843" max="11843" width="4.140625" style="711" customWidth="1"/>
    <col min="11844" max="11844" width="6.140625" style="711" customWidth="1"/>
    <col min="11845" max="11846" width="5.5703125" style="711" customWidth="1"/>
    <col min="11847" max="11847" width="4.42578125" style="711" customWidth="1"/>
    <col min="11848" max="11859" width="0" style="711" hidden="1" customWidth="1"/>
    <col min="11860" max="11860" width="7.5703125" style="711" customWidth="1"/>
    <col min="11861" max="11861" width="6.42578125" style="711" customWidth="1"/>
    <col min="11862" max="11862" width="5.42578125" style="711" customWidth="1"/>
    <col min="11863" max="11863" width="5.140625" style="711" customWidth="1"/>
    <col min="11864" max="11864" width="5.7109375" style="711" customWidth="1"/>
    <col min="11865" max="11865" width="5.42578125" style="711" customWidth="1"/>
    <col min="11866" max="11866" width="4.5703125" style="711" customWidth="1"/>
    <col min="11867" max="11867" width="5.42578125" style="711" customWidth="1"/>
    <col min="11868" max="11870" width="5.85546875" style="711" customWidth="1"/>
    <col min="11871" max="11871" width="4.42578125" style="711" customWidth="1"/>
    <col min="11872" max="11886" width="0" style="711" hidden="1" customWidth="1"/>
    <col min="11887" max="11887" width="9.140625" style="711" customWidth="1"/>
    <col min="11888" max="12032" width="9.140625" style="711"/>
    <col min="12033" max="12033" width="3.140625" style="711" customWidth="1"/>
    <col min="12034" max="12034" width="12.28515625" style="711" customWidth="1"/>
    <col min="12035" max="12035" width="34.85546875" style="711" customWidth="1"/>
    <col min="12036" max="12036" width="8.42578125" style="711" customWidth="1"/>
    <col min="12037" max="12037" width="8.28515625" style="711" customWidth="1"/>
    <col min="12038" max="12038" width="9.42578125" style="711" customWidth="1"/>
    <col min="12039" max="12039" width="8.28515625" style="711" customWidth="1"/>
    <col min="12040" max="12042" width="6.42578125" style="711" customWidth="1"/>
    <col min="12043" max="12043" width="7.140625" style="711" customWidth="1"/>
    <col min="12044" max="12044" width="4.5703125" style="711" customWidth="1"/>
    <col min="12045" max="12045" width="6.7109375" style="711" customWidth="1"/>
    <col min="12046" max="12046" width="6.85546875" style="711" customWidth="1"/>
    <col min="12047" max="12047" width="6.28515625" style="711" customWidth="1"/>
    <col min="12048" max="12048" width="4" style="711" customWidth="1"/>
    <col min="12049" max="12049" width="7.28515625" style="711" customWidth="1"/>
    <col min="12050" max="12050" width="7.5703125" style="711" customWidth="1"/>
    <col min="12051" max="12051" width="6" style="711" customWidth="1"/>
    <col min="12052" max="12052" width="4.7109375" style="711" customWidth="1"/>
    <col min="12053" max="12053" width="5.42578125" style="711" customWidth="1"/>
    <col min="12054" max="12054" width="5.7109375" style="711" customWidth="1"/>
    <col min="12055" max="12055" width="5.85546875" style="711" customWidth="1"/>
    <col min="12056" max="12056" width="5.7109375" style="711" customWidth="1"/>
    <col min="12057" max="12067" width="0" style="711" hidden="1" customWidth="1"/>
    <col min="12068" max="12068" width="5.85546875" style="711" customWidth="1"/>
    <col min="12069" max="12069" width="5.7109375" style="711" customWidth="1"/>
    <col min="12070" max="12070" width="5" style="711" customWidth="1"/>
    <col min="12071" max="12071" width="4.140625" style="711" customWidth="1"/>
    <col min="12072" max="12072" width="5.85546875" style="711" customWidth="1"/>
    <col min="12073" max="12073" width="5.7109375" style="711" customWidth="1"/>
    <col min="12074" max="12074" width="4.7109375" style="711" customWidth="1"/>
    <col min="12075" max="12075" width="4.42578125" style="711" customWidth="1"/>
    <col min="12076" max="12079" width="0" style="711" hidden="1" customWidth="1"/>
    <col min="12080" max="12080" width="5.85546875" style="711" customWidth="1"/>
    <col min="12081" max="12081" width="5.42578125" style="711" customWidth="1"/>
    <col min="12082" max="12082" width="5.28515625" style="711" customWidth="1"/>
    <col min="12083" max="12083" width="4.85546875" style="711" customWidth="1"/>
    <col min="12084" max="12095" width="0" style="711" hidden="1" customWidth="1"/>
    <col min="12096" max="12096" width="5.85546875" style="711" customWidth="1"/>
    <col min="12097" max="12097" width="5.42578125" style="711" customWidth="1"/>
    <col min="12098" max="12098" width="5.140625" style="711" customWidth="1"/>
    <col min="12099" max="12099" width="4.140625" style="711" customWidth="1"/>
    <col min="12100" max="12100" width="6.140625" style="711" customWidth="1"/>
    <col min="12101" max="12102" width="5.5703125" style="711" customWidth="1"/>
    <col min="12103" max="12103" width="4.42578125" style="711" customWidth="1"/>
    <col min="12104" max="12115" width="0" style="711" hidden="1" customWidth="1"/>
    <col min="12116" max="12116" width="7.5703125" style="711" customWidth="1"/>
    <col min="12117" max="12117" width="6.42578125" style="711" customWidth="1"/>
    <col min="12118" max="12118" width="5.42578125" style="711" customWidth="1"/>
    <col min="12119" max="12119" width="5.140625" style="711" customWidth="1"/>
    <col min="12120" max="12120" width="5.7109375" style="711" customWidth="1"/>
    <col min="12121" max="12121" width="5.42578125" style="711" customWidth="1"/>
    <col min="12122" max="12122" width="4.5703125" style="711" customWidth="1"/>
    <col min="12123" max="12123" width="5.42578125" style="711" customWidth="1"/>
    <col min="12124" max="12126" width="5.85546875" style="711" customWidth="1"/>
    <col min="12127" max="12127" width="4.42578125" style="711" customWidth="1"/>
    <col min="12128" max="12142" width="0" style="711" hidden="1" customWidth="1"/>
    <col min="12143" max="12143" width="9.140625" style="711" customWidth="1"/>
    <col min="12144" max="12288" width="9.140625" style="711"/>
    <col min="12289" max="12289" width="3.140625" style="711" customWidth="1"/>
    <col min="12290" max="12290" width="12.28515625" style="711" customWidth="1"/>
    <col min="12291" max="12291" width="34.85546875" style="711" customWidth="1"/>
    <col min="12292" max="12292" width="8.42578125" style="711" customWidth="1"/>
    <col min="12293" max="12293" width="8.28515625" style="711" customWidth="1"/>
    <col min="12294" max="12294" width="9.42578125" style="711" customWidth="1"/>
    <col min="12295" max="12295" width="8.28515625" style="711" customWidth="1"/>
    <col min="12296" max="12298" width="6.42578125" style="711" customWidth="1"/>
    <col min="12299" max="12299" width="7.140625" style="711" customWidth="1"/>
    <col min="12300" max="12300" width="4.5703125" style="711" customWidth="1"/>
    <col min="12301" max="12301" width="6.7109375" style="711" customWidth="1"/>
    <col min="12302" max="12302" width="6.85546875" style="711" customWidth="1"/>
    <col min="12303" max="12303" width="6.28515625" style="711" customWidth="1"/>
    <col min="12304" max="12304" width="4" style="711" customWidth="1"/>
    <col min="12305" max="12305" width="7.28515625" style="711" customWidth="1"/>
    <col min="12306" max="12306" width="7.5703125" style="711" customWidth="1"/>
    <col min="12307" max="12307" width="6" style="711" customWidth="1"/>
    <col min="12308" max="12308" width="4.7109375" style="711" customWidth="1"/>
    <col min="12309" max="12309" width="5.42578125" style="711" customWidth="1"/>
    <col min="12310" max="12310" width="5.7109375" style="711" customWidth="1"/>
    <col min="12311" max="12311" width="5.85546875" style="711" customWidth="1"/>
    <col min="12312" max="12312" width="5.7109375" style="711" customWidth="1"/>
    <col min="12313" max="12323" width="0" style="711" hidden="1" customWidth="1"/>
    <col min="12324" max="12324" width="5.85546875" style="711" customWidth="1"/>
    <col min="12325" max="12325" width="5.7109375" style="711" customWidth="1"/>
    <col min="12326" max="12326" width="5" style="711" customWidth="1"/>
    <col min="12327" max="12327" width="4.140625" style="711" customWidth="1"/>
    <col min="12328" max="12328" width="5.85546875" style="711" customWidth="1"/>
    <col min="12329" max="12329" width="5.7109375" style="711" customWidth="1"/>
    <col min="12330" max="12330" width="4.7109375" style="711" customWidth="1"/>
    <col min="12331" max="12331" width="4.42578125" style="711" customWidth="1"/>
    <col min="12332" max="12335" width="0" style="711" hidden="1" customWidth="1"/>
    <col min="12336" max="12336" width="5.85546875" style="711" customWidth="1"/>
    <col min="12337" max="12337" width="5.42578125" style="711" customWidth="1"/>
    <col min="12338" max="12338" width="5.28515625" style="711" customWidth="1"/>
    <col min="12339" max="12339" width="4.85546875" style="711" customWidth="1"/>
    <col min="12340" max="12351" width="0" style="711" hidden="1" customWidth="1"/>
    <col min="12352" max="12352" width="5.85546875" style="711" customWidth="1"/>
    <col min="12353" max="12353" width="5.42578125" style="711" customWidth="1"/>
    <col min="12354" max="12354" width="5.140625" style="711" customWidth="1"/>
    <col min="12355" max="12355" width="4.140625" style="711" customWidth="1"/>
    <col min="12356" max="12356" width="6.140625" style="711" customWidth="1"/>
    <col min="12357" max="12358" width="5.5703125" style="711" customWidth="1"/>
    <col min="12359" max="12359" width="4.42578125" style="711" customWidth="1"/>
    <col min="12360" max="12371" width="0" style="711" hidden="1" customWidth="1"/>
    <col min="12372" max="12372" width="7.5703125" style="711" customWidth="1"/>
    <col min="12373" max="12373" width="6.42578125" style="711" customWidth="1"/>
    <col min="12374" max="12374" width="5.42578125" style="711" customWidth="1"/>
    <col min="12375" max="12375" width="5.140625" style="711" customWidth="1"/>
    <col min="12376" max="12376" width="5.7109375" style="711" customWidth="1"/>
    <col min="12377" max="12377" width="5.42578125" style="711" customWidth="1"/>
    <col min="12378" max="12378" width="4.5703125" style="711" customWidth="1"/>
    <col min="12379" max="12379" width="5.42578125" style="711" customWidth="1"/>
    <col min="12380" max="12382" width="5.85546875" style="711" customWidth="1"/>
    <col min="12383" max="12383" width="4.42578125" style="711" customWidth="1"/>
    <col min="12384" max="12398" width="0" style="711" hidden="1" customWidth="1"/>
    <col min="12399" max="12399" width="9.140625" style="711" customWidth="1"/>
    <col min="12400" max="12544" width="9.140625" style="711"/>
    <col min="12545" max="12545" width="3.140625" style="711" customWidth="1"/>
    <col min="12546" max="12546" width="12.28515625" style="711" customWidth="1"/>
    <col min="12547" max="12547" width="34.85546875" style="711" customWidth="1"/>
    <col min="12548" max="12548" width="8.42578125" style="711" customWidth="1"/>
    <col min="12549" max="12549" width="8.28515625" style="711" customWidth="1"/>
    <col min="12550" max="12550" width="9.42578125" style="711" customWidth="1"/>
    <col min="12551" max="12551" width="8.28515625" style="711" customWidth="1"/>
    <col min="12552" max="12554" width="6.42578125" style="711" customWidth="1"/>
    <col min="12555" max="12555" width="7.140625" style="711" customWidth="1"/>
    <col min="12556" max="12556" width="4.5703125" style="711" customWidth="1"/>
    <col min="12557" max="12557" width="6.7109375" style="711" customWidth="1"/>
    <col min="12558" max="12558" width="6.85546875" style="711" customWidth="1"/>
    <col min="12559" max="12559" width="6.28515625" style="711" customWidth="1"/>
    <col min="12560" max="12560" width="4" style="711" customWidth="1"/>
    <col min="12561" max="12561" width="7.28515625" style="711" customWidth="1"/>
    <col min="12562" max="12562" width="7.5703125" style="711" customWidth="1"/>
    <col min="12563" max="12563" width="6" style="711" customWidth="1"/>
    <col min="12564" max="12564" width="4.7109375" style="711" customWidth="1"/>
    <col min="12565" max="12565" width="5.42578125" style="711" customWidth="1"/>
    <col min="12566" max="12566" width="5.7109375" style="711" customWidth="1"/>
    <col min="12567" max="12567" width="5.85546875" style="711" customWidth="1"/>
    <col min="12568" max="12568" width="5.7109375" style="711" customWidth="1"/>
    <col min="12569" max="12579" width="0" style="711" hidden="1" customWidth="1"/>
    <col min="12580" max="12580" width="5.85546875" style="711" customWidth="1"/>
    <col min="12581" max="12581" width="5.7109375" style="711" customWidth="1"/>
    <col min="12582" max="12582" width="5" style="711" customWidth="1"/>
    <col min="12583" max="12583" width="4.140625" style="711" customWidth="1"/>
    <col min="12584" max="12584" width="5.85546875" style="711" customWidth="1"/>
    <col min="12585" max="12585" width="5.7109375" style="711" customWidth="1"/>
    <col min="12586" max="12586" width="4.7109375" style="711" customWidth="1"/>
    <col min="12587" max="12587" width="4.42578125" style="711" customWidth="1"/>
    <col min="12588" max="12591" width="0" style="711" hidden="1" customWidth="1"/>
    <col min="12592" max="12592" width="5.85546875" style="711" customWidth="1"/>
    <col min="12593" max="12593" width="5.42578125" style="711" customWidth="1"/>
    <col min="12594" max="12594" width="5.28515625" style="711" customWidth="1"/>
    <col min="12595" max="12595" width="4.85546875" style="711" customWidth="1"/>
    <col min="12596" max="12607" width="0" style="711" hidden="1" customWidth="1"/>
    <col min="12608" max="12608" width="5.85546875" style="711" customWidth="1"/>
    <col min="12609" max="12609" width="5.42578125" style="711" customWidth="1"/>
    <col min="12610" max="12610" width="5.140625" style="711" customWidth="1"/>
    <col min="12611" max="12611" width="4.140625" style="711" customWidth="1"/>
    <col min="12612" max="12612" width="6.140625" style="711" customWidth="1"/>
    <col min="12613" max="12614" width="5.5703125" style="711" customWidth="1"/>
    <col min="12615" max="12615" width="4.42578125" style="711" customWidth="1"/>
    <col min="12616" max="12627" width="0" style="711" hidden="1" customWidth="1"/>
    <col min="12628" max="12628" width="7.5703125" style="711" customWidth="1"/>
    <col min="12629" max="12629" width="6.42578125" style="711" customWidth="1"/>
    <col min="12630" max="12630" width="5.42578125" style="711" customWidth="1"/>
    <col min="12631" max="12631" width="5.140625" style="711" customWidth="1"/>
    <col min="12632" max="12632" width="5.7109375" style="711" customWidth="1"/>
    <col min="12633" max="12633" width="5.42578125" style="711" customWidth="1"/>
    <col min="12634" max="12634" width="4.5703125" style="711" customWidth="1"/>
    <col min="12635" max="12635" width="5.42578125" style="711" customWidth="1"/>
    <col min="12636" max="12638" width="5.85546875" style="711" customWidth="1"/>
    <col min="12639" max="12639" width="4.42578125" style="711" customWidth="1"/>
    <col min="12640" max="12654" width="0" style="711" hidden="1" customWidth="1"/>
    <col min="12655" max="12655" width="9.140625" style="711" customWidth="1"/>
    <col min="12656" max="12800" width="9.140625" style="711"/>
    <col min="12801" max="12801" width="3.140625" style="711" customWidth="1"/>
    <col min="12802" max="12802" width="12.28515625" style="711" customWidth="1"/>
    <col min="12803" max="12803" width="34.85546875" style="711" customWidth="1"/>
    <col min="12804" max="12804" width="8.42578125" style="711" customWidth="1"/>
    <col min="12805" max="12805" width="8.28515625" style="711" customWidth="1"/>
    <col min="12806" max="12806" width="9.42578125" style="711" customWidth="1"/>
    <col min="12807" max="12807" width="8.28515625" style="711" customWidth="1"/>
    <col min="12808" max="12810" width="6.42578125" style="711" customWidth="1"/>
    <col min="12811" max="12811" width="7.140625" style="711" customWidth="1"/>
    <col min="12812" max="12812" width="4.5703125" style="711" customWidth="1"/>
    <col min="12813" max="12813" width="6.7109375" style="711" customWidth="1"/>
    <col min="12814" max="12814" width="6.85546875" style="711" customWidth="1"/>
    <col min="12815" max="12815" width="6.28515625" style="711" customWidth="1"/>
    <col min="12816" max="12816" width="4" style="711" customWidth="1"/>
    <col min="12817" max="12817" width="7.28515625" style="711" customWidth="1"/>
    <col min="12818" max="12818" width="7.5703125" style="711" customWidth="1"/>
    <col min="12819" max="12819" width="6" style="711" customWidth="1"/>
    <col min="12820" max="12820" width="4.7109375" style="711" customWidth="1"/>
    <col min="12821" max="12821" width="5.42578125" style="711" customWidth="1"/>
    <col min="12822" max="12822" width="5.7109375" style="711" customWidth="1"/>
    <col min="12823" max="12823" width="5.85546875" style="711" customWidth="1"/>
    <col min="12824" max="12824" width="5.7109375" style="711" customWidth="1"/>
    <col min="12825" max="12835" width="0" style="711" hidden="1" customWidth="1"/>
    <col min="12836" max="12836" width="5.85546875" style="711" customWidth="1"/>
    <col min="12837" max="12837" width="5.7109375" style="711" customWidth="1"/>
    <col min="12838" max="12838" width="5" style="711" customWidth="1"/>
    <col min="12839" max="12839" width="4.140625" style="711" customWidth="1"/>
    <col min="12840" max="12840" width="5.85546875" style="711" customWidth="1"/>
    <col min="12841" max="12841" width="5.7109375" style="711" customWidth="1"/>
    <col min="12842" max="12842" width="4.7109375" style="711" customWidth="1"/>
    <col min="12843" max="12843" width="4.42578125" style="711" customWidth="1"/>
    <col min="12844" max="12847" width="0" style="711" hidden="1" customWidth="1"/>
    <col min="12848" max="12848" width="5.85546875" style="711" customWidth="1"/>
    <col min="12849" max="12849" width="5.42578125" style="711" customWidth="1"/>
    <col min="12850" max="12850" width="5.28515625" style="711" customWidth="1"/>
    <col min="12851" max="12851" width="4.85546875" style="711" customWidth="1"/>
    <col min="12852" max="12863" width="0" style="711" hidden="1" customWidth="1"/>
    <col min="12864" max="12864" width="5.85546875" style="711" customWidth="1"/>
    <col min="12865" max="12865" width="5.42578125" style="711" customWidth="1"/>
    <col min="12866" max="12866" width="5.140625" style="711" customWidth="1"/>
    <col min="12867" max="12867" width="4.140625" style="711" customWidth="1"/>
    <col min="12868" max="12868" width="6.140625" style="711" customWidth="1"/>
    <col min="12869" max="12870" width="5.5703125" style="711" customWidth="1"/>
    <col min="12871" max="12871" width="4.42578125" style="711" customWidth="1"/>
    <col min="12872" max="12883" width="0" style="711" hidden="1" customWidth="1"/>
    <col min="12884" max="12884" width="7.5703125" style="711" customWidth="1"/>
    <col min="12885" max="12885" width="6.42578125" style="711" customWidth="1"/>
    <col min="12886" max="12886" width="5.42578125" style="711" customWidth="1"/>
    <col min="12887" max="12887" width="5.140625" style="711" customWidth="1"/>
    <col min="12888" max="12888" width="5.7109375" style="711" customWidth="1"/>
    <col min="12889" max="12889" width="5.42578125" style="711" customWidth="1"/>
    <col min="12890" max="12890" width="4.5703125" style="711" customWidth="1"/>
    <col min="12891" max="12891" width="5.42578125" style="711" customWidth="1"/>
    <col min="12892" max="12894" width="5.85546875" style="711" customWidth="1"/>
    <col min="12895" max="12895" width="4.42578125" style="711" customWidth="1"/>
    <col min="12896" max="12910" width="0" style="711" hidden="1" customWidth="1"/>
    <col min="12911" max="12911" width="9.140625" style="711" customWidth="1"/>
    <col min="12912" max="13056" width="9.140625" style="711"/>
    <col min="13057" max="13057" width="3.140625" style="711" customWidth="1"/>
    <col min="13058" max="13058" width="12.28515625" style="711" customWidth="1"/>
    <col min="13059" max="13059" width="34.85546875" style="711" customWidth="1"/>
    <col min="13060" max="13060" width="8.42578125" style="711" customWidth="1"/>
    <col min="13061" max="13061" width="8.28515625" style="711" customWidth="1"/>
    <col min="13062" max="13062" width="9.42578125" style="711" customWidth="1"/>
    <col min="13063" max="13063" width="8.28515625" style="711" customWidth="1"/>
    <col min="13064" max="13066" width="6.42578125" style="711" customWidth="1"/>
    <col min="13067" max="13067" width="7.140625" style="711" customWidth="1"/>
    <col min="13068" max="13068" width="4.5703125" style="711" customWidth="1"/>
    <col min="13069" max="13069" width="6.7109375" style="711" customWidth="1"/>
    <col min="13070" max="13070" width="6.85546875" style="711" customWidth="1"/>
    <col min="13071" max="13071" width="6.28515625" style="711" customWidth="1"/>
    <col min="13072" max="13072" width="4" style="711" customWidth="1"/>
    <col min="13073" max="13073" width="7.28515625" style="711" customWidth="1"/>
    <col min="13074" max="13074" width="7.5703125" style="711" customWidth="1"/>
    <col min="13075" max="13075" width="6" style="711" customWidth="1"/>
    <col min="13076" max="13076" width="4.7109375" style="711" customWidth="1"/>
    <col min="13077" max="13077" width="5.42578125" style="711" customWidth="1"/>
    <col min="13078" max="13078" width="5.7109375" style="711" customWidth="1"/>
    <col min="13079" max="13079" width="5.85546875" style="711" customWidth="1"/>
    <col min="13080" max="13080" width="5.7109375" style="711" customWidth="1"/>
    <col min="13081" max="13091" width="0" style="711" hidden="1" customWidth="1"/>
    <col min="13092" max="13092" width="5.85546875" style="711" customWidth="1"/>
    <col min="13093" max="13093" width="5.7109375" style="711" customWidth="1"/>
    <col min="13094" max="13094" width="5" style="711" customWidth="1"/>
    <col min="13095" max="13095" width="4.140625" style="711" customWidth="1"/>
    <col min="13096" max="13096" width="5.85546875" style="711" customWidth="1"/>
    <col min="13097" max="13097" width="5.7109375" style="711" customWidth="1"/>
    <col min="13098" max="13098" width="4.7109375" style="711" customWidth="1"/>
    <col min="13099" max="13099" width="4.42578125" style="711" customWidth="1"/>
    <col min="13100" max="13103" width="0" style="711" hidden="1" customWidth="1"/>
    <col min="13104" max="13104" width="5.85546875" style="711" customWidth="1"/>
    <col min="13105" max="13105" width="5.42578125" style="711" customWidth="1"/>
    <col min="13106" max="13106" width="5.28515625" style="711" customWidth="1"/>
    <col min="13107" max="13107" width="4.85546875" style="711" customWidth="1"/>
    <col min="13108" max="13119" width="0" style="711" hidden="1" customWidth="1"/>
    <col min="13120" max="13120" width="5.85546875" style="711" customWidth="1"/>
    <col min="13121" max="13121" width="5.42578125" style="711" customWidth="1"/>
    <col min="13122" max="13122" width="5.140625" style="711" customWidth="1"/>
    <col min="13123" max="13123" width="4.140625" style="711" customWidth="1"/>
    <col min="13124" max="13124" width="6.140625" style="711" customWidth="1"/>
    <col min="13125" max="13126" width="5.5703125" style="711" customWidth="1"/>
    <col min="13127" max="13127" width="4.42578125" style="711" customWidth="1"/>
    <col min="13128" max="13139" width="0" style="711" hidden="1" customWidth="1"/>
    <col min="13140" max="13140" width="7.5703125" style="711" customWidth="1"/>
    <col min="13141" max="13141" width="6.42578125" style="711" customWidth="1"/>
    <col min="13142" max="13142" width="5.42578125" style="711" customWidth="1"/>
    <col min="13143" max="13143" width="5.140625" style="711" customWidth="1"/>
    <col min="13144" max="13144" width="5.7109375" style="711" customWidth="1"/>
    <col min="13145" max="13145" width="5.42578125" style="711" customWidth="1"/>
    <col min="13146" max="13146" width="4.5703125" style="711" customWidth="1"/>
    <col min="13147" max="13147" width="5.42578125" style="711" customWidth="1"/>
    <col min="13148" max="13150" width="5.85546875" style="711" customWidth="1"/>
    <col min="13151" max="13151" width="4.42578125" style="711" customWidth="1"/>
    <col min="13152" max="13166" width="0" style="711" hidden="1" customWidth="1"/>
    <col min="13167" max="13167" width="9.140625" style="711" customWidth="1"/>
    <col min="13168" max="13312" width="9.140625" style="711"/>
    <col min="13313" max="13313" width="3.140625" style="711" customWidth="1"/>
    <col min="13314" max="13314" width="12.28515625" style="711" customWidth="1"/>
    <col min="13315" max="13315" width="34.85546875" style="711" customWidth="1"/>
    <col min="13316" max="13316" width="8.42578125" style="711" customWidth="1"/>
    <col min="13317" max="13317" width="8.28515625" style="711" customWidth="1"/>
    <col min="13318" max="13318" width="9.42578125" style="711" customWidth="1"/>
    <col min="13319" max="13319" width="8.28515625" style="711" customWidth="1"/>
    <col min="13320" max="13322" width="6.42578125" style="711" customWidth="1"/>
    <col min="13323" max="13323" width="7.140625" style="711" customWidth="1"/>
    <col min="13324" max="13324" width="4.5703125" style="711" customWidth="1"/>
    <col min="13325" max="13325" width="6.7109375" style="711" customWidth="1"/>
    <col min="13326" max="13326" width="6.85546875" style="711" customWidth="1"/>
    <col min="13327" max="13327" width="6.28515625" style="711" customWidth="1"/>
    <col min="13328" max="13328" width="4" style="711" customWidth="1"/>
    <col min="13329" max="13329" width="7.28515625" style="711" customWidth="1"/>
    <col min="13330" max="13330" width="7.5703125" style="711" customWidth="1"/>
    <col min="13331" max="13331" width="6" style="711" customWidth="1"/>
    <col min="13332" max="13332" width="4.7109375" style="711" customWidth="1"/>
    <col min="13333" max="13333" width="5.42578125" style="711" customWidth="1"/>
    <col min="13334" max="13334" width="5.7109375" style="711" customWidth="1"/>
    <col min="13335" max="13335" width="5.85546875" style="711" customWidth="1"/>
    <col min="13336" max="13336" width="5.7109375" style="711" customWidth="1"/>
    <col min="13337" max="13347" width="0" style="711" hidden="1" customWidth="1"/>
    <col min="13348" max="13348" width="5.85546875" style="711" customWidth="1"/>
    <col min="13349" max="13349" width="5.7109375" style="711" customWidth="1"/>
    <col min="13350" max="13350" width="5" style="711" customWidth="1"/>
    <col min="13351" max="13351" width="4.140625" style="711" customWidth="1"/>
    <col min="13352" max="13352" width="5.85546875" style="711" customWidth="1"/>
    <col min="13353" max="13353" width="5.7109375" style="711" customWidth="1"/>
    <col min="13354" max="13354" width="4.7109375" style="711" customWidth="1"/>
    <col min="13355" max="13355" width="4.42578125" style="711" customWidth="1"/>
    <col min="13356" max="13359" width="0" style="711" hidden="1" customWidth="1"/>
    <col min="13360" max="13360" width="5.85546875" style="711" customWidth="1"/>
    <col min="13361" max="13361" width="5.42578125" style="711" customWidth="1"/>
    <col min="13362" max="13362" width="5.28515625" style="711" customWidth="1"/>
    <col min="13363" max="13363" width="4.85546875" style="711" customWidth="1"/>
    <col min="13364" max="13375" width="0" style="711" hidden="1" customWidth="1"/>
    <col min="13376" max="13376" width="5.85546875" style="711" customWidth="1"/>
    <col min="13377" max="13377" width="5.42578125" style="711" customWidth="1"/>
    <col min="13378" max="13378" width="5.140625" style="711" customWidth="1"/>
    <col min="13379" max="13379" width="4.140625" style="711" customWidth="1"/>
    <col min="13380" max="13380" width="6.140625" style="711" customWidth="1"/>
    <col min="13381" max="13382" width="5.5703125" style="711" customWidth="1"/>
    <col min="13383" max="13383" width="4.42578125" style="711" customWidth="1"/>
    <col min="13384" max="13395" width="0" style="711" hidden="1" customWidth="1"/>
    <col min="13396" max="13396" width="7.5703125" style="711" customWidth="1"/>
    <col min="13397" max="13397" width="6.42578125" style="711" customWidth="1"/>
    <col min="13398" max="13398" width="5.42578125" style="711" customWidth="1"/>
    <col min="13399" max="13399" width="5.140625" style="711" customWidth="1"/>
    <col min="13400" max="13400" width="5.7109375" style="711" customWidth="1"/>
    <col min="13401" max="13401" width="5.42578125" style="711" customWidth="1"/>
    <col min="13402" max="13402" width="4.5703125" style="711" customWidth="1"/>
    <col min="13403" max="13403" width="5.42578125" style="711" customWidth="1"/>
    <col min="13404" max="13406" width="5.85546875" style="711" customWidth="1"/>
    <col min="13407" max="13407" width="4.42578125" style="711" customWidth="1"/>
    <col min="13408" max="13422" width="0" style="711" hidden="1" customWidth="1"/>
    <col min="13423" max="13423" width="9.140625" style="711" customWidth="1"/>
    <col min="13424" max="13568" width="9.140625" style="711"/>
    <col min="13569" max="13569" width="3.140625" style="711" customWidth="1"/>
    <col min="13570" max="13570" width="12.28515625" style="711" customWidth="1"/>
    <col min="13571" max="13571" width="34.85546875" style="711" customWidth="1"/>
    <col min="13572" max="13572" width="8.42578125" style="711" customWidth="1"/>
    <col min="13573" max="13573" width="8.28515625" style="711" customWidth="1"/>
    <col min="13574" max="13574" width="9.42578125" style="711" customWidth="1"/>
    <col min="13575" max="13575" width="8.28515625" style="711" customWidth="1"/>
    <col min="13576" max="13578" width="6.42578125" style="711" customWidth="1"/>
    <col min="13579" max="13579" width="7.140625" style="711" customWidth="1"/>
    <col min="13580" max="13580" width="4.5703125" style="711" customWidth="1"/>
    <col min="13581" max="13581" width="6.7109375" style="711" customWidth="1"/>
    <col min="13582" max="13582" width="6.85546875" style="711" customWidth="1"/>
    <col min="13583" max="13583" width="6.28515625" style="711" customWidth="1"/>
    <col min="13584" max="13584" width="4" style="711" customWidth="1"/>
    <col min="13585" max="13585" width="7.28515625" style="711" customWidth="1"/>
    <col min="13586" max="13586" width="7.5703125" style="711" customWidth="1"/>
    <col min="13587" max="13587" width="6" style="711" customWidth="1"/>
    <col min="13588" max="13588" width="4.7109375" style="711" customWidth="1"/>
    <col min="13589" max="13589" width="5.42578125" style="711" customWidth="1"/>
    <col min="13590" max="13590" width="5.7109375" style="711" customWidth="1"/>
    <col min="13591" max="13591" width="5.85546875" style="711" customWidth="1"/>
    <col min="13592" max="13592" width="5.7109375" style="711" customWidth="1"/>
    <col min="13593" max="13603" width="0" style="711" hidden="1" customWidth="1"/>
    <col min="13604" max="13604" width="5.85546875" style="711" customWidth="1"/>
    <col min="13605" max="13605" width="5.7109375" style="711" customWidth="1"/>
    <col min="13606" max="13606" width="5" style="711" customWidth="1"/>
    <col min="13607" max="13607" width="4.140625" style="711" customWidth="1"/>
    <col min="13608" max="13608" width="5.85546875" style="711" customWidth="1"/>
    <col min="13609" max="13609" width="5.7109375" style="711" customWidth="1"/>
    <col min="13610" max="13610" width="4.7109375" style="711" customWidth="1"/>
    <col min="13611" max="13611" width="4.42578125" style="711" customWidth="1"/>
    <col min="13612" max="13615" width="0" style="711" hidden="1" customWidth="1"/>
    <col min="13616" max="13616" width="5.85546875" style="711" customWidth="1"/>
    <col min="13617" max="13617" width="5.42578125" style="711" customWidth="1"/>
    <col min="13618" max="13618" width="5.28515625" style="711" customWidth="1"/>
    <col min="13619" max="13619" width="4.85546875" style="711" customWidth="1"/>
    <col min="13620" max="13631" width="0" style="711" hidden="1" customWidth="1"/>
    <col min="13632" max="13632" width="5.85546875" style="711" customWidth="1"/>
    <col min="13633" max="13633" width="5.42578125" style="711" customWidth="1"/>
    <col min="13634" max="13634" width="5.140625" style="711" customWidth="1"/>
    <col min="13635" max="13635" width="4.140625" style="711" customWidth="1"/>
    <col min="13636" max="13636" width="6.140625" style="711" customWidth="1"/>
    <col min="13637" max="13638" width="5.5703125" style="711" customWidth="1"/>
    <col min="13639" max="13639" width="4.42578125" style="711" customWidth="1"/>
    <col min="13640" max="13651" width="0" style="711" hidden="1" customWidth="1"/>
    <col min="13652" max="13652" width="7.5703125" style="711" customWidth="1"/>
    <col min="13653" max="13653" width="6.42578125" style="711" customWidth="1"/>
    <col min="13654" max="13654" width="5.42578125" style="711" customWidth="1"/>
    <col min="13655" max="13655" width="5.140625" style="711" customWidth="1"/>
    <col min="13656" max="13656" width="5.7109375" style="711" customWidth="1"/>
    <col min="13657" max="13657" width="5.42578125" style="711" customWidth="1"/>
    <col min="13658" max="13658" width="4.5703125" style="711" customWidth="1"/>
    <col min="13659" max="13659" width="5.42578125" style="711" customWidth="1"/>
    <col min="13660" max="13662" width="5.85546875" style="711" customWidth="1"/>
    <col min="13663" max="13663" width="4.42578125" style="711" customWidth="1"/>
    <col min="13664" max="13678" width="0" style="711" hidden="1" customWidth="1"/>
    <col min="13679" max="13679" width="9.140625" style="711" customWidth="1"/>
    <col min="13680" max="13824" width="9.140625" style="711"/>
    <col min="13825" max="13825" width="3.140625" style="711" customWidth="1"/>
    <col min="13826" max="13826" width="12.28515625" style="711" customWidth="1"/>
    <col min="13827" max="13827" width="34.85546875" style="711" customWidth="1"/>
    <col min="13828" max="13828" width="8.42578125" style="711" customWidth="1"/>
    <col min="13829" max="13829" width="8.28515625" style="711" customWidth="1"/>
    <col min="13830" max="13830" width="9.42578125" style="711" customWidth="1"/>
    <col min="13831" max="13831" width="8.28515625" style="711" customWidth="1"/>
    <col min="13832" max="13834" width="6.42578125" style="711" customWidth="1"/>
    <col min="13835" max="13835" width="7.140625" style="711" customWidth="1"/>
    <col min="13836" max="13836" width="4.5703125" style="711" customWidth="1"/>
    <col min="13837" max="13837" width="6.7109375" style="711" customWidth="1"/>
    <col min="13838" max="13838" width="6.85546875" style="711" customWidth="1"/>
    <col min="13839" max="13839" width="6.28515625" style="711" customWidth="1"/>
    <col min="13840" max="13840" width="4" style="711" customWidth="1"/>
    <col min="13841" max="13841" width="7.28515625" style="711" customWidth="1"/>
    <col min="13842" max="13842" width="7.5703125" style="711" customWidth="1"/>
    <col min="13843" max="13843" width="6" style="711" customWidth="1"/>
    <col min="13844" max="13844" width="4.7109375" style="711" customWidth="1"/>
    <col min="13845" max="13845" width="5.42578125" style="711" customWidth="1"/>
    <col min="13846" max="13846" width="5.7109375" style="711" customWidth="1"/>
    <col min="13847" max="13847" width="5.85546875" style="711" customWidth="1"/>
    <col min="13848" max="13848" width="5.7109375" style="711" customWidth="1"/>
    <col min="13849" max="13859" width="0" style="711" hidden="1" customWidth="1"/>
    <col min="13860" max="13860" width="5.85546875" style="711" customWidth="1"/>
    <col min="13861" max="13861" width="5.7109375" style="711" customWidth="1"/>
    <col min="13862" max="13862" width="5" style="711" customWidth="1"/>
    <col min="13863" max="13863" width="4.140625" style="711" customWidth="1"/>
    <col min="13864" max="13864" width="5.85546875" style="711" customWidth="1"/>
    <col min="13865" max="13865" width="5.7109375" style="711" customWidth="1"/>
    <col min="13866" max="13866" width="4.7109375" style="711" customWidth="1"/>
    <col min="13867" max="13867" width="4.42578125" style="711" customWidth="1"/>
    <col min="13868" max="13871" width="0" style="711" hidden="1" customWidth="1"/>
    <col min="13872" max="13872" width="5.85546875" style="711" customWidth="1"/>
    <col min="13873" max="13873" width="5.42578125" style="711" customWidth="1"/>
    <col min="13874" max="13874" width="5.28515625" style="711" customWidth="1"/>
    <col min="13875" max="13875" width="4.85546875" style="711" customWidth="1"/>
    <col min="13876" max="13887" width="0" style="711" hidden="1" customWidth="1"/>
    <col min="13888" max="13888" width="5.85546875" style="711" customWidth="1"/>
    <col min="13889" max="13889" width="5.42578125" style="711" customWidth="1"/>
    <col min="13890" max="13890" width="5.140625" style="711" customWidth="1"/>
    <col min="13891" max="13891" width="4.140625" style="711" customWidth="1"/>
    <col min="13892" max="13892" width="6.140625" style="711" customWidth="1"/>
    <col min="13893" max="13894" width="5.5703125" style="711" customWidth="1"/>
    <col min="13895" max="13895" width="4.42578125" style="711" customWidth="1"/>
    <col min="13896" max="13907" width="0" style="711" hidden="1" customWidth="1"/>
    <col min="13908" max="13908" width="7.5703125" style="711" customWidth="1"/>
    <col min="13909" max="13909" width="6.42578125" style="711" customWidth="1"/>
    <col min="13910" max="13910" width="5.42578125" style="711" customWidth="1"/>
    <col min="13911" max="13911" width="5.140625" style="711" customWidth="1"/>
    <col min="13912" max="13912" width="5.7109375" style="711" customWidth="1"/>
    <col min="13913" max="13913" width="5.42578125" style="711" customWidth="1"/>
    <col min="13914" max="13914" width="4.5703125" style="711" customWidth="1"/>
    <col min="13915" max="13915" width="5.42578125" style="711" customWidth="1"/>
    <col min="13916" max="13918" width="5.85546875" style="711" customWidth="1"/>
    <col min="13919" max="13919" width="4.42578125" style="711" customWidth="1"/>
    <col min="13920" max="13934" width="0" style="711" hidden="1" customWidth="1"/>
    <col min="13935" max="13935" width="9.140625" style="711" customWidth="1"/>
    <col min="13936" max="14080" width="9.140625" style="711"/>
    <col min="14081" max="14081" width="3.140625" style="711" customWidth="1"/>
    <col min="14082" max="14082" width="12.28515625" style="711" customWidth="1"/>
    <col min="14083" max="14083" width="34.85546875" style="711" customWidth="1"/>
    <col min="14084" max="14084" width="8.42578125" style="711" customWidth="1"/>
    <col min="14085" max="14085" width="8.28515625" style="711" customWidth="1"/>
    <col min="14086" max="14086" width="9.42578125" style="711" customWidth="1"/>
    <col min="14087" max="14087" width="8.28515625" style="711" customWidth="1"/>
    <col min="14088" max="14090" width="6.42578125" style="711" customWidth="1"/>
    <col min="14091" max="14091" width="7.140625" style="711" customWidth="1"/>
    <col min="14092" max="14092" width="4.5703125" style="711" customWidth="1"/>
    <col min="14093" max="14093" width="6.7109375" style="711" customWidth="1"/>
    <col min="14094" max="14094" width="6.85546875" style="711" customWidth="1"/>
    <col min="14095" max="14095" width="6.28515625" style="711" customWidth="1"/>
    <col min="14096" max="14096" width="4" style="711" customWidth="1"/>
    <col min="14097" max="14097" width="7.28515625" style="711" customWidth="1"/>
    <col min="14098" max="14098" width="7.5703125" style="711" customWidth="1"/>
    <col min="14099" max="14099" width="6" style="711" customWidth="1"/>
    <col min="14100" max="14100" width="4.7109375" style="711" customWidth="1"/>
    <col min="14101" max="14101" width="5.42578125" style="711" customWidth="1"/>
    <col min="14102" max="14102" width="5.7109375" style="711" customWidth="1"/>
    <col min="14103" max="14103" width="5.85546875" style="711" customWidth="1"/>
    <col min="14104" max="14104" width="5.7109375" style="711" customWidth="1"/>
    <col min="14105" max="14115" width="0" style="711" hidden="1" customWidth="1"/>
    <col min="14116" max="14116" width="5.85546875" style="711" customWidth="1"/>
    <col min="14117" max="14117" width="5.7109375" style="711" customWidth="1"/>
    <col min="14118" max="14118" width="5" style="711" customWidth="1"/>
    <col min="14119" max="14119" width="4.140625" style="711" customWidth="1"/>
    <col min="14120" max="14120" width="5.85546875" style="711" customWidth="1"/>
    <col min="14121" max="14121" width="5.7109375" style="711" customWidth="1"/>
    <col min="14122" max="14122" width="4.7109375" style="711" customWidth="1"/>
    <col min="14123" max="14123" width="4.42578125" style="711" customWidth="1"/>
    <col min="14124" max="14127" width="0" style="711" hidden="1" customWidth="1"/>
    <col min="14128" max="14128" width="5.85546875" style="711" customWidth="1"/>
    <col min="14129" max="14129" width="5.42578125" style="711" customWidth="1"/>
    <col min="14130" max="14130" width="5.28515625" style="711" customWidth="1"/>
    <col min="14131" max="14131" width="4.85546875" style="711" customWidth="1"/>
    <col min="14132" max="14143" width="0" style="711" hidden="1" customWidth="1"/>
    <col min="14144" max="14144" width="5.85546875" style="711" customWidth="1"/>
    <col min="14145" max="14145" width="5.42578125" style="711" customWidth="1"/>
    <col min="14146" max="14146" width="5.140625" style="711" customWidth="1"/>
    <col min="14147" max="14147" width="4.140625" style="711" customWidth="1"/>
    <col min="14148" max="14148" width="6.140625" style="711" customWidth="1"/>
    <col min="14149" max="14150" width="5.5703125" style="711" customWidth="1"/>
    <col min="14151" max="14151" width="4.42578125" style="711" customWidth="1"/>
    <col min="14152" max="14163" width="0" style="711" hidden="1" customWidth="1"/>
    <col min="14164" max="14164" width="7.5703125" style="711" customWidth="1"/>
    <col min="14165" max="14165" width="6.42578125" style="711" customWidth="1"/>
    <col min="14166" max="14166" width="5.42578125" style="711" customWidth="1"/>
    <col min="14167" max="14167" width="5.140625" style="711" customWidth="1"/>
    <col min="14168" max="14168" width="5.7109375" style="711" customWidth="1"/>
    <col min="14169" max="14169" width="5.42578125" style="711" customWidth="1"/>
    <col min="14170" max="14170" width="4.5703125" style="711" customWidth="1"/>
    <col min="14171" max="14171" width="5.42578125" style="711" customWidth="1"/>
    <col min="14172" max="14174" width="5.85546875" style="711" customWidth="1"/>
    <col min="14175" max="14175" width="4.42578125" style="711" customWidth="1"/>
    <col min="14176" max="14190" width="0" style="711" hidden="1" customWidth="1"/>
    <col min="14191" max="14191" width="9.140625" style="711" customWidth="1"/>
    <col min="14192" max="14336" width="9.140625" style="711"/>
    <col min="14337" max="14337" width="3.140625" style="711" customWidth="1"/>
    <col min="14338" max="14338" width="12.28515625" style="711" customWidth="1"/>
    <col min="14339" max="14339" width="34.85546875" style="711" customWidth="1"/>
    <col min="14340" max="14340" width="8.42578125" style="711" customWidth="1"/>
    <col min="14341" max="14341" width="8.28515625" style="711" customWidth="1"/>
    <col min="14342" max="14342" width="9.42578125" style="711" customWidth="1"/>
    <col min="14343" max="14343" width="8.28515625" style="711" customWidth="1"/>
    <col min="14344" max="14346" width="6.42578125" style="711" customWidth="1"/>
    <col min="14347" max="14347" width="7.140625" style="711" customWidth="1"/>
    <col min="14348" max="14348" width="4.5703125" style="711" customWidth="1"/>
    <col min="14349" max="14349" width="6.7109375" style="711" customWidth="1"/>
    <col min="14350" max="14350" width="6.85546875" style="711" customWidth="1"/>
    <col min="14351" max="14351" width="6.28515625" style="711" customWidth="1"/>
    <col min="14352" max="14352" width="4" style="711" customWidth="1"/>
    <col min="14353" max="14353" width="7.28515625" style="711" customWidth="1"/>
    <col min="14354" max="14354" width="7.5703125" style="711" customWidth="1"/>
    <col min="14355" max="14355" width="6" style="711" customWidth="1"/>
    <col min="14356" max="14356" width="4.7109375" style="711" customWidth="1"/>
    <col min="14357" max="14357" width="5.42578125" style="711" customWidth="1"/>
    <col min="14358" max="14358" width="5.7109375" style="711" customWidth="1"/>
    <col min="14359" max="14359" width="5.85546875" style="711" customWidth="1"/>
    <col min="14360" max="14360" width="5.7109375" style="711" customWidth="1"/>
    <col min="14361" max="14371" width="0" style="711" hidden="1" customWidth="1"/>
    <col min="14372" max="14372" width="5.85546875" style="711" customWidth="1"/>
    <col min="14373" max="14373" width="5.7109375" style="711" customWidth="1"/>
    <col min="14374" max="14374" width="5" style="711" customWidth="1"/>
    <col min="14375" max="14375" width="4.140625" style="711" customWidth="1"/>
    <col min="14376" max="14376" width="5.85546875" style="711" customWidth="1"/>
    <col min="14377" max="14377" width="5.7109375" style="711" customWidth="1"/>
    <col min="14378" max="14378" width="4.7109375" style="711" customWidth="1"/>
    <col min="14379" max="14379" width="4.42578125" style="711" customWidth="1"/>
    <col min="14380" max="14383" width="0" style="711" hidden="1" customWidth="1"/>
    <col min="14384" max="14384" width="5.85546875" style="711" customWidth="1"/>
    <col min="14385" max="14385" width="5.42578125" style="711" customWidth="1"/>
    <col min="14386" max="14386" width="5.28515625" style="711" customWidth="1"/>
    <col min="14387" max="14387" width="4.85546875" style="711" customWidth="1"/>
    <col min="14388" max="14399" width="0" style="711" hidden="1" customWidth="1"/>
    <col min="14400" max="14400" width="5.85546875" style="711" customWidth="1"/>
    <col min="14401" max="14401" width="5.42578125" style="711" customWidth="1"/>
    <col min="14402" max="14402" width="5.140625" style="711" customWidth="1"/>
    <col min="14403" max="14403" width="4.140625" style="711" customWidth="1"/>
    <col min="14404" max="14404" width="6.140625" style="711" customWidth="1"/>
    <col min="14405" max="14406" width="5.5703125" style="711" customWidth="1"/>
    <col min="14407" max="14407" width="4.42578125" style="711" customWidth="1"/>
    <col min="14408" max="14419" width="0" style="711" hidden="1" customWidth="1"/>
    <col min="14420" max="14420" width="7.5703125" style="711" customWidth="1"/>
    <col min="14421" max="14421" width="6.42578125" style="711" customWidth="1"/>
    <col min="14422" max="14422" width="5.42578125" style="711" customWidth="1"/>
    <col min="14423" max="14423" width="5.140625" style="711" customWidth="1"/>
    <col min="14424" max="14424" width="5.7109375" style="711" customWidth="1"/>
    <col min="14425" max="14425" width="5.42578125" style="711" customWidth="1"/>
    <col min="14426" max="14426" width="4.5703125" style="711" customWidth="1"/>
    <col min="14427" max="14427" width="5.42578125" style="711" customWidth="1"/>
    <col min="14428" max="14430" width="5.85546875" style="711" customWidth="1"/>
    <col min="14431" max="14431" width="4.42578125" style="711" customWidth="1"/>
    <col min="14432" max="14446" width="0" style="711" hidden="1" customWidth="1"/>
    <col min="14447" max="14447" width="9.140625" style="711" customWidth="1"/>
    <col min="14448" max="14592" width="9.140625" style="711"/>
    <col min="14593" max="14593" width="3.140625" style="711" customWidth="1"/>
    <col min="14594" max="14594" width="12.28515625" style="711" customWidth="1"/>
    <col min="14595" max="14595" width="34.85546875" style="711" customWidth="1"/>
    <col min="14596" max="14596" width="8.42578125" style="711" customWidth="1"/>
    <col min="14597" max="14597" width="8.28515625" style="711" customWidth="1"/>
    <col min="14598" max="14598" width="9.42578125" style="711" customWidth="1"/>
    <col min="14599" max="14599" width="8.28515625" style="711" customWidth="1"/>
    <col min="14600" max="14602" width="6.42578125" style="711" customWidth="1"/>
    <col min="14603" max="14603" width="7.140625" style="711" customWidth="1"/>
    <col min="14604" max="14604" width="4.5703125" style="711" customWidth="1"/>
    <col min="14605" max="14605" width="6.7109375" style="711" customWidth="1"/>
    <col min="14606" max="14606" width="6.85546875" style="711" customWidth="1"/>
    <col min="14607" max="14607" width="6.28515625" style="711" customWidth="1"/>
    <col min="14608" max="14608" width="4" style="711" customWidth="1"/>
    <col min="14609" max="14609" width="7.28515625" style="711" customWidth="1"/>
    <col min="14610" max="14610" width="7.5703125" style="711" customWidth="1"/>
    <col min="14611" max="14611" width="6" style="711" customWidth="1"/>
    <col min="14612" max="14612" width="4.7109375" style="711" customWidth="1"/>
    <col min="14613" max="14613" width="5.42578125" style="711" customWidth="1"/>
    <col min="14614" max="14614" width="5.7109375" style="711" customWidth="1"/>
    <col min="14615" max="14615" width="5.85546875" style="711" customWidth="1"/>
    <col min="14616" max="14616" width="5.7109375" style="711" customWidth="1"/>
    <col min="14617" max="14627" width="0" style="711" hidden="1" customWidth="1"/>
    <col min="14628" max="14628" width="5.85546875" style="711" customWidth="1"/>
    <col min="14629" max="14629" width="5.7109375" style="711" customWidth="1"/>
    <col min="14630" max="14630" width="5" style="711" customWidth="1"/>
    <col min="14631" max="14631" width="4.140625" style="711" customWidth="1"/>
    <col min="14632" max="14632" width="5.85546875" style="711" customWidth="1"/>
    <col min="14633" max="14633" width="5.7109375" style="711" customWidth="1"/>
    <col min="14634" max="14634" width="4.7109375" style="711" customWidth="1"/>
    <col min="14635" max="14635" width="4.42578125" style="711" customWidth="1"/>
    <col min="14636" max="14639" width="0" style="711" hidden="1" customWidth="1"/>
    <col min="14640" max="14640" width="5.85546875" style="711" customWidth="1"/>
    <col min="14641" max="14641" width="5.42578125" style="711" customWidth="1"/>
    <col min="14642" max="14642" width="5.28515625" style="711" customWidth="1"/>
    <col min="14643" max="14643" width="4.85546875" style="711" customWidth="1"/>
    <col min="14644" max="14655" width="0" style="711" hidden="1" customWidth="1"/>
    <col min="14656" max="14656" width="5.85546875" style="711" customWidth="1"/>
    <col min="14657" max="14657" width="5.42578125" style="711" customWidth="1"/>
    <col min="14658" max="14658" width="5.140625" style="711" customWidth="1"/>
    <col min="14659" max="14659" width="4.140625" style="711" customWidth="1"/>
    <col min="14660" max="14660" width="6.140625" style="711" customWidth="1"/>
    <col min="14661" max="14662" width="5.5703125" style="711" customWidth="1"/>
    <col min="14663" max="14663" width="4.42578125" style="711" customWidth="1"/>
    <col min="14664" max="14675" width="0" style="711" hidden="1" customWidth="1"/>
    <col min="14676" max="14676" width="7.5703125" style="711" customWidth="1"/>
    <col min="14677" max="14677" width="6.42578125" style="711" customWidth="1"/>
    <col min="14678" max="14678" width="5.42578125" style="711" customWidth="1"/>
    <col min="14679" max="14679" width="5.140625" style="711" customWidth="1"/>
    <col min="14680" max="14680" width="5.7109375" style="711" customWidth="1"/>
    <col min="14681" max="14681" width="5.42578125" style="711" customWidth="1"/>
    <col min="14682" max="14682" width="4.5703125" style="711" customWidth="1"/>
    <col min="14683" max="14683" width="5.42578125" style="711" customWidth="1"/>
    <col min="14684" max="14686" width="5.85546875" style="711" customWidth="1"/>
    <col min="14687" max="14687" width="4.42578125" style="711" customWidth="1"/>
    <col min="14688" max="14702" width="0" style="711" hidden="1" customWidth="1"/>
    <col min="14703" max="14703" width="9.140625" style="711" customWidth="1"/>
    <col min="14704" max="14848" width="9.140625" style="711"/>
    <col min="14849" max="14849" width="3.140625" style="711" customWidth="1"/>
    <col min="14850" max="14850" width="12.28515625" style="711" customWidth="1"/>
    <col min="14851" max="14851" width="34.85546875" style="711" customWidth="1"/>
    <col min="14852" max="14852" width="8.42578125" style="711" customWidth="1"/>
    <col min="14853" max="14853" width="8.28515625" style="711" customWidth="1"/>
    <col min="14854" max="14854" width="9.42578125" style="711" customWidth="1"/>
    <col min="14855" max="14855" width="8.28515625" style="711" customWidth="1"/>
    <col min="14856" max="14858" width="6.42578125" style="711" customWidth="1"/>
    <col min="14859" max="14859" width="7.140625" style="711" customWidth="1"/>
    <col min="14860" max="14860" width="4.5703125" style="711" customWidth="1"/>
    <col min="14861" max="14861" width="6.7109375" style="711" customWidth="1"/>
    <col min="14862" max="14862" width="6.85546875" style="711" customWidth="1"/>
    <col min="14863" max="14863" width="6.28515625" style="711" customWidth="1"/>
    <col min="14864" max="14864" width="4" style="711" customWidth="1"/>
    <col min="14865" max="14865" width="7.28515625" style="711" customWidth="1"/>
    <col min="14866" max="14866" width="7.5703125" style="711" customWidth="1"/>
    <col min="14867" max="14867" width="6" style="711" customWidth="1"/>
    <col min="14868" max="14868" width="4.7109375" style="711" customWidth="1"/>
    <col min="14869" max="14869" width="5.42578125" style="711" customWidth="1"/>
    <col min="14870" max="14870" width="5.7109375" style="711" customWidth="1"/>
    <col min="14871" max="14871" width="5.85546875" style="711" customWidth="1"/>
    <col min="14872" max="14872" width="5.7109375" style="711" customWidth="1"/>
    <col min="14873" max="14883" width="0" style="711" hidden="1" customWidth="1"/>
    <col min="14884" max="14884" width="5.85546875" style="711" customWidth="1"/>
    <col min="14885" max="14885" width="5.7109375" style="711" customWidth="1"/>
    <col min="14886" max="14886" width="5" style="711" customWidth="1"/>
    <col min="14887" max="14887" width="4.140625" style="711" customWidth="1"/>
    <col min="14888" max="14888" width="5.85546875" style="711" customWidth="1"/>
    <col min="14889" max="14889" width="5.7109375" style="711" customWidth="1"/>
    <col min="14890" max="14890" width="4.7109375" style="711" customWidth="1"/>
    <col min="14891" max="14891" width="4.42578125" style="711" customWidth="1"/>
    <col min="14892" max="14895" width="0" style="711" hidden="1" customWidth="1"/>
    <col min="14896" max="14896" width="5.85546875" style="711" customWidth="1"/>
    <col min="14897" max="14897" width="5.42578125" style="711" customWidth="1"/>
    <col min="14898" max="14898" width="5.28515625" style="711" customWidth="1"/>
    <col min="14899" max="14899" width="4.85546875" style="711" customWidth="1"/>
    <col min="14900" max="14911" width="0" style="711" hidden="1" customWidth="1"/>
    <col min="14912" max="14912" width="5.85546875" style="711" customWidth="1"/>
    <col min="14913" max="14913" width="5.42578125" style="711" customWidth="1"/>
    <col min="14914" max="14914" width="5.140625" style="711" customWidth="1"/>
    <col min="14915" max="14915" width="4.140625" style="711" customWidth="1"/>
    <col min="14916" max="14916" width="6.140625" style="711" customWidth="1"/>
    <col min="14917" max="14918" width="5.5703125" style="711" customWidth="1"/>
    <col min="14919" max="14919" width="4.42578125" style="711" customWidth="1"/>
    <col min="14920" max="14931" width="0" style="711" hidden="1" customWidth="1"/>
    <col min="14932" max="14932" width="7.5703125" style="711" customWidth="1"/>
    <col min="14933" max="14933" width="6.42578125" style="711" customWidth="1"/>
    <col min="14934" max="14934" width="5.42578125" style="711" customWidth="1"/>
    <col min="14935" max="14935" width="5.140625" style="711" customWidth="1"/>
    <col min="14936" max="14936" width="5.7109375" style="711" customWidth="1"/>
    <col min="14937" max="14937" width="5.42578125" style="711" customWidth="1"/>
    <col min="14938" max="14938" width="4.5703125" style="711" customWidth="1"/>
    <col min="14939" max="14939" width="5.42578125" style="711" customWidth="1"/>
    <col min="14940" max="14942" width="5.85546875" style="711" customWidth="1"/>
    <col min="14943" max="14943" width="4.42578125" style="711" customWidth="1"/>
    <col min="14944" max="14958" width="0" style="711" hidden="1" customWidth="1"/>
    <col min="14959" max="14959" width="9.140625" style="711" customWidth="1"/>
    <col min="14960" max="15104" width="9.140625" style="711"/>
    <col min="15105" max="15105" width="3.140625" style="711" customWidth="1"/>
    <col min="15106" max="15106" width="12.28515625" style="711" customWidth="1"/>
    <col min="15107" max="15107" width="34.85546875" style="711" customWidth="1"/>
    <col min="15108" max="15108" width="8.42578125" style="711" customWidth="1"/>
    <col min="15109" max="15109" width="8.28515625" style="711" customWidth="1"/>
    <col min="15110" max="15110" width="9.42578125" style="711" customWidth="1"/>
    <col min="15111" max="15111" width="8.28515625" style="711" customWidth="1"/>
    <col min="15112" max="15114" width="6.42578125" style="711" customWidth="1"/>
    <col min="15115" max="15115" width="7.140625" style="711" customWidth="1"/>
    <col min="15116" max="15116" width="4.5703125" style="711" customWidth="1"/>
    <col min="15117" max="15117" width="6.7109375" style="711" customWidth="1"/>
    <col min="15118" max="15118" width="6.85546875" style="711" customWidth="1"/>
    <col min="15119" max="15119" width="6.28515625" style="711" customWidth="1"/>
    <col min="15120" max="15120" width="4" style="711" customWidth="1"/>
    <col min="15121" max="15121" width="7.28515625" style="711" customWidth="1"/>
    <col min="15122" max="15122" width="7.5703125" style="711" customWidth="1"/>
    <col min="15123" max="15123" width="6" style="711" customWidth="1"/>
    <col min="15124" max="15124" width="4.7109375" style="711" customWidth="1"/>
    <col min="15125" max="15125" width="5.42578125" style="711" customWidth="1"/>
    <col min="15126" max="15126" width="5.7109375" style="711" customWidth="1"/>
    <col min="15127" max="15127" width="5.85546875" style="711" customWidth="1"/>
    <col min="15128" max="15128" width="5.7109375" style="711" customWidth="1"/>
    <col min="15129" max="15139" width="0" style="711" hidden="1" customWidth="1"/>
    <col min="15140" max="15140" width="5.85546875" style="711" customWidth="1"/>
    <col min="15141" max="15141" width="5.7109375" style="711" customWidth="1"/>
    <col min="15142" max="15142" width="5" style="711" customWidth="1"/>
    <col min="15143" max="15143" width="4.140625" style="711" customWidth="1"/>
    <col min="15144" max="15144" width="5.85546875" style="711" customWidth="1"/>
    <col min="15145" max="15145" width="5.7109375" style="711" customWidth="1"/>
    <col min="15146" max="15146" width="4.7109375" style="711" customWidth="1"/>
    <col min="15147" max="15147" width="4.42578125" style="711" customWidth="1"/>
    <col min="15148" max="15151" width="0" style="711" hidden="1" customWidth="1"/>
    <col min="15152" max="15152" width="5.85546875" style="711" customWidth="1"/>
    <col min="15153" max="15153" width="5.42578125" style="711" customWidth="1"/>
    <col min="15154" max="15154" width="5.28515625" style="711" customWidth="1"/>
    <col min="15155" max="15155" width="4.85546875" style="711" customWidth="1"/>
    <col min="15156" max="15167" width="0" style="711" hidden="1" customWidth="1"/>
    <col min="15168" max="15168" width="5.85546875" style="711" customWidth="1"/>
    <col min="15169" max="15169" width="5.42578125" style="711" customWidth="1"/>
    <col min="15170" max="15170" width="5.140625" style="711" customWidth="1"/>
    <col min="15171" max="15171" width="4.140625" style="711" customWidth="1"/>
    <col min="15172" max="15172" width="6.140625" style="711" customWidth="1"/>
    <col min="15173" max="15174" width="5.5703125" style="711" customWidth="1"/>
    <col min="15175" max="15175" width="4.42578125" style="711" customWidth="1"/>
    <col min="15176" max="15187" width="0" style="711" hidden="1" customWidth="1"/>
    <col min="15188" max="15188" width="7.5703125" style="711" customWidth="1"/>
    <col min="15189" max="15189" width="6.42578125" style="711" customWidth="1"/>
    <col min="15190" max="15190" width="5.42578125" style="711" customWidth="1"/>
    <col min="15191" max="15191" width="5.140625" style="711" customWidth="1"/>
    <col min="15192" max="15192" width="5.7109375" style="711" customWidth="1"/>
    <col min="15193" max="15193" width="5.42578125" style="711" customWidth="1"/>
    <col min="15194" max="15194" width="4.5703125" style="711" customWidth="1"/>
    <col min="15195" max="15195" width="5.42578125" style="711" customWidth="1"/>
    <col min="15196" max="15198" width="5.85546875" style="711" customWidth="1"/>
    <col min="15199" max="15199" width="4.42578125" style="711" customWidth="1"/>
    <col min="15200" max="15214" width="0" style="711" hidden="1" customWidth="1"/>
    <col min="15215" max="15215" width="9.140625" style="711" customWidth="1"/>
    <col min="15216" max="15360" width="9.140625" style="711"/>
    <col min="15361" max="15361" width="3.140625" style="711" customWidth="1"/>
    <col min="15362" max="15362" width="12.28515625" style="711" customWidth="1"/>
    <col min="15363" max="15363" width="34.85546875" style="711" customWidth="1"/>
    <col min="15364" max="15364" width="8.42578125" style="711" customWidth="1"/>
    <col min="15365" max="15365" width="8.28515625" style="711" customWidth="1"/>
    <col min="15366" max="15366" width="9.42578125" style="711" customWidth="1"/>
    <col min="15367" max="15367" width="8.28515625" style="711" customWidth="1"/>
    <col min="15368" max="15370" width="6.42578125" style="711" customWidth="1"/>
    <col min="15371" max="15371" width="7.140625" style="711" customWidth="1"/>
    <col min="15372" max="15372" width="4.5703125" style="711" customWidth="1"/>
    <col min="15373" max="15373" width="6.7109375" style="711" customWidth="1"/>
    <col min="15374" max="15374" width="6.85546875" style="711" customWidth="1"/>
    <col min="15375" max="15375" width="6.28515625" style="711" customWidth="1"/>
    <col min="15376" max="15376" width="4" style="711" customWidth="1"/>
    <col min="15377" max="15377" width="7.28515625" style="711" customWidth="1"/>
    <col min="15378" max="15378" width="7.5703125" style="711" customWidth="1"/>
    <col min="15379" max="15379" width="6" style="711" customWidth="1"/>
    <col min="15380" max="15380" width="4.7109375" style="711" customWidth="1"/>
    <col min="15381" max="15381" width="5.42578125" style="711" customWidth="1"/>
    <col min="15382" max="15382" width="5.7109375" style="711" customWidth="1"/>
    <col min="15383" max="15383" width="5.85546875" style="711" customWidth="1"/>
    <col min="15384" max="15384" width="5.7109375" style="711" customWidth="1"/>
    <col min="15385" max="15395" width="0" style="711" hidden="1" customWidth="1"/>
    <col min="15396" max="15396" width="5.85546875" style="711" customWidth="1"/>
    <col min="15397" max="15397" width="5.7109375" style="711" customWidth="1"/>
    <col min="15398" max="15398" width="5" style="711" customWidth="1"/>
    <col min="15399" max="15399" width="4.140625" style="711" customWidth="1"/>
    <col min="15400" max="15400" width="5.85546875" style="711" customWidth="1"/>
    <col min="15401" max="15401" width="5.7109375" style="711" customWidth="1"/>
    <col min="15402" max="15402" width="4.7109375" style="711" customWidth="1"/>
    <col min="15403" max="15403" width="4.42578125" style="711" customWidth="1"/>
    <col min="15404" max="15407" width="0" style="711" hidden="1" customWidth="1"/>
    <col min="15408" max="15408" width="5.85546875" style="711" customWidth="1"/>
    <col min="15409" max="15409" width="5.42578125" style="711" customWidth="1"/>
    <col min="15410" max="15410" width="5.28515625" style="711" customWidth="1"/>
    <col min="15411" max="15411" width="4.85546875" style="711" customWidth="1"/>
    <col min="15412" max="15423" width="0" style="711" hidden="1" customWidth="1"/>
    <col min="15424" max="15424" width="5.85546875" style="711" customWidth="1"/>
    <col min="15425" max="15425" width="5.42578125" style="711" customWidth="1"/>
    <col min="15426" max="15426" width="5.140625" style="711" customWidth="1"/>
    <col min="15427" max="15427" width="4.140625" style="711" customWidth="1"/>
    <col min="15428" max="15428" width="6.140625" style="711" customWidth="1"/>
    <col min="15429" max="15430" width="5.5703125" style="711" customWidth="1"/>
    <col min="15431" max="15431" width="4.42578125" style="711" customWidth="1"/>
    <col min="15432" max="15443" width="0" style="711" hidden="1" customWidth="1"/>
    <col min="15444" max="15444" width="7.5703125" style="711" customWidth="1"/>
    <col min="15445" max="15445" width="6.42578125" style="711" customWidth="1"/>
    <col min="15446" max="15446" width="5.42578125" style="711" customWidth="1"/>
    <col min="15447" max="15447" width="5.140625" style="711" customWidth="1"/>
    <col min="15448" max="15448" width="5.7109375" style="711" customWidth="1"/>
    <col min="15449" max="15449" width="5.42578125" style="711" customWidth="1"/>
    <col min="15450" max="15450" width="4.5703125" style="711" customWidth="1"/>
    <col min="15451" max="15451" width="5.42578125" style="711" customWidth="1"/>
    <col min="15452" max="15454" width="5.85546875" style="711" customWidth="1"/>
    <col min="15455" max="15455" width="4.42578125" style="711" customWidth="1"/>
    <col min="15456" max="15470" width="0" style="711" hidden="1" customWidth="1"/>
    <col min="15471" max="15471" width="9.140625" style="711" customWidth="1"/>
    <col min="15472" max="15616" width="9.140625" style="711"/>
    <col min="15617" max="15617" width="3.140625" style="711" customWidth="1"/>
    <col min="15618" max="15618" width="12.28515625" style="711" customWidth="1"/>
    <col min="15619" max="15619" width="34.85546875" style="711" customWidth="1"/>
    <col min="15620" max="15620" width="8.42578125" style="711" customWidth="1"/>
    <col min="15621" max="15621" width="8.28515625" style="711" customWidth="1"/>
    <col min="15622" max="15622" width="9.42578125" style="711" customWidth="1"/>
    <col min="15623" max="15623" width="8.28515625" style="711" customWidth="1"/>
    <col min="15624" max="15626" width="6.42578125" style="711" customWidth="1"/>
    <col min="15627" max="15627" width="7.140625" style="711" customWidth="1"/>
    <col min="15628" max="15628" width="4.5703125" style="711" customWidth="1"/>
    <col min="15629" max="15629" width="6.7109375" style="711" customWidth="1"/>
    <col min="15630" max="15630" width="6.85546875" style="711" customWidth="1"/>
    <col min="15631" max="15631" width="6.28515625" style="711" customWidth="1"/>
    <col min="15632" max="15632" width="4" style="711" customWidth="1"/>
    <col min="15633" max="15633" width="7.28515625" style="711" customWidth="1"/>
    <col min="15634" max="15634" width="7.5703125" style="711" customWidth="1"/>
    <col min="15635" max="15635" width="6" style="711" customWidth="1"/>
    <col min="15636" max="15636" width="4.7109375" style="711" customWidth="1"/>
    <col min="15637" max="15637" width="5.42578125" style="711" customWidth="1"/>
    <col min="15638" max="15638" width="5.7109375" style="711" customWidth="1"/>
    <col min="15639" max="15639" width="5.85546875" style="711" customWidth="1"/>
    <col min="15640" max="15640" width="5.7109375" style="711" customWidth="1"/>
    <col min="15641" max="15651" width="0" style="711" hidden="1" customWidth="1"/>
    <col min="15652" max="15652" width="5.85546875" style="711" customWidth="1"/>
    <col min="15653" max="15653" width="5.7109375" style="711" customWidth="1"/>
    <col min="15654" max="15654" width="5" style="711" customWidth="1"/>
    <col min="15655" max="15655" width="4.140625" style="711" customWidth="1"/>
    <col min="15656" max="15656" width="5.85546875" style="711" customWidth="1"/>
    <col min="15657" max="15657" width="5.7109375" style="711" customWidth="1"/>
    <col min="15658" max="15658" width="4.7109375" style="711" customWidth="1"/>
    <col min="15659" max="15659" width="4.42578125" style="711" customWidth="1"/>
    <col min="15660" max="15663" width="0" style="711" hidden="1" customWidth="1"/>
    <col min="15664" max="15664" width="5.85546875" style="711" customWidth="1"/>
    <col min="15665" max="15665" width="5.42578125" style="711" customWidth="1"/>
    <col min="15666" max="15666" width="5.28515625" style="711" customWidth="1"/>
    <col min="15667" max="15667" width="4.85546875" style="711" customWidth="1"/>
    <col min="15668" max="15679" width="0" style="711" hidden="1" customWidth="1"/>
    <col min="15680" max="15680" width="5.85546875" style="711" customWidth="1"/>
    <col min="15681" max="15681" width="5.42578125" style="711" customWidth="1"/>
    <col min="15682" max="15682" width="5.140625" style="711" customWidth="1"/>
    <col min="15683" max="15683" width="4.140625" style="711" customWidth="1"/>
    <col min="15684" max="15684" width="6.140625" style="711" customWidth="1"/>
    <col min="15685" max="15686" width="5.5703125" style="711" customWidth="1"/>
    <col min="15687" max="15687" width="4.42578125" style="711" customWidth="1"/>
    <col min="15688" max="15699" width="0" style="711" hidden="1" customWidth="1"/>
    <col min="15700" max="15700" width="7.5703125" style="711" customWidth="1"/>
    <col min="15701" max="15701" width="6.42578125" style="711" customWidth="1"/>
    <col min="15702" max="15702" width="5.42578125" style="711" customWidth="1"/>
    <col min="15703" max="15703" width="5.140625" style="711" customWidth="1"/>
    <col min="15704" max="15704" width="5.7109375" style="711" customWidth="1"/>
    <col min="15705" max="15705" width="5.42578125" style="711" customWidth="1"/>
    <col min="15706" max="15706" width="4.5703125" style="711" customWidth="1"/>
    <col min="15707" max="15707" width="5.42578125" style="711" customWidth="1"/>
    <col min="15708" max="15710" width="5.85546875" style="711" customWidth="1"/>
    <col min="15711" max="15711" width="4.42578125" style="711" customWidth="1"/>
    <col min="15712" max="15726" width="0" style="711" hidden="1" customWidth="1"/>
    <col min="15727" max="15727" width="9.140625" style="711" customWidth="1"/>
    <col min="15728" max="15872" width="9.140625" style="711"/>
    <col min="15873" max="15873" width="3.140625" style="711" customWidth="1"/>
    <col min="15874" max="15874" width="12.28515625" style="711" customWidth="1"/>
    <col min="15875" max="15875" width="34.85546875" style="711" customWidth="1"/>
    <col min="15876" max="15876" width="8.42578125" style="711" customWidth="1"/>
    <col min="15877" max="15877" width="8.28515625" style="711" customWidth="1"/>
    <col min="15878" max="15878" width="9.42578125" style="711" customWidth="1"/>
    <col min="15879" max="15879" width="8.28515625" style="711" customWidth="1"/>
    <col min="15880" max="15882" width="6.42578125" style="711" customWidth="1"/>
    <col min="15883" max="15883" width="7.140625" style="711" customWidth="1"/>
    <col min="15884" max="15884" width="4.5703125" style="711" customWidth="1"/>
    <col min="15885" max="15885" width="6.7109375" style="711" customWidth="1"/>
    <col min="15886" max="15886" width="6.85546875" style="711" customWidth="1"/>
    <col min="15887" max="15887" width="6.28515625" style="711" customWidth="1"/>
    <col min="15888" max="15888" width="4" style="711" customWidth="1"/>
    <col min="15889" max="15889" width="7.28515625" style="711" customWidth="1"/>
    <col min="15890" max="15890" width="7.5703125" style="711" customWidth="1"/>
    <col min="15891" max="15891" width="6" style="711" customWidth="1"/>
    <col min="15892" max="15892" width="4.7109375" style="711" customWidth="1"/>
    <col min="15893" max="15893" width="5.42578125" style="711" customWidth="1"/>
    <col min="15894" max="15894" width="5.7109375" style="711" customWidth="1"/>
    <col min="15895" max="15895" width="5.85546875" style="711" customWidth="1"/>
    <col min="15896" max="15896" width="5.7109375" style="711" customWidth="1"/>
    <col min="15897" max="15907" width="0" style="711" hidden="1" customWidth="1"/>
    <col min="15908" max="15908" width="5.85546875" style="711" customWidth="1"/>
    <col min="15909" max="15909" width="5.7109375" style="711" customWidth="1"/>
    <col min="15910" max="15910" width="5" style="711" customWidth="1"/>
    <col min="15911" max="15911" width="4.140625" style="711" customWidth="1"/>
    <col min="15912" max="15912" width="5.85546875" style="711" customWidth="1"/>
    <col min="15913" max="15913" width="5.7109375" style="711" customWidth="1"/>
    <col min="15914" max="15914" width="4.7109375" style="711" customWidth="1"/>
    <col min="15915" max="15915" width="4.42578125" style="711" customWidth="1"/>
    <col min="15916" max="15919" width="0" style="711" hidden="1" customWidth="1"/>
    <col min="15920" max="15920" width="5.85546875" style="711" customWidth="1"/>
    <col min="15921" max="15921" width="5.42578125" style="711" customWidth="1"/>
    <col min="15922" max="15922" width="5.28515625" style="711" customWidth="1"/>
    <col min="15923" max="15923" width="4.85546875" style="711" customWidth="1"/>
    <col min="15924" max="15935" width="0" style="711" hidden="1" customWidth="1"/>
    <col min="15936" max="15936" width="5.85546875" style="711" customWidth="1"/>
    <col min="15937" max="15937" width="5.42578125" style="711" customWidth="1"/>
    <col min="15938" max="15938" width="5.140625" style="711" customWidth="1"/>
    <col min="15939" max="15939" width="4.140625" style="711" customWidth="1"/>
    <col min="15940" max="15940" width="6.140625" style="711" customWidth="1"/>
    <col min="15941" max="15942" width="5.5703125" style="711" customWidth="1"/>
    <col min="15943" max="15943" width="4.42578125" style="711" customWidth="1"/>
    <col min="15944" max="15955" width="0" style="711" hidden="1" customWidth="1"/>
    <col min="15956" max="15956" width="7.5703125" style="711" customWidth="1"/>
    <col min="15957" max="15957" width="6.42578125" style="711" customWidth="1"/>
    <col min="15958" max="15958" width="5.42578125" style="711" customWidth="1"/>
    <col min="15959" max="15959" width="5.140625" style="711" customWidth="1"/>
    <col min="15960" max="15960" width="5.7109375" style="711" customWidth="1"/>
    <col min="15961" max="15961" width="5.42578125" style="711" customWidth="1"/>
    <col min="15962" max="15962" width="4.5703125" style="711" customWidth="1"/>
    <col min="15963" max="15963" width="5.42578125" style="711" customWidth="1"/>
    <col min="15964" max="15966" width="5.85546875" style="711" customWidth="1"/>
    <col min="15967" max="15967" width="4.42578125" style="711" customWidth="1"/>
    <col min="15968" max="15982" width="0" style="711" hidden="1" customWidth="1"/>
    <col min="15983" max="15983" width="9.140625" style="711" customWidth="1"/>
    <col min="15984" max="16128" width="9.140625" style="711"/>
    <col min="16129" max="16129" width="3.140625" style="711" customWidth="1"/>
    <col min="16130" max="16130" width="12.28515625" style="711" customWidth="1"/>
    <col min="16131" max="16131" width="34.85546875" style="711" customWidth="1"/>
    <col min="16132" max="16132" width="8.42578125" style="711" customWidth="1"/>
    <col min="16133" max="16133" width="8.28515625" style="711" customWidth="1"/>
    <col min="16134" max="16134" width="9.42578125" style="711" customWidth="1"/>
    <col min="16135" max="16135" width="8.28515625" style="711" customWidth="1"/>
    <col min="16136" max="16138" width="6.42578125" style="711" customWidth="1"/>
    <col min="16139" max="16139" width="7.140625" style="711" customWidth="1"/>
    <col min="16140" max="16140" width="4.5703125" style="711" customWidth="1"/>
    <col min="16141" max="16141" width="6.7109375" style="711" customWidth="1"/>
    <col min="16142" max="16142" width="6.85546875" style="711" customWidth="1"/>
    <col min="16143" max="16143" width="6.28515625" style="711" customWidth="1"/>
    <col min="16144" max="16144" width="4" style="711" customWidth="1"/>
    <col min="16145" max="16145" width="7.28515625" style="711" customWidth="1"/>
    <col min="16146" max="16146" width="7.5703125" style="711" customWidth="1"/>
    <col min="16147" max="16147" width="6" style="711" customWidth="1"/>
    <col min="16148" max="16148" width="4.7109375" style="711" customWidth="1"/>
    <col min="16149" max="16149" width="5.42578125" style="711" customWidth="1"/>
    <col min="16150" max="16150" width="5.7109375" style="711" customWidth="1"/>
    <col min="16151" max="16151" width="5.85546875" style="711" customWidth="1"/>
    <col min="16152" max="16152" width="5.7109375" style="711" customWidth="1"/>
    <col min="16153" max="16163" width="0" style="711" hidden="1" customWidth="1"/>
    <col min="16164" max="16164" width="5.85546875" style="711" customWidth="1"/>
    <col min="16165" max="16165" width="5.7109375" style="711" customWidth="1"/>
    <col min="16166" max="16166" width="5" style="711" customWidth="1"/>
    <col min="16167" max="16167" width="4.140625" style="711" customWidth="1"/>
    <col min="16168" max="16168" width="5.85546875" style="711" customWidth="1"/>
    <col min="16169" max="16169" width="5.7109375" style="711" customWidth="1"/>
    <col min="16170" max="16170" width="4.7109375" style="711" customWidth="1"/>
    <col min="16171" max="16171" width="4.42578125" style="711" customWidth="1"/>
    <col min="16172" max="16175" width="0" style="711" hidden="1" customWidth="1"/>
    <col min="16176" max="16176" width="5.85546875" style="711" customWidth="1"/>
    <col min="16177" max="16177" width="5.42578125" style="711" customWidth="1"/>
    <col min="16178" max="16178" width="5.28515625" style="711" customWidth="1"/>
    <col min="16179" max="16179" width="4.85546875" style="711" customWidth="1"/>
    <col min="16180" max="16191" width="0" style="711" hidden="1" customWidth="1"/>
    <col min="16192" max="16192" width="5.85546875" style="711" customWidth="1"/>
    <col min="16193" max="16193" width="5.42578125" style="711" customWidth="1"/>
    <col min="16194" max="16194" width="5.140625" style="711" customWidth="1"/>
    <col min="16195" max="16195" width="4.140625" style="711" customWidth="1"/>
    <col min="16196" max="16196" width="6.140625" style="711" customWidth="1"/>
    <col min="16197" max="16198" width="5.5703125" style="711" customWidth="1"/>
    <col min="16199" max="16199" width="4.42578125" style="711" customWidth="1"/>
    <col min="16200" max="16211" width="0" style="711" hidden="1" customWidth="1"/>
    <col min="16212" max="16212" width="7.5703125" style="711" customWidth="1"/>
    <col min="16213" max="16213" width="6.42578125" style="711" customWidth="1"/>
    <col min="16214" max="16214" width="5.42578125" style="711" customWidth="1"/>
    <col min="16215" max="16215" width="5.140625" style="711" customWidth="1"/>
    <col min="16216" max="16216" width="5.7109375" style="711" customWidth="1"/>
    <col min="16217" max="16217" width="5.42578125" style="711" customWidth="1"/>
    <col min="16218" max="16218" width="4.5703125" style="711" customWidth="1"/>
    <col min="16219" max="16219" width="5.42578125" style="711" customWidth="1"/>
    <col min="16220" max="16222" width="5.85546875" style="711" customWidth="1"/>
    <col min="16223" max="16223" width="4.42578125" style="711" customWidth="1"/>
    <col min="16224" max="16238" width="0" style="711" hidden="1" customWidth="1"/>
    <col min="16239" max="16239" width="9.140625" style="711" customWidth="1"/>
    <col min="16240" max="16384" width="9.140625" style="711"/>
  </cols>
  <sheetData>
    <row r="1" spans="1:116" ht="15.75">
      <c r="A1" s="388"/>
      <c r="B1" s="704"/>
      <c r="C1" s="388" t="s">
        <v>684</v>
      </c>
      <c r="D1" s="705"/>
      <c r="E1" s="706" t="s">
        <v>956</v>
      </c>
      <c r="F1" s="707"/>
      <c r="G1" s="388"/>
      <c r="H1" s="388"/>
      <c r="I1" s="707"/>
      <c r="J1" s="707"/>
      <c r="K1" s="388"/>
      <c r="L1" s="388"/>
      <c r="M1" s="707"/>
      <c r="N1" s="707"/>
      <c r="O1" s="388"/>
      <c r="P1" s="388"/>
      <c r="Q1" s="707"/>
      <c r="R1" s="707"/>
      <c r="S1" s="388"/>
      <c r="T1" s="388"/>
      <c r="U1" s="707"/>
      <c r="V1" s="707"/>
      <c r="W1" s="388"/>
      <c r="X1" s="388"/>
      <c r="Y1" s="708"/>
      <c r="Z1" s="708"/>
      <c r="AA1" s="388"/>
      <c r="AB1" s="388"/>
      <c r="AC1" s="707"/>
      <c r="AD1" s="707"/>
      <c r="AE1" s="388"/>
      <c r="AF1" s="388"/>
      <c r="AG1" s="388"/>
      <c r="AH1" s="388"/>
      <c r="AI1" s="388"/>
      <c r="AJ1" s="707"/>
      <c r="AK1" s="707"/>
      <c r="AL1" s="388"/>
      <c r="AM1" s="388"/>
      <c r="AN1" s="707"/>
      <c r="AO1" s="707"/>
      <c r="AP1" s="388"/>
      <c r="AQ1" s="388"/>
      <c r="AR1" s="388"/>
      <c r="AS1" s="388"/>
      <c r="AT1" s="388"/>
      <c r="AU1" s="388"/>
      <c r="AV1" s="707"/>
      <c r="AW1" s="707"/>
      <c r="AX1" s="388"/>
      <c r="AY1" s="388"/>
      <c r="AZ1" s="388"/>
      <c r="BA1" s="388"/>
      <c r="BB1" s="388"/>
      <c r="BC1" s="388"/>
      <c r="BD1" s="707"/>
      <c r="BE1" s="707"/>
      <c r="BF1" s="388"/>
      <c r="BG1" s="388"/>
      <c r="BH1" s="707"/>
      <c r="BI1" s="707"/>
      <c r="BJ1" s="388"/>
      <c r="BK1" s="388"/>
      <c r="BL1" s="709"/>
      <c r="BM1" s="709"/>
      <c r="BN1" s="709"/>
      <c r="BO1" s="709"/>
      <c r="BP1" s="709"/>
      <c r="BQ1" s="709"/>
      <c r="BR1" s="709"/>
      <c r="BS1" s="709"/>
      <c r="BT1" s="709"/>
      <c r="BU1" s="1046" t="s">
        <v>500</v>
      </c>
      <c r="BV1" s="1046"/>
      <c r="BW1" s="1046"/>
      <c r="BX1" s="1046"/>
      <c r="BY1" s="1046"/>
      <c r="BZ1" s="1046"/>
      <c r="CA1" s="1046"/>
      <c r="CB1" s="1046"/>
      <c r="CC1" s="1046"/>
      <c r="CD1" s="1046"/>
      <c r="CE1" s="1046"/>
      <c r="CF1" s="1046"/>
      <c r="CG1" s="1046"/>
      <c r="CH1" s="1046"/>
      <c r="CI1" s="1046"/>
      <c r="CJ1" s="1046"/>
      <c r="CK1" s="1046"/>
      <c r="CL1" s="1046"/>
      <c r="CM1" s="1046"/>
      <c r="CN1" s="1046"/>
      <c r="CO1" s="1046"/>
      <c r="CP1" s="1046"/>
      <c r="CQ1" s="1046"/>
      <c r="CR1" s="387"/>
      <c r="CS1" s="387"/>
      <c r="CT1" s="387"/>
      <c r="CU1" s="387"/>
      <c r="CV1" s="710"/>
      <c r="CW1" s="710"/>
      <c r="CX1" s="387"/>
      <c r="CY1" s="387"/>
      <c r="CZ1" s="710"/>
      <c r="DA1" s="710"/>
      <c r="DB1" s="387"/>
      <c r="DC1" s="387"/>
    </row>
    <row r="2" spans="1:116" ht="10.5" customHeight="1">
      <c r="A2" s="1047" t="s">
        <v>303</v>
      </c>
      <c r="B2" s="712"/>
      <c r="C2" s="1050" t="s">
        <v>304</v>
      </c>
      <c r="D2" s="1053" t="s">
        <v>305</v>
      </c>
      <c r="E2" s="1054"/>
      <c r="F2" s="1055"/>
      <c r="G2" s="1059" t="s">
        <v>501</v>
      </c>
      <c r="H2" s="1059" t="s">
        <v>502</v>
      </c>
      <c r="I2" s="713"/>
      <c r="J2" s="713"/>
      <c r="K2" s="714"/>
      <c r="L2" s="714"/>
      <c r="M2" s="713"/>
      <c r="N2" s="713"/>
      <c r="O2" s="714"/>
      <c r="P2" s="714"/>
      <c r="Q2" s="713"/>
      <c r="R2" s="713"/>
      <c r="S2" s="714"/>
      <c r="T2" s="714"/>
      <c r="U2" s="713"/>
      <c r="V2" s="713"/>
      <c r="W2" s="714"/>
      <c r="X2" s="714"/>
      <c r="Y2" s="713"/>
      <c r="Z2" s="713"/>
      <c r="AA2" s="714"/>
      <c r="AB2" s="714"/>
      <c r="AC2" s="713"/>
      <c r="AD2" s="713"/>
      <c r="AE2" s="714"/>
      <c r="AF2" s="714"/>
      <c r="AG2" s="714" t="s">
        <v>503</v>
      </c>
      <c r="AH2" s="714" t="s">
        <v>503</v>
      </c>
      <c r="AI2" s="714"/>
      <c r="AJ2" s="713"/>
      <c r="AK2" s="713"/>
      <c r="AL2" s="714"/>
      <c r="AM2" s="714"/>
      <c r="AN2" s="713"/>
      <c r="AO2" s="713"/>
      <c r="AP2" s="714"/>
      <c r="AQ2" s="714"/>
      <c r="AR2" s="714"/>
      <c r="AS2" s="714"/>
      <c r="AT2" s="714"/>
      <c r="AU2" s="714"/>
      <c r="AV2" s="713"/>
      <c r="AW2" s="713"/>
      <c r="AX2" s="714"/>
      <c r="AY2" s="714"/>
      <c r="AZ2" s="714"/>
      <c r="BA2" s="714"/>
      <c r="BB2" s="714"/>
      <c r="BC2" s="714"/>
      <c r="BD2" s="713"/>
      <c r="BE2" s="713"/>
      <c r="BF2" s="715"/>
      <c r="BG2" s="715"/>
      <c r="BH2" s="713"/>
      <c r="BI2" s="713"/>
      <c r="BJ2" s="715"/>
      <c r="BK2" s="715"/>
      <c r="BL2" s="715"/>
      <c r="BM2" s="715"/>
      <c r="BN2" s="715"/>
      <c r="BO2" s="715"/>
      <c r="BP2" s="715"/>
      <c r="BQ2" s="715"/>
      <c r="BR2" s="715"/>
      <c r="BS2" s="715"/>
      <c r="BT2" s="715"/>
      <c r="BU2" s="715"/>
      <c r="BV2" s="715"/>
      <c r="BW2" s="715"/>
      <c r="BX2" s="713"/>
      <c r="BY2" s="713"/>
      <c r="BZ2" s="714"/>
      <c r="CA2" s="715"/>
      <c r="CB2" s="715"/>
      <c r="CC2" s="715"/>
      <c r="CD2" s="715"/>
      <c r="CE2" s="715"/>
      <c r="CF2" s="713"/>
      <c r="CG2" s="713"/>
      <c r="CH2" s="715"/>
      <c r="CI2" s="715"/>
      <c r="CJ2" s="713"/>
      <c r="CK2" s="713"/>
      <c r="CL2" s="715"/>
      <c r="CM2" s="715"/>
      <c r="CN2" s="715"/>
      <c r="CO2" s="715"/>
      <c r="CP2" s="715"/>
      <c r="CQ2" s="715"/>
      <c r="CR2" s="374"/>
      <c r="CS2" s="374"/>
      <c r="CT2" s="374"/>
      <c r="CU2" s="374"/>
      <c r="CV2" s="373"/>
      <c r="CW2" s="373"/>
      <c r="CX2" s="374"/>
      <c r="CY2" s="374"/>
      <c r="CZ2" s="373"/>
      <c r="DA2" s="373"/>
      <c r="DB2" s="374"/>
      <c r="DC2" s="374"/>
      <c r="DG2" s="716"/>
      <c r="DH2" s="716"/>
      <c r="DI2" s="716"/>
      <c r="DJ2" s="717"/>
      <c r="DK2" s="718"/>
      <c r="DL2" s="718"/>
    </row>
    <row r="3" spans="1:116" ht="48.75" customHeight="1">
      <c r="A3" s="1048"/>
      <c r="B3" s="719"/>
      <c r="C3" s="1051"/>
      <c r="D3" s="1056"/>
      <c r="E3" s="1057"/>
      <c r="F3" s="1058"/>
      <c r="G3" s="1060"/>
      <c r="H3" s="1060"/>
      <c r="I3" s="1044" t="s">
        <v>504</v>
      </c>
      <c r="J3" s="1045"/>
      <c r="K3" s="1047" t="s">
        <v>505</v>
      </c>
      <c r="L3" s="1047" t="s">
        <v>502</v>
      </c>
      <c r="M3" s="1044" t="s">
        <v>506</v>
      </c>
      <c r="N3" s="1045"/>
      <c r="O3" s="1047" t="s">
        <v>505</v>
      </c>
      <c r="P3" s="1047" t="s">
        <v>502</v>
      </c>
      <c r="Q3" s="1044" t="s">
        <v>507</v>
      </c>
      <c r="R3" s="1045"/>
      <c r="S3" s="1047" t="s">
        <v>505</v>
      </c>
      <c r="T3" s="1047" t="s">
        <v>502</v>
      </c>
      <c r="U3" s="1044" t="s">
        <v>508</v>
      </c>
      <c r="V3" s="1045"/>
      <c r="W3" s="1047" t="s">
        <v>509</v>
      </c>
      <c r="X3" s="1047" t="s">
        <v>502</v>
      </c>
      <c r="Y3" s="1044" t="s">
        <v>510</v>
      </c>
      <c r="Z3" s="1045"/>
      <c r="AA3" s="1047" t="s">
        <v>505</v>
      </c>
      <c r="AB3" s="1047" t="s">
        <v>502</v>
      </c>
      <c r="AC3" s="1044" t="s">
        <v>511</v>
      </c>
      <c r="AD3" s="1045"/>
      <c r="AE3" s="1047" t="s">
        <v>512</v>
      </c>
      <c r="AF3" s="1047" t="s">
        <v>513</v>
      </c>
      <c r="AG3" s="1044" t="s">
        <v>514</v>
      </c>
      <c r="AH3" s="1045"/>
      <c r="AI3" s="1047" t="s">
        <v>515</v>
      </c>
      <c r="AJ3" s="1044" t="s">
        <v>516</v>
      </c>
      <c r="AK3" s="1045"/>
      <c r="AL3" s="1047" t="s">
        <v>512</v>
      </c>
      <c r="AM3" s="1047" t="s">
        <v>502</v>
      </c>
      <c r="AN3" s="1044" t="s">
        <v>517</v>
      </c>
      <c r="AO3" s="1045"/>
      <c r="AP3" s="1047" t="s">
        <v>505</v>
      </c>
      <c r="AQ3" s="1047" t="s">
        <v>502</v>
      </c>
      <c r="AR3" s="1044" t="s">
        <v>518</v>
      </c>
      <c r="AS3" s="1045"/>
      <c r="AT3" s="1047" t="s">
        <v>505</v>
      </c>
      <c r="AU3" s="1047" t="s">
        <v>502</v>
      </c>
      <c r="AV3" s="1044" t="s">
        <v>519</v>
      </c>
      <c r="AW3" s="1045"/>
      <c r="AX3" s="1047" t="s">
        <v>520</v>
      </c>
      <c r="AY3" s="1047" t="s">
        <v>513</v>
      </c>
      <c r="AZ3" s="1044" t="s">
        <v>521</v>
      </c>
      <c r="BA3" s="1045"/>
      <c r="BB3" s="1047" t="s">
        <v>520</v>
      </c>
      <c r="BC3" s="1047" t="s">
        <v>513</v>
      </c>
      <c r="BD3" s="1044" t="s">
        <v>522</v>
      </c>
      <c r="BE3" s="1045"/>
      <c r="BF3" s="1047" t="s">
        <v>520</v>
      </c>
      <c r="BG3" s="1047" t="s">
        <v>513</v>
      </c>
      <c r="BH3" s="1044" t="s">
        <v>523</v>
      </c>
      <c r="BI3" s="1045"/>
      <c r="BJ3" s="1047" t="s">
        <v>520</v>
      </c>
      <c r="BK3" s="1047" t="s">
        <v>513</v>
      </c>
      <c r="BL3" s="1044" t="s">
        <v>685</v>
      </c>
      <c r="BM3" s="1045"/>
      <c r="BN3" s="1047" t="s">
        <v>520</v>
      </c>
      <c r="BO3" s="1047" t="s">
        <v>513</v>
      </c>
      <c r="BP3" s="1044" t="s">
        <v>686</v>
      </c>
      <c r="BQ3" s="1045"/>
      <c r="BR3" s="1047" t="s">
        <v>520</v>
      </c>
      <c r="BS3" s="1047" t="s">
        <v>513</v>
      </c>
      <c r="BT3" s="1044" t="s">
        <v>524</v>
      </c>
      <c r="BU3" s="1045"/>
      <c r="BV3" s="1047" t="s">
        <v>520</v>
      </c>
      <c r="BW3" s="1047" t="s">
        <v>513</v>
      </c>
      <c r="BX3" s="1044" t="s">
        <v>525</v>
      </c>
      <c r="BY3" s="1045"/>
      <c r="BZ3" s="1047" t="s">
        <v>520</v>
      </c>
      <c r="CA3" s="1047" t="s">
        <v>513</v>
      </c>
      <c r="CB3" s="1044" t="s">
        <v>526</v>
      </c>
      <c r="CC3" s="1045"/>
      <c r="CD3" s="1047" t="s">
        <v>520</v>
      </c>
      <c r="CE3" s="1047" t="s">
        <v>513</v>
      </c>
      <c r="CF3" s="1044" t="s">
        <v>527</v>
      </c>
      <c r="CG3" s="1045"/>
      <c r="CH3" s="1047" t="s">
        <v>520</v>
      </c>
      <c r="CI3" s="1047" t="s">
        <v>513</v>
      </c>
      <c r="CJ3" s="1044" t="s">
        <v>528</v>
      </c>
      <c r="CK3" s="1045"/>
      <c r="CL3" s="1047" t="s">
        <v>520</v>
      </c>
      <c r="CM3" s="1047" t="s">
        <v>513</v>
      </c>
      <c r="CN3" s="1044" t="s">
        <v>529</v>
      </c>
      <c r="CO3" s="1045"/>
      <c r="CP3" s="1047" t="s">
        <v>520</v>
      </c>
      <c r="CQ3" s="1047" t="s">
        <v>513</v>
      </c>
      <c r="CR3" s="1064" t="s">
        <v>612</v>
      </c>
      <c r="CS3" s="1065"/>
      <c r="CT3" s="1062" t="s">
        <v>520</v>
      </c>
      <c r="CU3" s="1062" t="s">
        <v>513</v>
      </c>
      <c r="CV3" s="1064" t="s">
        <v>613</v>
      </c>
      <c r="CW3" s="1065"/>
      <c r="CX3" s="1062" t="s">
        <v>520</v>
      </c>
      <c r="CY3" s="1062" t="s">
        <v>513</v>
      </c>
      <c r="CZ3" s="1064" t="s">
        <v>614</v>
      </c>
      <c r="DA3" s="1065"/>
      <c r="DB3" s="1062" t="s">
        <v>520</v>
      </c>
      <c r="DC3" s="1062" t="s">
        <v>513</v>
      </c>
      <c r="DG3" s="1068" t="s">
        <v>521</v>
      </c>
      <c r="DH3" s="1069"/>
      <c r="DI3" s="1047" t="s">
        <v>520</v>
      </c>
      <c r="DJ3" s="1066" t="s">
        <v>513</v>
      </c>
      <c r="DK3" s="718"/>
      <c r="DL3" s="718"/>
    </row>
    <row r="4" spans="1:116" ht="27" customHeight="1">
      <c r="A4" s="1049"/>
      <c r="B4" s="720" t="s">
        <v>816</v>
      </c>
      <c r="C4" s="1052"/>
      <c r="D4" s="721" t="s">
        <v>687</v>
      </c>
      <c r="E4" s="721" t="s">
        <v>844</v>
      </c>
      <c r="F4" s="722" t="s">
        <v>957</v>
      </c>
      <c r="G4" s="1061"/>
      <c r="H4" s="1061"/>
      <c r="I4" s="721" t="s">
        <v>844</v>
      </c>
      <c r="J4" s="722" t="s">
        <v>957</v>
      </c>
      <c r="K4" s="1049"/>
      <c r="L4" s="1049"/>
      <c r="M4" s="721" t="s">
        <v>844</v>
      </c>
      <c r="N4" s="722" t="s">
        <v>957</v>
      </c>
      <c r="O4" s="1049"/>
      <c r="P4" s="1049"/>
      <c r="Q4" s="721" t="s">
        <v>844</v>
      </c>
      <c r="R4" s="722" t="s">
        <v>957</v>
      </c>
      <c r="S4" s="1049"/>
      <c r="T4" s="1049"/>
      <c r="U4" s="721" t="s">
        <v>844</v>
      </c>
      <c r="V4" s="722" t="s">
        <v>957</v>
      </c>
      <c r="W4" s="1049"/>
      <c r="X4" s="1049"/>
      <c r="Y4" s="721" t="s">
        <v>531</v>
      </c>
      <c r="Z4" s="721" t="s">
        <v>532</v>
      </c>
      <c r="AA4" s="1049"/>
      <c r="AB4" s="1049"/>
      <c r="AC4" s="721" t="s">
        <v>533</v>
      </c>
      <c r="AD4" s="721" t="s">
        <v>532</v>
      </c>
      <c r="AE4" s="1049"/>
      <c r="AF4" s="1049"/>
      <c r="AG4" s="721" t="s">
        <v>531</v>
      </c>
      <c r="AH4" s="721" t="s">
        <v>532</v>
      </c>
      <c r="AI4" s="1049"/>
      <c r="AJ4" s="721" t="s">
        <v>844</v>
      </c>
      <c r="AK4" s="722" t="s">
        <v>957</v>
      </c>
      <c r="AL4" s="1049"/>
      <c r="AM4" s="1049"/>
      <c r="AN4" s="721" t="s">
        <v>844</v>
      </c>
      <c r="AO4" s="722" t="s">
        <v>957</v>
      </c>
      <c r="AP4" s="1049"/>
      <c r="AQ4" s="1049"/>
      <c r="AR4" s="721" t="s">
        <v>499</v>
      </c>
      <c r="AS4" s="722" t="s">
        <v>688</v>
      </c>
      <c r="AT4" s="1049"/>
      <c r="AU4" s="1049"/>
      <c r="AV4" s="721" t="s">
        <v>844</v>
      </c>
      <c r="AW4" s="722" t="s">
        <v>957</v>
      </c>
      <c r="AX4" s="1049"/>
      <c r="AY4" s="1049"/>
      <c r="AZ4" s="721" t="s">
        <v>689</v>
      </c>
      <c r="BA4" s="721" t="s">
        <v>690</v>
      </c>
      <c r="BB4" s="1049"/>
      <c r="BC4" s="1049"/>
      <c r="BD4" s="721" t="s">
        <v>531</v>
      </c>
      <c r="BE4" s="721" t="s">
        <v>532</v>
      </c>
      <c r="BF4" s="1049"/>
      <c r="BG4" s="1049"/>
      <c r="BH4" s="721" t="s">
        <v>531</v>
      </c>
      <c r="BI4" s="721" t="s">
        <v>532</v>
      </c>
      <c r="BJ4" s="1049"/>
      <c r="BK4" s="1049"/>
      <c r="BL4" s="721" t="s">
        <v>844</v>
      </c>
      <c r="BM4" s="722" t="s">
        <v>957</v>
      </c>
      <c r="BN4" s="1049"/>
      <c r="BO4" s="1049"/>
      <c r="BP4" s="721" t="s">
        <v>844</v>
      </c>
      <c r="BQ4" s="722" t="s">
        <v>957</v>
      </c>
      <c r="BR4" s="1049"/>
      <c r="BS4" s="1049"/>
      <c r="BT4" s="721" t="s">
        <v>687</v>
      </c>
      <c r="BU4" s="722" t="s">
        <v>691</v>
      </c>
      <c r="BV4" s="1049"/>
      <c r="BW4" s="1049"/>
      <c r="BX4" s="721" t="s">
        <v>531</v>
      </c>
      <c r="BY4" s="721" t="s">
        <v>532</v>
      </c>
      <c r="BZ4" s="1049"/>
      <c r="CA4" s="1049"/>
      <c r="CB4" s="721" t="s">
        <v>531</v>
      </c>
      <c r="CC4" s="721" t="s">
        <v>534</v>
      </c>
      <c r="CD4" s="1049"/>
      <c r="CE4" s="1049"/>
      <c r="CF4" s="721" t="s">
        <v>844</v>
      </c>
      <c r="CG4" s="722" t="s">
        <v>957</v>
      </c>
      <c r="CH4" s="1049"/>
      <c r="CI4" s="1049"/>
      <c r="CJ4" s="721" t="s">
        <v>844</v>
      </c>
      <c r="CK4" s="722" t="s">
        <v>957</v>
      </c>
      <c r="CL4" s="1049"/>
      <c r="CM4" s="1049"/>
      <c r="CN4" s="721" t="s">
        <v>844</v>
      </c>
      <c r="CO4" s="722" t="s">
        <v>957</v>
      </c>
      <c r="CP4" s="1049"/>
      <c r="CQ4" s="1049"/>
      <c r="CR4" s="649" t="s">
        <v>531</v>
      </c>
      <c r="CS4" s="649" t="s">
        <v>532</v>
      </c>
      <c r="CT4" s="1063"/>
      <c r="CU4" s="1063"/>
      <c r="CV4" s="649" t="s">
        <v>531</v>
      </c>
      <c r="CW4" s="649" t="s">
        <v>615</v>
      </c>
      <c r="CX4" s="1063"/>
      <c r="CY4" s="1063"/>
      <c r="CZ4" s="649" t="s">
        <v>531</v>
      </c>
      <c r="DA4" s="649" t="s">
        <v>532</v>
      </c>
      <c r="DB4" s="1063"/>
      <c r="DC4" s="1063"/>
      <c r="DG4" s="721" t="s">
        <v>844</v>
      </c>
      <c r="DH4" s="722" t="s">
        <v>957</v>
      </c>
      <c r="DI4" s="1049"/>
      <c r="DJ4" s="1067"/>
      <c r="DK4" s="718"/>
      <c r="DL4" s="718"/>
    </row>
    <row r="5" spans="1:116" s="734" customFormat="1" ht="15" customHeight="1">
      <c r="A5" s="723" t="s">
        <v>306</v>
      </c>
      <c r="B5" s="724"/>
      <c r="C5" s="725" t="s">
        <v>307</v>
      </c>
      <c r="D5" s="726">
        <f>SUM(D6:D17)</f>
        <v>0</v>
      </c>
      <c r="E5" s="727">
        <f>SUM(E6:E17)</f>
        <v>0</v>
      </c>
      <c r="F5" s="727">
        <f>SUM(F6:F17)</f>
        <v>0.74251</v>
      </c>
      <c r="G5" s="728">
        <f>F5-E5</f>
        <v>0.74251</v>
      </c>
      <c r="H5" s="729">
        <v>0</v>
      </c>
      <c r="I5" s="727">
        <f t="shared" ref="I5:AD5" si="0">SUM(I6:I17)</f>
        <v>0</v>
      </c>
      <c r="J5" s="727">
        <f t="shared" si="0"/>
        <v>0</v>
      </c>
      <c r="K5" s="728">
        <f t="shared" si="0"/>
        <v>0</v>
      </c>
      <c r="L5" s="728">
        <v>0</v>
      </c>
      <c r="M5" s="727">
        <f t="shared" si="0"/>
        <v>0</v>
      </c>
      <c r="N5" s="727">
        <f t="shared" si="0"/>
        <v>8.9999999999999993E-3</v>
      </c>
      <c r="O5" s="728">
        <f t="shared" si="0"/>
        <v>8.9999999999999993E-3</v>
      </c>
      <c r="P5" s="728">
        <f t="shared" si="0"/>
        <v>0</v>
      </c>
      <c r="Q5" s="727">
        <f t="shared" si="0"/>
        <v>0</v>
      </c>
      <c r="R5" s="727">
        <f t="shared" si="0"/>
        <v>0</v>
      </c>
      <c r="S5" s="728">
        <f t="shared" si="0"/>
        <v>0</v>
      </c>
      <c r="T5" s="728">
        <f t="shared" si="0"/>
        <v>0</v>
      </c>
      <c r="U5" s="727">
        <f t="shared" si="0"/>
        <v>0</v>
      </c>
      <c r="V5" s="727">
        <f t="shared" si="0"/>
        <v>0.73351</v>
      </c>
      <c r="W5" s="728">
        <f t="shared" si="0"/>
        <v>0</v>
      </c>
      <c r="X5" s="728">
        <f t="shared" si="0"/>
        <v>0</v>
      </c>
      <c r="Y5" s="727">
        <f t="shared" si="0"/>
        <v>0</v>
      </c>
      <c r="Z5" s="727">
        <f t="shared" si="0"/>
        <v>0</v>
      </c>
      <c r="AA5" s="728">
        <f t="shared" si="0"/>
        <v>0</v>
      </c>
      <c r="AB5" s="728">
        <f t="shared" si="0"/>
        <v>0</v>
      </c>
      <c r="AC5" s="727">
        <f t="shared" si="0"/>
        <v>0</v>
      </c>
      <c r="AD5" s="727">
        <f t="shared" si="0"/>
        <v>0</v>
      </c>
      <c r="AE5" s="728">
        <f>AD5-AC5</f>
        <v>0</v>
      </c>
      <c r="AF5" s="728"/>
      <c r="AG5" s="727">
        <f t="shared" ref="AG5:AS5" si="1">SUM(AG6:AG17)</f>
        <v>0</v>
      </c>
      <c r="AH5" s="727">
        <f t="shared" si="1"/>
        <v>0</v>
      </c>
      <c r="AI5" s="728">
        <f t="shared" si="1"/>
        <v>0</v>
      </c>
      <c r="AJ5" s="727">
        <f t="shared" si="1"/>
        <v>0</v>
      </c>
      <c r="AK5" s="727">
        <f t="shared" si="1"/>
        <v>0</v>
      </c>
      <c r="AL5" s="728">
        <f t="shared" si="1"/>
        <v>0</v>
      </c>
      <c r="AM5" s="728">
        <f t="shared" si="1"/>
        <v>0</v>
      </c>
      <c r="AN5" s="727">
        <f t="shared" si="1"/>
        <v>0</v>
      </c>
      <c r="AO5" s="727">
        <f t="shared" si="1"/>
        <v>0</v>
      </c>
      <c r="AP5" s="728">
        <f t="shared" si="1"/>
        <v>0</v>
      </c>
      <c r="AQ5" s="728">
        <f t="shared" si="1"/>
        <v>0</v>
      </c>
      <c r="AR5" s="728">
        <f t="shared" si="1"/>
        <v>0</v>
      </c>
      <c r="AS5" s="728">
        <f t="shared" si="1"/>
        <v>0</v>
      </c>
      <c r="AT5" s="728">
        <f>AS5-AR5</f>
        <v>0</v>
      </c>
      <c r="AU5" s="728"/>
      <c r="AV5" s="727">
        <f t="shared" ref="AV5:CO5" si="2">SUM(AV6:AV17)</f>
        <v>0</v>
      </c>
      <c r="AW5" s="727">
        <f t="shared" si="2"/>
        <v>0</v>
      </c>
      <c r="AX5" s="728">
        <f t="shared" si="2"/>
        <v>0</v>
      </c>
      <c r="AY5" s="728">
        <f t="shared" si="2"/>
        <v>0</v>
      </c>
      <c r="AZ5" s="727">
        <f t="shared" si="2"/>
        <v>0</v>
      </c>
      <c r="BA5" s="727">
        <f t="shared" si="2"/>
        <v>0</v>
      </c>
      <c r="BB5" s="728">
        <f t="shared" si="2"/>
        <v>0</v>
      </c>
      <c r="BC5" s="728">
        <f t="shared" si="2"/>
        <v>0</v>
      </c>
      <c r="BD5" s="727">
        <f t="shared" si="2"/>
        <v>0</v>
      </c>
      <c r="BE5" s="727">
        <f t="shared" si="2"/>
        <v>0</v>
      </c>
      <c r="BF5" s="728">
        <f t="shared" si="2"/>
        <v>0</v>
      </c>
      <c r="BG5" s="728">
        <f t="shared" si="2"/>
        <v>0</v>
      </c>
      <c r="BH5" s="727">
        <f t="shared" si="2"/>
        <v>0</v>
      </c>
      <c r="BI5" s="727">
        <f t="shared" si="2"/>
        <v>0</v>
      </c>
      <c r="BJ5" s="728">
        <f t="shared" si="2"/>
        <v>0</v>
      </c>
      <c r="BK5" s="728">
        <f t="shared" si="2"/>
        <v>0</v>
      </c>
      <c r="BL5" s="727">
        <f t="shared" si="2"/>
        <v>0</v>
      </c>
      <c r="BM5" s="727">
        <f t="shared" si="2"/>
        <v>0</v>
      </c>
      <c r="BN5" s="728">
        <f t="shared" si="2"/>
        <v>0</v>
      </c>
      <c r="BO5" s="728"/>
      <c r="BP5" s="727">
        <f>SUM(BP6:BP17)</f>
        <v>0</v>
      </c>
      <c r="BQ5" s="727">
        <f>SUM(BQ6:BQ17)</f>
        <v>0</v>
      </c>
      <c r="BR5" s="728">
        <f>SUM(BR6:BR17)</f>
        <v>0</v>
      </c>
      <c r="BS5" s="728">
        <f>SUM(BS6:BS17)</f>
        <v>0</v>
      </c>
      <c r="BT5" s="727">
        <f t="shared" si="2"/>
        <v>0</v>
      </c>
      <c r="BU5" s="727">
        <f t="shared" si="2"/>
        <v>0</v>
      </c>
      <c r="BV5" s="728">
        <f t="shared" si="2"/>
        <v>0</v>
      </c>
      <c r="BW5" s="728">
        <f t="shared" si="2"/>
        <v>0</v>
      </c>
      <c r="BX5" s="727">
        <f t="shared" si="2"/>
        <v>0</v>
      </c>
      <c r="BY5" s="727">
        <f t="shared" si="2"/>
        <v>0</v>
      </c>
      <c r="BZ5" s="728">
        <f t="shared" si="2"/>
        <v>0</v>
      </c>
      <c r="CA5" s="728">
        <f t="shared" si="2"/>
        <v>0</v>
      </c>
      <c r="CB5" s="727">
        <f>SUM(CB6:CB17)</f>
        <v>0</v>
      </c>
      <c r="CC5" s="727">
        <f>SUM(CC6:CC17)</f>
        <v>0</v>
      </c>
      <c r="CD5" s="728">
        <f>SUM(CD6:CD17)</f>
        <v>0</v>
      </c>
      <c r="CE5" s="728">
        <f>SUM(CE6:CE17)</f>
        <v>0</v>
      </c>
      <c r="CF5" s="727">
        <f t="shared" si="2"/>
        <v>0</v>
      </c>
      <c r="CG5" s="727">
        <f t="shared" si="2"/>
        <v>0</v>
      </c>
      <c r="CH5" s="728">
        <f t="shared" si="2"/>
        <v>0</v>
      </c>
      <c r="CI5" s="728">
        <f t="shared" si="2"/>
        <v>0</v>
      </c>
      <c r="CJ5" s="727">
        <f t="shared" si="2"/>
        <v>0</v>
      </c>
      <c r="CK5" s="727">
        <f t="shared" si="2"/>
        <v>0</v>
      </c>
      <c r="CL5" s="728">
        <f t="shared" si="2"/>
        <v>0</v>
      </c>
      <c r="CM5" s="386"/>
      <c r="CN5" s="386">
        <f t="shared" si="2"/>
        <v>0</v>
      </c>
      <c r="CO5" s="386">
        <f t="shared" si="2"/>
        <v>0</v>
      </c>
      <c r="CP5" s="386">
        <f>CO5-CN5</f>
        <v>0</v>
      </c>
      <c r="CQ5" s="386"/>
      <c r="CR5" s="730">
        <f>SUM(CR6:CR17)</f>
        <v>0</v>
      </c>
      <c r="CS5" s="730">
        <f>SUM(CS6:CS17)</f>
        <v>0</v>
      </c>
      <c r="CT5" s="731">
        <f>CS5-CR5</f>
        <v>0</v>
      </c>
      <c r="CU5" s="732"/>
      <c r="CV5" s="733">
        <f t="shared" ref="CV5:DC5" si="3">SUM(CV6:CV17)</f>
        <v>0</v>
      </c>
      <c r="CW5" s="733">
        <f t="shared" si="3"/>
        <v>0</v>
      </c>
      <c r="CX5" s="730">
        <f t="shared" si="3"/>
        <v>0</v>
      </c>
      <c r="CY5" s="730">
        <f t="shared" si="3"/>
        <v>0</v>
      </c>
      <c r="CZ5" s="733">
        <f t="shared" si="3"/>
        <v>0</v>
      </c>
      <c r="DA5" s="733">
        <f t="shared" si="3"/>
        <v>0</v>
      </c>
      <c r="DB5" s="730">
        <f t="shared" si="3"/>
        <v>0</v>
      </c>
      <c r="DC5" s="730">
        <f t="shared" si="3"/>
        <v>0</v>
      </c>
      <c r="DG5" s="735"/>
      <c r="DH5" s="386">
        <f t="shared" ref="DH5:DI5" si="4">SUM(DH6:DH17)</f>
        <v>0</v>
      </c>
      <c r="DI5" s="728">
        <f t="shared" si="4"/>
        <v>0</v>
      </c>
      <c r="DJ5" s="736"/>
      <c r="DK5" s="737"/>
      <c r="DL5" s="737"/>
    </row>
    <row r="6" spans="1:116" ht="12" hidden="1" customHeight="1">
      <c r="A6" s="738"/>
      <c r="B6" s="739"/>
      <c r="C6" s="738" t="s">
        <v>308</v>
      </c>
      <c r="D6" s="740"/>
      <c r="E6" s="385">
        <f t="shared" ref="E6:E16" si="5">I6+M6+Q6+U6+Y6+AJ6+AN6+AR6+AV6+BD6+BH6+BX6+CF6+CJ6+CN6+CR6+CV6+CZ6+AZ6+BL6+BT6</f>
        <v>0</v>
      </c>
      <c r="F6" s="385">
        <f t="shared" ref="F6:F17" si="6">J6+N6+R6+V6+Z6+AK6+AO6+AS6+AW6+BE6+BI6+BY6+CG6+CK6+CO6+CS6+CW6+DA6+BM6+BU6</f>
        <v>0</v>
      </c>
      <c r="G6" s="741">
        <f t="shared" ref="G6:G33" si="7">F6-E6</f>
        <v>0</v>
      </c>
      <c r="H6" s="741"/>
      <c r="I6" s="385"/>
      <c r="J6" s="385"/>
      <c r="K6" s="742">
        <f>J6-I6</f>
        <v>0</v>
      </c>
      <c r="L6" s="742"/>
      <c r="M6" s="385"/>
      <c r="N6" s="385"/>
      <c r="O6" s="742">
        <f>N6-M6</f>
        <v>0</v>
      </c>
      <c r="P6" s="742"/>
      <c r="Q6" s="385"/>
      <c r="R6" s="385"/>
      <c r="S6" s="742">
        <f>R6-Q6</f>
        <v>0</v>
      </c>
      <c r="T6" s="742"/>
      <c r="U6" s="385"/>
      <c r="V6" s="385"/>
      <c r="W6" s="742">
        <f>V6-U6</f>
        <v>0</v>
      </c>
      <c r="X6" s="742"/>
      <c r="Y6" s="385">
        <f t="shared" ref="Y6:Z40" si="8">AC6</f>
        <v>0</v>
      </c>
      <c r="Z6" s="385">
        <f t="shared" si="8"/>
        <v>0</v>
      </c>
      <c r="AA6" s="742">
        <f>Z6-Y6</f>
        <v>0</v>
      </c>
      <c r="AB6" s="742"/>
      <c r="AC6" s="385"/>
      <c r="AD6" s="385"/>
      <c r="AE6" s="742">
        <f>AD6-AC6</f>
        <v>0</v>
      </c>
      <c r="AF6" s="742"/>
      <c r="AG6" s="385"/>
      <c r="AH6" s="385"/>
      <c r="AI6" s="742">
        <f>AH6-AG6</f>
        <v>0</v>
      </c>
      <c r="AJ6" s="385"/>
      <c r="AK6" s="385"/>
      <c r="AL6" s="742">
        <f>AK6-AJ6</f>
        <v>0</v>
      </c>
      <c r="AM6" s="742"/>
      <c r="AN6" s="385"/>
      <c r="AO6" s="385"/>
      <c r="AP6" s="742">
        <f>AO6-AN6</f>
        <v>0</v>
      </c>
      <c r="AQ6" s="742"/>
      <c r="AR6" s="742"/>
      <c r="AS6" s="742"/>
      <c r="AT6" s="742">
        <f>AS6-AR6</f>
        <v>0</v>
      </c>
      <c r="AU6" s="742"/>
      <c r="AV6" s="385"/>
      <c r="AW6" s="385"/>
      <c r="AX6" s="742">
        <f>AW6-AV6</f>
        <v>0</v>
      </c>
      <c r="AY6" s="742"/>
      <c r="AZ6" s="385"/>
      <c r="BA6" s="385"/>
      <c r="BB6" s="742">
        <f>BA6-AZ6</f>
        <v>0</v>
      </c>
      <c r="BC6" s="742"/>
      <c r="BD6" s="385"/>
      <c r="BE6" s="385"/>
      <c r="BF6" s="742">
        <f>BE6-BD6</f>
        <v>0</v>
      </c>
      <c r="BG6" s="742"/>
      <c r="BH6" s="385"/>
      <c r="BI6" s="385"/>
      <c r="BJ6" s="742">
        <f>BI6-BH6</f>
        <v>0</v>
      </c>
      <c r="BK6" s="742"/>
      <c r="BL6" s="385"/>
      <c r="BM6" s="385"/>
      <c r="BN6" s="742">
        <f>BM6-BL6</f>
        <v>0</v>
      </c>
      <c r="BO6" s="728"/>
      <c r="BP6" s="385"/>
      <c r="BQ6" s="385"/>
      <c r="BR6" s="742">
        <f>BQ6-BP6</f>
        <v>0</v>
      </c>
      <c r="BS6" s="742"/>
      <c r="BT6" s="385"/>
      <c r="BU6" s="385"/>
      <c r="BV6" s="742">
        <f>BU6-BT6</f>
        <v>0</v>
      </c>
      <c r="BW6" s="742"/>
      <c r="BX6" s="385"/>
      <c r="BY6" s="385"/>
      <c r="BZ6" s="742">
        <f>BY6-BX6</f>
        <v>0</v>
      </c>
      <c r="CA6" s="742"/>
      <c r="CB6" s="385"/>
      <c r="CC6" s="385"/>
      <c r="CD6" s="742">
        <f>CC6-CB6</f>
        <v>0</v>
      </c>
      <c r="CE6" s="742"/>
      <c r="CF6" s="385"/>
      <c r="CG6" s="385"/>
      <c r="CH6" s="742">
        <f>CG6-CF6</f>
        <v>0</v>
      </c>
      <c r="CI6" s="742"/>
      <c r="CJ6" s="385"/>
      <c r="CK6" s="385"/>
      <c r="CL6" s="742">
        <f>CK6-CJ6</f>
        <v>0</v>
      </c>
      <c r="CM6" s="386"/>
      <c r="CN6" s="743"/>
      <c r="CO6" s="743"/>
      <c r="CP6" s="743">
        <f>CO6-CN6</f>
        <v>0</v>
      </c>
      <c r="CQ6" s="743"/>
      <c r="CR6" s="374"/>
      <c r="CS6" s="374"/>
      <c r="CT6" s="744">
        <f>CS6-CR6</f>
        <v>0</v>
      </c>
      <c r="CU6" s="745"/>
      <c r="CV6" s="373"/>
      <c r="CW6" s="373"/>
      <c r="CX6" s="744">
        <f>CW6-CV6</f>
        <v>0</v>
      </c>
      <c r="CY6" s="745"/>
      <c r="CZ6" s="373"/>
      <c r="DA6" s="373"/>
      <c r="DB6" s="744">
        <f>DA6-CZ6</f>
        <v>0</v>
      </c>
      <c r="DC6" s="745"/>
      <c r="DG6" s="746"/>
      <c r="DH6" s="746"/>
      <c r="DI6" s="746"/>
      <c r="DJ6" s="747"/>
      <c r="DK6" s="718"/>
      <c r="DL6" s="718"/>
    </row>
    <row r="7" spans="1:116" ht="16.5" hidden="1" customHeight="1">
      <c r="A7" s="738"/>
      <c r="B7" s="739"/>
      <c r="C7" s="738" t="s">
        <v>309</v>
      </c>
      <c r="D7" s="748"/>
      <c r="E7" s="377">
        <f t="shared" si="5"/>
        <v>0</v>
      </c>
      <c r="F7" s="377">
        <f t="shared" si="6"/>
        <v>0</v>
      </c>
      <c r="G7" s="749">
        <f t="shared" si="7"/>
        <v>0</v>
      </c>
      <c r="H7" s="749"/>
      <c r="I7" s="377"/>
      <c r="J7" s="377"/>
      <c r="K7" s="750">
        <f>J7-I7</f>
        <v>0</v>
      </c>
      <c r="L7" s="750"/>
      <c r="M7" s="377"/>
      <c r="N7" s="377"/>
      <c r="O7" s="750">
        <f>N7-M7</f>
        <v>0</v>
      </c>
      <c r="P7" s="750"/>
      <c r="Q7" s="377"/>
      <c r="R7" s="377"/>
      <c r="S7" s="750">
        <f>R7-Q7</f>
        <v>0</v>
      </c>
      <c r="T7" s="750"/>
      <c r="U7" s="377"/>
      <c r="V7" s="377"/>
      <c r="W7" s="750">
        <f>V7-U7</f>
        <v>0</v>
      </c>
      <c r="X7" s="750"/>
      <c r="Y7" s="377">
        <f t="shared" si="8"/>
        <v>0</v>
      </c>
      <c r="Z7" s="377">
        <f t="shared" si="8"/>
        <v>0</v>
      </c>
      <c r="AA7" s="750">
        <f>Z7-Y7</f>
        <v>0</v>
      </c>
      <c r="AB7" s="750"/>
      <c r="AC7" s="377"/>
      <c r="AD7" s="377"/>
      <c r="AE7" s="750">
        <f>AD7-AC7</f>
        <v>0</v>
      </c>
      <c r="AF7" s="750"/>
      <c r="AG7" s="377"/>
      <c r="AH7" s="377"/>
      <c r="AI7" s="750">
        <f>AH7-AG7</f>
        <v>0</v>
      </c>
      <c r="AJ7" s="377"/>
      <c r="AK7" s="377"/>
      <c r="AL7" s="750">
        <f>AK7-AJ7</f>
        <v>0</v>
      </c>
      <c r="AM7" s="750"/>
      <c r="AN7" s="377"/>
      <c r="AO7" s="377"/>
      <c r="AP7" s="750">
        <f>AO7-AN7</f>
        <v>0</v>
      </c>
      <c r="AQ7" s="750"/>
      <c r="AR7" s="750"/>
      <c r="AS7" s="750"/>
      <c r="AT7" s="750">
        <f>AS7-AR7</f>
        <v>0</v>
      </c>
      <c r="AU7" s="750"/>
      <c r="AV7" s="377"/>
      <c r="AW7" s="377"/>
      <c r="AX7" s="750">
        <f>AW7-AV7</f>
        <v>0</v>
      </c>
      <c r="AY7" s="750"/>
      <c r="AZ7" s="377"/>
      <c r="BA7" s="377"/>
      <c r="BB7" s="750">
        <f>BA7-AZ7</f>
        <v>0</v>
      </c>
      <c r="BC7" s="750"/>
      <c r="BD7" s="377"/>
      <c r="BE7" s="377"/>
      <c r="BF7" s="750">
        <f>BE7-BD7</f>
        <v>0</v>
      </c>
      <c r="BG7" s="750"/>
      <c r="BH7" s="377"/>
      <c r="BI7" s="377"/>
      <c r="BJ7" s="750">
        <f>BI7-BH7</f>
        <v>0</v>
      </c>
      <c r="BK7" s="750"/>
      <c r="BL7" s="377"/>
      <c r="BM7" s="377"/>
      <c r="BN7" s="750">
        <f>BM7-BL7</f>
        <v>0</v>
      </c>
      <c r="BO7" s="728"/>
      <c r="BP7" s="377"/>
      <c r="BQ7" s="377"/>
      <c r="BR7" s="750">
        <f>BQ7-BP7</f>
        <v>0</v>
      </c>
      <c r="BS7" s="750"/>
      <c r="BT7" s="377"/>
      <c r="BU7" s="377"/>
      <c r="BV7" s="750">
        <f>BU7-BT7</f>
        <v>0</v>
      </c>
      <c r="BW7" s="750"/>
      <c r="BX7" s="377"/>
      <c r="BY7" s="377"/>
      <c r="BZ7" s="750">
        <f>BY7-BX7</f>
        <v>0</v>
      </c>
      <c r="CA7" s="750"/>
      <c r="CB7" s="377"/>
      <c r="CC7" s="377"/>
      <c r="CD7" s="750">
        <f>CC7-CB7</f>
        <v>0</v>
      </c>
      <c r="CE7" s="750"/>
      <c r="CF7" s="377"/>
      <c r="CG7" s="377"/>
      <c r="CH7" s="750">
        <f>CG7-CF7</f>
        <v>0</v>
      </c>
      <c r="CI7" s="750"/>
      <c r="CJ7" s="377"/>
      <c r="CK7" s="377"/>
      <c r="CL7" s="750">
        <f>CK7-CJ7</f>
        <v>0</v>
      </c>
      <c r="CM7" s="386"/>
      <c r="CN7" s="751"/>
      <c r="CO7" s="751"/>
      <c r="CP7" s="751">
        <f>CO7-CN7</f>
        <v>0</v>
      </c>
      <c r="CQ7" s="751"/>
      <c r="CR7" s="374"/>
      <c r="CS7" s="374"/>
      <c r="CT7" s="744">
        <f>CS7-CR7</f>
        <v>0</v>
      </c>
      <c r="CU7" s="745"/>
      <c r="CV7" s="373"/>
      <c r="CW7" s="373"/>
      <c r="CX7" s="744">
        <f>CW7-CV7</f>
        <v>0</v>
      </c>
      <c r="CY7" s="745"/>
      <c r="CZ7" s="373"/>
      <c r="DA7" s="373"/>
      <c r="DB7" s="744">
        <f>DA7-CZ7</f>
        <v>0</v>
      </c>
      <c r="DC7" s="745"/>
      <c r="DG7" s="746"/>
      <c r="DH7" s="746"/>
      <c r="DI7" s="746"/>
      <c r="DJ7" s="747"/>
      <c r="DK7" s="718"/>
      <c r="DL7" s="718"/>
    </row>
    <row r="8" spans="1:116" ht="26.25" hidden="1" customHeight="1">
      <c r="A8" s="738"/>
      <c r="B8" s="739"/>
      <c r="C8" s="752" t="s">
        <v>535</v>
      </c>
      <c r="D8" s="753"/>
      <c r="E8" s="377">
        <f t="shared" si="5"/>
        <v>0</v>
      </c>
      <c r="F8" s="377">
        <f t="shared" si="6"/>
        <v>0</v>
      </c>
      <c r="G8" s="749">
        <f t="shared" si="7"/>
        <v>0</v>
      </c>
      <c r="H8" s="749" t="e">
        <f t="shared" ref="H8:H20" si="9">F8/E8</f>
        <v>#DIV/0!</v>
      </c>
      <c r="I8" s="377"/>
      <c r="J8" s="377"/>
      <c r="K8" s="750">
        <f>J8-I8</f>
        <v>0</v>
      </c>
      <c r="L8" s="750"/>
      <c r="M8" s="377"/>
      <c r="N8" s="377"/>
      <c r="O8" s="750">
        <f>N8-M8</f>
        <v>0</v>
      </c>
      <c r="P8" s="750"/>
      <c r="Q8" s="377"/>
      <c r="R8" s="377"/>
      <c r="S8" s="750">
        <f>R8-Q8</f>
        <v>0</v>
      </c>
      <c r="T8" s="750"/>
      <c r="U8" s="377"/>
      <c r="V8" s="377"/>
      <c r="W8" s="750">
        <f>V8-U8</f>
        <v>0</v>
      </c>
      <c r="X8" s="750"/>
      <c r="Y8" s="377">
        <f t="shared" si="8"/>
        <v>0</v>
      </c>
      <c r="Z8" s="377">
        <f t="shared" si="8"/>
        <v>0</v>
      </c>
      <c r="AA8" s="750">
        <f>Z8-Y8</f>
        <v>0</v>
      </c>
      <c r="AB8" s="750"/>
      <c r="AC8" s="377"/>
      <c r="AD8" s="377"/>
      <c r="AE8" s="750">
        <f>AD8-AC8</f>
        <v>0</v>
      </c>
      <c r="AF8" s="750"/>
      <c r="AG8" s="377"/>
      <c r="AH8" s="377"/>
      <c r="AI8" s="750">
        <f>AH8-AG8</f>
        <v>0</v>
      </c>
      <c r="AJ8" s="377"/>
      <c r="AK8" s="377"/>
      <c r="AL8" s="750">
        <f>AK8-AJ8</f>
        <v>0</v>
      </c>
      <c r="AM8" s="750"/>
      <c r="AN8" s="377"/>
      <c r="AO8" s="377"/>
      <c r="AP8" s="750">
        <f>AO8-AN8</f>
        <v>0</v>
      </c>
      <c r="AQ8" s="750"/>
      <c r="AR8" s="750"/>
      <c r="AS8" s="750"/>
      <c r="AT8" s="750">
        <f>AS8-AR8</f>
        <v>0</v>
      </c>
      <c r="AU8" s="750"/>
      <c r="AV8" s="377"/>
      <c r="AW8" s="377"/>
      <c r="AX8" s="750">
        <f>AW8-AV8</f>
        <v>0</v>
      </c>
      <c r="AY8" s="750"/>
      <c r="AZ8" s="377"/>
      <c r="BA8" s="377"/>
      <c r="BB8" s="750">
        <f>BA8-AZ8</f>
        <v>0</v>
      </c>
      <c r="BC8" s="750"/>
      <c r="BD8" s="377"/>
      <c r="BE8" s="377"/>
      <c r="BF8" s="750">
        <f>BE8-BD8</f>
        <v>0</v>
      </c>
      <c r="BG8" s="750"/>
      <c r="BH8" s="377"/>
      <c r="BI8" s="377"/>
      <c r="BJ8" s="750">
        <f>BI8-BH8</f>
        <v>0</v>
      </c>
      <c r="BK8" s="750"/>
      <c r="BL8" s="377"/>
      <c r="BM8" s="377"/>
      <c r="BN8" s="750">
        <f>BM8-BL8</f>
        <v>0</v>
      </c>
      <c r="BO8" s="728"/>
      <c r="BP8" s="377"/>
      <c r="BQ8" s="377"/>
      <c r="BR8" s="750">
        <f>BQ8-BP8</f>
        <v>0</v>
      </c>
      <c r="BS8" s="750"/>
      <c r="BT8" s="377"/>
      <c r="BU8" s="377"/>
      <c r="BV8" s="750">
        <f>BU8-BT8</f>
        <v>0</v>
      </c>
      <c r="BW8" s="750"/>
      <c r="BX8" s="377"/>
      <c r="BY8" s="377"/>
      <c r="BZ8" s="750">
        <f>BY8-BX8</f>
        <v>0</v>
      </c>
      <c r="CA8" s="750"/>
      <c r="CB8" s="377"/>
      <c r="CC8" s="377"/>
      <c r="CD8" s="750">
        <f>CC8-CB8</f>
        <v>0</v>
      </c>
      <c r="CE8" s="750"/>
      <c r="CF8" s="377"/>
      <c r="CG8" s="377"/>
      <c r="CH8" s="750">
        <f>CG8-CF8</f>
        <v>0</v>
      </c>
      <c r="CI8" s="750"/>
      <c r="CJ8" s="377"/>
      <c r="CK8" s="377"/>
      <c r="CL8" s="750">
        <f>CK8-CJ8</f>
        <v>0</v>
      </c>
      <c r="CM8" s="386"/>
      <c r="CN8" s="751"/>
      <c r="CO8" s="751"/>
      <c r="CP8" s="751">
        <f>CO8-CN8</f>
        <v>0</v>
      </c>
      <c r="CQ8" s="751"/>
      <c r="CR8" s="374"/>
      <c r="CS8" s="374"/>
      <c r="CT8" s="744">
        <f>CS8-CR8</f>
        <v>0</v>
      </c>
      <c r="CU8" s="745"/>
      <c r="CV8" s="373"/>
      <c r="CW8" s="373"/>
      <c r="CX8" s="744">
        <f>CW8-CV8</f>
        <v>0</v>
      </c>
      <c r="CY8" s="745"/>
      <c r="CZ8" s="373"/>
      <c r="DA8" s="373"/>
      <c r="DB8" s="744">
        <f>DA8-CZ8</f>
        <v>0</v>
      </c>
      <c r="DC8" s="745"/>
      <c r="DG8" s="746"/>
      <c r="DH8" s="746"/>
      <c r="DI8" s="746"/>
      <c r="DJ8" s="747"/>
      <c r="DK8" s="718"/>
      <c r="DL8" s="718"/>
    </row>
    <row r="9" spans="1:116" ht="14.25" hidden="1" customHeight="1">
      <c r="A9" s="738"/>
      <c r="B9" s="739"/>
      <c r="C9" s="752" t="s">
        <v>310</v>
      </c>
      <c r="D9" s="753"/>
      <c r="E9" s="377">
        <f t="shared" si="5"/>
        <v>0</v>
      </c>
      <c r="F9" s="377">
        <f t="shared" si="6"/>
        <v>0</v>
      </c>
      <c r="G9" s="749">
        <f t="shared" si="7"/>
        <v>0</v>
      </c>
      <c r="H9" s="749" t="e">
        <f t="shared" si="9"/>
        <v>#DIV/0!</v>
      </c>
      <c r="I9" s="377"/>
      <c r="J9" s="377"/>
      <c r="K9" s="750">
        <f>J9-I9</f>
        <v>0</v>
      </c>
      <c r="L9" s="750"/>
      <c r="M9" s="377"/>
      <c r="N9" s="377"/>
      <c r="O9" s="750">
        <f>N9-M9</f>
        <v>0</v>
      </c>
      <c r="P9" s="750"/>
      <c r="Q9" s="377"/>
      <c r="R9" s="377"/>
      <c r="S9" s="750">
        <f>R9-Q9</f>
        <v>0</v>
      </c>
      <c r="T9" s="750"/>
      <c r="U9" s="377"/>
      <c r="V9" s="377"/>
      <c r="W9" s="750">
        <f>V9-U9</f>
        <v>0</v>
      </c>
      <c r="X9" s="750"/>
      <c r="Y9" s="377">
        <f t="shared" si="8"/>
        <v>0</v>
      </c>
      <c r="Z9" s="377">
        <f t="shared" si="8"/>
        <v>0</v>
      </c>
      <c r="AA9" s="750">
        <f>Z9-Y9</f>
        <v>0</v>
      </c>
      <c r="AB9" s="750"/>
      <c r="AC9" s="377"/>
      <c r="AD9" s="377"/>
      <c r="AE9" s="750">
        <f>AD9-AC9</f>
        <v>0</v>
      </c>
      <c r="AF9" s="750"/>
      <c r="AG9" s="377"/>
      <c r="AH9" s="377"/>
      <c r="AI9" s="750">
        <f>AH9-AG9</f>
        <v>0</v>
      </c>
      <c r="AJ9" s="377"/>
      <c r="AK9" s="377"/>
      <c r="AL9" s="750">
        <f>AK9-AJ9</f>
        <v>0</v>
      </c>
      <c r="AM9" s="750"/>
      <c r="AN9" s="377"/>
      <c r="AO9" s="377"/>
      <c r="AP9" s="750">
        <f>AO9-AN9</f>
        <v>0</v>
      </c>
      <c r="AQ9" s="750"/>
      <c r="AR9" s="750"/>
      <c r="AS9" s="750"/>
      <c r="AT9" s="750">
        <f>AS9-AR9</f>
        <v>0</v>
      </c>
      <c r="AU9" s="750"/>
      <c r="AV9" s="377"/>
      <c r="AW9" s="377"/>
      <c r="AX9" s="750">
        <f>AW9-AV9</f>
        <v>0</v>
      </c>
      <c r="AY9" s="750"/>
      <c r="AZ9" s="377"/>
      <c r="BA9" s="377"/>
      <c r="BB9" s="750">
        <f>BA9-AZ9</f>
        <v>0</v>
      </c>
      <c r="BC9" s="750"/>
      <c r="BD9" s="377"/>
      <c r="BE9" s="377"/>
      <c r="BF9" s="750">
        <f>BE9-BD9</f>
        <v>0</v>
      </c>
      <c r="BG9" s="750"/>
      <c r="BH9" s="377"/>
      <c r="BI9" s="377"/>
      <c r="BJ9" s="750">
        <f>BI9-BH9</f>
        <v>0</v>
      </c>
      <c r="BK9" s="750"/>
      <c r="BL9" s="377"/>
      <c r="BM9" s="377"/>
      <c r="BN9" s="750">
        <f>BM9-BL9</f>
        <v>0</v>
      </c>
      <c r="BO9" s="728"/>
      <c r="BP9" s="377"/>
      <c r="BQ9" s="377"/>
      <c r="BR9" s="750">
        <f>BQ9-BP9</f>
        <v>0</v>
      </c>
      <c r="BS9" s="750"/>
      <c r="BT9" s="377"/>
      <c r="BU9" s="377"/>
      <c r="BV9" s="750">
        <f>BU9-BT9</f>
        <v>0</v>
      </c>
      <c r="BW9" s="750"/>
      <c r="BX9" s="377"/>
      <c r="BY9" s="377"/>
      <c r="BZ9" s="750">
        <f>BY9-BX9</f>
        <v>0</v>
      </c>
      <c r="CA9" s="750"/>
      <c r="CB9" s="377"/>
      <c r="CC9" s="377"/>
      <c r="CD9" s="750">
        <f>CC9-CB9</f>
        <v>0</v>
      </c>
      <c r="CE9" s="750"/>
      <c r="CF9" s="377"/>
      <c r="CG9" s="377"/>
      <c r="CH9" s="750">
        <f>CG9-CF9</f>
        <v>0</v>
      </c>
      <c r="CI9" s="750"/>
      <c r="CJ9" s="377"/>
      <c r="CK9" s="377"/>
      <c r="CL9" s="750">
        <f>CK9-CJ9</f>
        <v>0</v>
      </c>
      <c r="CM9" s="386"/>
      <c r="CN9" s="751"/>
      <c r="CO9" s="751"/>
      <c r="CP9" s="751">
        <f>CO9-CN9</f>
        <v>0</v>
      </c>
      <c r="CQ9" s="751"/>
      <c r="CR9" s="374"/>
      <c r="CS9" s="374"/>
      <c r="CT9" s="744">
        <f>CS9-CR9</f>
        <v>0</v>
      </c>
      <c r="CU9" s="745"/>
      <c r="CV9" s="373"/>
      <c r="CW9" s="373"/>
      <c r="CX9" s="744">
        <f>CW9-CV9</f>
        <v>0</v>
      </c>
      <c r="CY9" s="745"/>
      <c r="CZ9" s="373"/>
      <c r="DA9" s="373"/>
      <c r="DB9" s="744">
        <f>DA9-CZ9</f>
        <v>0</v>
      </c>
      <c r="DC9" s="745"/>
      <c r="DG9" s="746"/>
      <c r="DH9" s="746"/>
      <c r="DI9" s="746"/>
      <c r="DJ9" s="747"/>
      <c r="DK9" s="718"/>
      <c r="DL9" s="718"/>
    </row>
    <row r="10" spans="1:116" ht="15.75" customHeight="1">
      <c r="A10" s="738"/>
      <c r="B10" s="739">
        <v>1701042113</v>
      </c>
      <c r="C10" s="752" t="s">
        <v>910</v>
      </c>
      <c r="D10" s="753">
        <v>0</v>
      </c>
      <c r="E10" s="377">
        <f t="shared" si="5"/>
        <v>0</v>
      </c>
      <c r="F10" s="783">
        <f t="shared" si="6"/>
        <v>0.73351</v>
      </c>
      <c r="G10" s="749">
        <f t="shared" si="7"/>
        <v>0.73351</v>
      </c>
      <c r="H10" s="749">
        <v>0</v>
      </c>
      <c r="I10" s="377"/>
      <c r="J10" s="377"/>
      <c r="K10" s="750"/>
      <c r="L10" s="750">
        <v>0</v>
      </c>
      <c r="M10" s="377"/>
      <c r="N10" s="377"/>
      <c r="O10" s="750"/>
      <c r="P10" s="750"/>
      <c r="Q10" s="377"/>
      <c r="R10" s="377"/>
      <c r="S10" s="750"/>
      <c r="T10" s="750"/>
      <c r="U10" s="377"/>
      <c r="V10" s="377">
        <v>0.73351</v>
      </c>
      <c r="W10" s="750"/>
      <c r="X10" s="750"/>
      <c r="Y10" s="377">
        <f t="shared" si="8"/>
        <v>0</v>
      </c>
      <c r="Z10" s="377">
        <f t="shared" si="8"/>
        <v>0</v>
      </c>
      <c r="AA10" s="750"/>
      <c r="AB10" s="750"/>
      <c r="AC10" s="377"/>
      <c r="AD10" s="377"/>
      <c r="AE10" s="750"/>
      <c r="AF10" s="750"/>
      <c r="AG10" s="377"/>
      <c r="AH10" s="377"/>
      <c r="AI10" s="750"/>
      <c r="AJ10" s="377"/>
      <c r="AK10" s="377"/>
      <c r="AL10" s="750"/>
      <c r="AM10" s="750"/>
      <c r="AN10" s="377"/>
      <c r="AO10" s="377"/>
      <c r="AP10" s="750"/>
      <c r="AQ10" s="750"/>
      <c r="AR10" s="750"/>
      <c r="AS10" s="750"/>
      <c r="AT10" s="750"/>
      <c r="AU10" s="750"/>
      <c r="AV10" s="377"/>
      <c r="AW10" s="377"/>
      <c r="AX10" s="750"/>
      <c r="AY10" s="750"/>
      <c r="AZ10" s="377"/>
      <c r="BA10" s="377"/>
      <c r="BB10" s="750"/>
      <c r="BC10" s="750"/>
      <c r="BD10" s="377"/>
      <c r="BE10" s="377"/>
      <c r="BF10" s="750"/>
      <c r="BG10" s="750"/>
      <c r="BH10" s="377"/>
      <c r="BI10" s="377"/>
      <c r="BJ10" s="750"/>
      <c r="BK10" s="750"/>
      <c r="BL10" s="377"/>
      <c r="BM10" s="377"/>
      <c r="BN10" s="750"/>
      <c r="BO10" s="728"/>
      <c r="BP10" s="377"/>
      <c r="BQ10" s="377"/>
      <c r="BR10" s="750"/>
      <c r="BS10" s="750"/>
      <c r="BT10" s="377"/>
      <c r="BU10" s="377"/>
      <c r="BV10" s="750"/>
      <c r="BW10" s="750"/>
      <c r="BX10" s="377"/>
      <c r="BY10" s="377"/>
      <c r="BZ10" s="750"/>
      <c r="CA10" s="750"/>
      <c r="CB10" s="377"/>
      <c r="CC10" s="377"/>
      <c r="CD10" s="750"/>
      <c r="CE10" s="750"/>
      <c r="CF10" s="377"/>
      <c r="CG10" s="377"/>
      <c r="CH10" s="750"/>
      <c r="CI10" s="750"/>
      <c r="CJ10" s="377"/>
      <c r="CK10" s="377"/>
      <c r="CL10" s="750"/>
      <c r="CM10" s="386"/>
      <c r="CN10" s="751"/>
      <c r="CO10" s="751"/>
      <c r="CP10" s="751"/>
      <c r="CQ10" s="751"/>
      <c r="CR10" s="374"/>
      <c r="CS10" s="374"/>
      <c r="CT10" s="744"/>
      <c r="CU10" s="745"/>
      <c r="CV10" s="373"/>
      <c r="CW10" s="373"/>
      <c r="CX10" s="744"/>
      <c r="CY10" s="745"/>
      <c r="CZ10" s="373"/>
      <c r="DA10" s="373"/>
      <c r="DB10" s="744"/>
      <c r="DC10" s="745"/>
      <c r="DG10" s="746"/>
      <c r="DH10" s="750">
        <f>DG10-DF10</f>
        <v>0</v>
      </c>
      <c r="DI10" s="750">
        <f>DH10-DG10</f>
        <v>0</v>
      </c>
      <c r="DJ10" s="747"/>
      <c r="DK10" s="718"/>
      <c r="DL10" s="718"/>
    </row>
    <row r="11" spans="1:116" ht="15.75" hidden="1" customHeight="1">
      <c r="A11" s="738"/>
      <c r="B11" s="739">
        <v>1718000337</v>
      </c>
      <c r="C11" s="752" t="s">
        <v>537</v>
      </c>
      <c r="D11" s="753"/>
      <c r="E11" s="377">
        <f t="shared" si="5"/>
        <v>0</v>
      </c>
      <c r="F11" s="376">
        <f t="shared" si="6"/>
        <v>0</v>
      </c>
      <c r="G11" s="749">
        <f t="shared" si="7"/>
        <v>0</v>
      </c>
      <c r="H11" s="749" t="e">
        <f t="shared" si="9"/>
        <v>#DIV/0!</v>
      </c>
      <c r="I11" s="377"/>
      <c r="J11" s="377"/>
      <c r="K11" s="750"/>
      <c r="L11" s="750"/>
      <c r="M11" s="377"/>
      <c r="N11" s="377"/>
      <c r="O11" s="750"/>
      <c r="P11" s="750"/>
      <c r="Q11" s="377"/>
      <c r="R11" s="377"/>
      <c r="S11" s="750"/>
      <c r="T11" s="750"/>
      <c r="U11" s="377"/>
      <c r="V11" s="377"/>
      <c r="W11" s="750"/>
      <c r="X11" s="750"/>
      <c r="Y11" s="377"/>
      <c r="Z11" s="377"/>
      <c r="AA11" s="750"/>
      <c r="AB11" s="750"/>
      <c r="AC11" s="377"/>
      <c r="AD11" s="377"/>
      <c r="AE11" s="750"/>
      <c r="AF11" s="750"/>
      <c r="AG11" s="377"/>
      <c r="AH11" s="377"/>
      <c r="AI11" s="750"/>
      <c r="AJ11" s="377"/>
      <c r="AK11" s="377"/>
      <c r="AL11" s="750"/>
      <c r="AM11" s="750"/>
      <c r="AN11" s="377"/>
      <c r="AO11" s="377"/>
      <c r="AP11" s="750"/>
      <c r="AQ11" s="750"/>
      <c r="AR11" s="750"/>
      <c r="AS11" s="750"/>
      <c r="AT11" s="750"/>
      <c r="AU11" s="750"/>
      <c r="AV11" s="377"/>
      <c r="AW11" s="377"/>
      <c r="AX11" s="750"/>
      <c r="AY11" s="750"/>
      <c r="AZ11" s="377"/>
      <c r="BA11" s="377"/>
      <c r="BB11" s="750"/>
      <c r="BC11" s="750"/>
      <c r="BD11" s="377"/>
      <c r="BE11" s="377"/>
      <c r="BF11" s="750"/>
      <c r="BG11" s="750"/>
      <c r="BH11" s="377"/>
      <c r="BI11" s="377"/>
      <c r="BJ11" s="750"/>
      <c r="BK11" s="750"/>
      <c r="BL11" s="377"/>
      <c r="BM11" s="377"/>
      <c r="BN11" s="750"/>
      <c r="BO11" s="728"/>
      <c r="BP11" s="377"/>
      <c r="BQ11" s="377"/>
      <c r="BR11" s="750"/>
      <c r="BS11" s="750"/>
      <c r="BT11" s="377"/>
      <c r="BU11" s="377"/>
      <c r="BV11" s="750"/>
      <c r="BW11" s="750"/>
      <c r="BX11" s="377"/>
      <c r="BY11" s="377"/>
      <c r="BZ11" s="750"/>
      <c r="CA11" s="750"/>
      <c r="CB11" s="377"/>
      <c r="CC11" s="377"/>
      <c r="CD11" s="750"/>
      <c r="CE11" s="750"/>
      <c r="CF11" s="377"/>
      <c r="CG11" s="377"/>
      <c r="CH11" s="750"/>
      <c r="CI11" s="750"/>
      <c r="CJ11" s="377"/>
      <c r="CK11" s="377"/>
      <c r="CL11" s="750"/>
      <c r="CM11" s="386"/>
      <c r="CN11" s="751"/>
      <c r="CO11" s="751"/>
      <c r="CP11" s="751"/>
      <c r="CQ11" s="751"/>
      <c r="CR11" s="374"/>
      <c r="CS11" s="374"/>
      <c r="CT11" s="744"/>
      <c r="CU11" s="745"/>
      <c r="CV11" s="373"/>
      <c r="CW11" s="373"/>
      <c r="CX11" s="744"/>
      <c r="CY11" s="745"/>
      <c r="CZ11" s="373"/>
      <c r="DA11" s="373"/>
      <c r="DB11" s="744"/>
      <c r="DC11" s="745"/>
      <c r="DG11" s="746"/>
      <c r="DH11" s="746"/>
      <c r="DI11" s="746"/>
      <c r="DJ11" s="747"/>
      <c r="DK11" s="718"/>
      <c r="DL11" s="718"/>
    </row>
    <row r="12" spans="1:116" ht="16.5" hidden="1" customHeight="1">
      <c r="A12" s="738"/>
      <c r="B12" s="739"/>
      <c r="C12" s="752" t="s">
        <v>311</v>
      </c>
      <c r="D12" s="753"/>
      <c r="E12" s="377">
        <f t="shared" si="5"/>
        <v>0</v>
      </c>
      <c r="F12" s="376">
        <f t="shared" si="6"/>
        <v>0</v>
      </c>
      <c r="G12" s="749">
        <f t="shared" si="7"/>
        <v>0</v>
      </c>
      <c r="H12" s="749" t="e">
        <f t="shared" si="9"/>
        <v>#DIV/0!</v>
      </c>
      <c r="I12" s="377"/>
      <c r="J12" s="377"/>
      <c r="K12" s="750">
        <f t="shared" ref="K12:K66" si="10">J12-I12</f>
        <v>0</v>
      </c>
      <c r="L12" s="750"/>
      <c r="M12" s="377"/>
      <c r="N12" s="377"/>
      <c r="O12" s="750">
        <f t="shared" ref="O12:O34" si="11">N12-M12</f>
        <v>0</v>
      </c>
      <c r="P12" s="750"/>
      <c r="Q12" s="377"/>
      <c r="R12" s="377"/>
      <c r="S12" s="750">
        <f t="shared" ref="S12:S34" si="12">R12-Q12</f>
        <v>0</v>
      </c>
      <c r="T12" s="750"/>
      <c r="U12" s="377"/>
      <c r="V12" s="377"/>
      <c r="W12" s="750">
        <f t="shared" ref="W12:W34" si="13">V12-U12</f>
        <v>0</v>
      </c>
      <c r="X12" s="750"/>
      <c r="Y12" s="377">
        <f t="shared" si="8"/>
        <v>0</v>
      </c>
      <c r="Z12" s="377">
        <f t="shared" si="8"/>
        <v>0</v>
      </c>
      <c r="AA12" s="750">
        <f t="shared" ref="AA12:AA34" si="14">Z12-Y12</f>
        <v>0</v>
      </c>
      <c r="AB12" s="750"/>
      <c r="AC12" s="377"/>
      <c r="AD12" s="377"/>
      <c r="AE12" s="750">
        <f t="shared" ref="AE12:AE20" si="15">AD12-AC12</f>
        <v>0</v>
      </c>
      <c r="AF12" s="750"/>
      <c r="AG12" s="377"/>
      <c r="AH12" s="377"/>
      <c r="AI12" s="750">
        <f t="shared" ref="AI12:AI34" si="16">AH12-AG12</f>
        <v>0</v>
      </c>
      <c r="AJ12" s="377"/>
      <c r="AK12" s="377"/>
      <c r="AL12" s="750">
        <f t="shared" ref="AL12:AL34" si="17">AK12-AJ12</f>
        <v>0</v>
      </c>
      <c r="AM12" s="750"/>
      <c r="AN12" s="377"/>
      <c r="AO12" s="377"/>
      <c r="AP12" s="750">
        <f t="shared" ref="AP12:AP34" si="18">AO12-AN12</f>
        <v>0</v>
      </c>
      <c r="AQ12" s="750"/>
      <c r="AR12" s="750"/>
      <c r="AS12" s="750"/>
      <c r="AT12" s="750">
        <f>AS12-AR12</f>
        <v>0</v>
      </c>
      <c r="AU12" s="750"/>
      <c r="AV12" s="377"/>
      <c r="AW12" s="377"/>
      <c r="AX12" s="750">
        <f t="shared" ref="AX12:AX34" si="19">AW12-AV12</f>
        <v>0</v>
      </c>
      <c r="AY12" s="750"/>
      <c r="AZ12" s="377"/>
      <c r="BA12" s="377"/>
      <c r="BB12" s="750">
        <f t="shared" ref="BB12:BB34" si="20">BA12-AZ12</f>
        <v>0</v>
      </c>
      <c r="BC12" s="750"/>
      <c r="BD12" s="377"/>
      <c r="BE12" s="377"/>
      <c r="BF12" s="750">
        <f t="shared" ref="BF12:BF34" si="21">BE12-BD12</f>
        <v>0</v>
      </c>
      <c r="BG12" s="750"/>
      <c r="BH12" s="377"/>
      <c r="BI12" s="377"/>
      <c r="BJ12" s="750">
        <f t="shared" ref="BJ12:BJ34" si="22">BI12-BH12</f>
        <v>0</v>
      </c>
      <c r="BK12" s="750"/>
      <c r="BL12" s="377"/>
      <c r="BM12" s="377"/>
      <c r="BN12" s="750">
        <f t="shared" ref="BN12:BN34" si="23">BM12-BL12</f>
        <v>0</v>
      </c>
      <c r="BO12" s="728"/>
      <c r="BP12" s="377"/>
      <c r="BQ12" s="377"/>
      <c r="BR12" s="750">
        <f t="shared" ref="BR12:BR34" si="24">BQ12-BP12</f>
        <v>0</v>
      </c>
      <c r="BS12" s="750"/>
      <c r="BT12" s="377"/>
      <c r="BU12" s="377"/>
      <c r="BV12" s="750">
        <f t="shared" ref="BV12:BV34" si="25">BU12-BT12</f>
        <v>0</v>
      </c>
      <c r="BW12" s="750"/>
      <c r="BX12" s="377"/>
      <c r="BY12" s="377"/>
      <c r="BZ12" s="750">
        <f t="shared" ref="BZ12:BZ34" si="26">BY12-BX12</f>
        <v>0</v>
      </c>
      <c r="CA12" s="750"/>
      <c r="CB12" s="377"/>
      <c r="CC12" s="377"/>
      <c r="CD12" s="750">
        <f t="shared" ref="CD12:CD34" si="27">CC12-CB12</f>
        <v>0</v>
      </c>
      <c r="CE12" s="750"/>
      <c r="CF12" s="377"/>
      <c r="CG12" s="377"/>
      <c r="CH12" s="750">
        <f t="shared" ref="CH12:CH34" si="28">CG12-CF12</f>
        <v>0</v>
      </c>
      <c r="CI12" s="750"/>
      <c r="CJ12" s="377"/>
      <c r="CK12" s="377"/>
      <c r="CL12" s="750">
        <f t="shared" ref="CL12:CL34" si="29">CK12-CJ12</f>
        <v>0</v>
      </c>
      <c r="CM12" s="386"/>
      <c r="CN12" s="751"/>
      <c r="CO12" s="751"/>
      <c r="CP12" s="751">
        <f>CO12-CN12</f>
        <v>0</v>
      </c>
      <c r="CQ12" s="751"/>
      <c r="CR12" s="374"/>
      <c r="CS12" s="374"/>
      <c r="CT12" s="744">
        <f>CS12-CR12</f>
        <v>0</v>
      </c>
      <c r="CU12" s="745"/>
      <c r="CV12" s="373"/>
      <c r="CW12" s="373"/>
      <c r="CX12" s="744">
        <f t="shared" ref="CX12:CX34" si="30">CW12-CV12</f>
        <v>0</v>
      </c>
      <c r="CY12" s="745"/>
      <c r="CZ12" s="373"/>
      <c r="DA12" s="373"/>
      <c r="DB12" s="744">
        <f t="shared" ref="DB12:DB34" si="31">DA12-CZ12</f>
        <v>0</v>
      </c>
      <c r="DC12" s="745"/>
      <c r="DG12" s="746"/>
      <c r="DH12" s="746"/>
      <c r="DI12" s="746"/>
      <c r="DJ12" s="747"/>
      <c r="DK12" s="718"/>
      <c r="DL12" s="718"/>
    </row>
    <row r="13" spans="1:116" ht="18" hidden="1" customHeight="1">
      <c r="A13" s="738"/>
      <c r="B13" s="739"/>
      <c r="C13" s="752" t="s">
        <v>692</v>
      </c>
      <c r="D13" s="753">
        <v>0</v>
      </c>
      <c r="E13" s="377">
        <f>I13+M13+Q13+U13+Y13+AJ13+AN13+AR13+AV13+BD13+BH13+BX13+CF13+CJ13+CN13+CR13+CV13+CZ13+AZ13+BL13+BT13</f>
        <v>0</v>
      </c>
      <c r="F13" s="376">
        <f>J13+N13+R13+V13+Z13+AK13+AO13+AS13+AW13+BE13+BI13+BY13+CG13+CK13+CO13+CS13+CW13+DA13+BM13+BU13</f>
        <v>8.9999999999999993E-3</v>
      </c>
      <c r="G13" s="749">
        <f>F13-E13</f>
        <v>8.9999999999999993E-3</v>
      </c>
      <c r="H13" s="749">
        <v>0</v>
      </c>
      <c r="I13" s="377"/>
      <c r="J13" s="377"/>
      <c r="K13" s="750">
        <f>J13-I13</f>
        <v>0</v>
      </c>
      <c r="L13" s="750"/>
      <c r="M13" s="377"/>
      <c r="N13" s="377">
        <v>8.9999999999999993E-3</v>
      </c>
      <c r="O13" s="750">
        <f>N13-M13</f>
        <v>8.9999999999999993E-3</v>
      </c>
      <c r="P13" s="750"/>
      <c r="Q13" s="377"/>
      <c r="R13" s="377"/>
      <c r="S13" s="750">
        <f>R13-Q13</f>
        <v>0</v>
      </c>
      <c r="T13" s="750"/>
      <c r="U13" s="377"/>
      <c r="V13" s="377"/>
      <c r="W13" s="750">
        <f>V13-U13</f>
        <v>0</v>
      </c>
      <c r="X13" s="750"/>
      <c r="Y13" s="377">
        <f>AC13</f>
        <v>0</v>
      </c>
      <c r="Z13" s="377">
        <f>AD13</f>
        <v>0</v>
      </c>
      <c r="AA13" s="750">
        <f>Z13-Y13</f>
        <v>0</v>
      </c>
      <c r="AB13" s="750"/>
      <c r="AC13" s="377"/>
      <c r="AD13" s="377"/>
      <c r="AE13" s="750">
        <f>AD13-AC13</f>
        <v>0</v>
      </c>
      <c r="AF13" s="750"/>
      <c r="AG13" s="377"/>
      <c r="AH13" s="377"/>
      <c r="AI13" s="750">
        <f>AH13-AG13</f>
        <v>0</v>
      </c>
      <c r="AJ13" s="377"/>
      <c r="AK13" s="377"/>
      <c r="AL13" s="750">
        <f>AK13-AJ13</f>
        <v>0</v>
      </c>
      <c r="AM13" s="750"/>
      <c r="AN13" s="377"/>
      <c r="AO13" s="377"/>
      <c r="AP13" s="750">
        <f>AO13-AN13</f>
        <v>0</v>
      </c>
      <c r="AQ13" s="750"/>
      <c r="AR13" s="750"/>
      <c r="AS13" s="750"/>
      <c r="AT13" s="750"/>
      <c r="AU13" s="750"/>
      <c r="AV13" s="377"/>
      <c r="AW13" s="377"/>
      <c r="AX13" s="750">
        <f>AW13-AV13</f>
        <v>0</v>
      </c>
      <c r="AY13" s="750"/>
      <c r="AZ13" s="377"/>
      <c r="BA13" s="377"/>
      <c r="BB13" s="750">
        <f>BA13-AZ13</f>
        <v>0</v>
      </c>
      <c r="BC13" s="750"/>
      <c r="BD13" s="377"/>
      <c r="BE13" s="377"/>
      <c r="BF13" s="750">
        <f>BE13-BD13</f>
        <v>0</v>
      </c>
      <c r="BG13" s="750"/>
      <c r="BH13" s="377"/>
      <c r="BI13" s="377"/>
      <c r="BJ13" s="750">
        <f>BI13-BH13</f>
        <v>0</v>
      </c>
      <c r="BK13" s="750"/>
      <c r="BL13" s="377"/>
      <c r="BM13" s="377"/>
      <c r="BN13" s="750">
        <f>BM13-BL13</f>
        <v>0</v>
      </c>
      <c r="BO13" s="728"/>
      <c r="BP13" s="377"/>
      <c r="BQ13" s="377"/>
      <c r="BR13" s="750">
        <f>BQ13-BP13</f>
        <v>0</v>
      </c>
      <c r="BS13" s="750"/>
      <c r="BT13" s="377"/>
      <c r="BU13" s="377"/>
      <c r="BV13" s="750">
        <f>BU13-BT13</f>
        <v>0</v>
      </c>
      <c r="BW13" s="750"/>
      <c r="BX13" s="377"/>
      <c r="BY13" s="377"/>
      <c r="BZ13" s="750">
        <f>BY13-BX13</f>
        <v>0</v>
      </c>
      <c r="CA13" s="750"/>
      <c r="CB13" s="377"/>
      <c r="CC13" s="377"/>
      <c r="CD13" s="750">
        <f>CC13-CB13</f>
        <v>0</v>
      </c>
      <c r="CE13" s="750"/>
      <c r="CF13" s="377"/>
      <c r="CG13" s="377"/>
      <c r="CH13" s="750">
        <f>CG13-CF13</f>
        <v>0</v>
      </c>
      <c r="CI13" s="750"/>
      <c r="CJ13" s="377"/>
      <c r="CK13" s="377"/>
      <c r="CL13" s="750">
        <f>CK13-CJ13</f>
        <v>0</v>
      </c>
      <c r="CM13" s="386"/>
      <c r="CN13" s="751"/>
      <c r="CO13" s="751"/>
      <c r="CP13" s="751"/>
      <c r="CQ13" s="751"/>
      <c r="CR13" s="374"/>
      <c r="CS13" s="374"/>
      <c r="CT13" s="744"/>
      <c r="CU13" s="745"/>
      <c r="CV13" s="373"/>
      <c r="CW13" s="373"/>
      <c r="CX13" s="744">
        <f>CW13-CV13</f>
        <v>0</v>
      </c>
      <c r="CY13" s="745"/>
      <c r="CZ13" s="373"/>
      <c r="DA13" s="373"/>
      <c r="DB13" s="744">
        <f>DA13-CZ13</f>
        <v>0</v>
      </c>
      <c r="DC13" s="745"/>
      <c r="DG13" s="746"/>
      <c r="DH13" s="746"/>
      <c r="DI13" s="746"/>
      <c r="DJ13" s="747"/>
      <c r="DK13" s="718"/>
      <c r="DL13" s="718"/>
    </row>
    <row r="14" spans="1:116" ht="18" hidden="1" customHeight="1">
      <c r="A14" s="738"/>
      <c r="B14" s="739"/>
      <c r="C14" s="752" t="s">
        <v>312</v>
      </c>
      <c r="D14" s="753">
        <v>0</v>
      </c>
      <c r="E14" s="377">
        <f t="shared" si="5"/>
        <v>0</v>
      </c>
      <c r="F14" s="376">
        <f t="shared" si="6"/>
        <v>0</v>
      </c>
      <c r="G14" s="749">
        <f t="shared" si="7"/>
        <v>0</v>
      </c>
      <c r="H14" s="749" t="e">
        <f t="shared" si="9"/>
        <v>#DIV/0!</v>
      </c>
      <c r="I14" s="377"/>
      <c r="J14" s="377"/>
      <c r="K14" s="750">
        <f t="shared" si="10"/>
        <v>0</v>
      </c>
      <c r="L14" s="750"/>
      <c r="M14" s="377"/>
      <c r="N14" s="377"/>
      <c r="O14" s="750">
        <f t="shared" si="11"/>
        <v>0</v>
      </c>
      <c r="P14" s="750"/>
      <c r="Q14" s="377"/>
      <c r="R14" s="377"/>
      <c r="S14" s="750">
        <f t="shared" si="12"/>
        <v>0</v>
      </c>
      <c r="T14" s="750"/>
      <c r="U14" s="377"/>
      <c r="V14" s="377"/>
      <c r="W14" s="750">
        <f t="shared" si="13"/>
        <v>0</v>
      </c>
      <c r="X14" s="750"/>
      <c r="Y14" s="377">
        <f t="shared" si="8"/>
        <v>0</v>
      </c>
      <c r="Z14" s="377">
        <f t="shared" si="8"/>
        <v>0</v>
      </c>
      <c r="AA14" s="750">
        <f t="shared" si="14"/>
        <v>0</v>
      </c>
      <c r="AB14" s="750"/>
      <c r="AC14" s="377"/>
      <c r="AD14" s="377"/>
      <c r="AE14" s="750">
        <f t="shared" si="15"/>
        <v>0</v>
      </c>
      <c r="AF14" s="750"/>
      <c r="AG14" s="377"/>
      <c r="AH14" s="377"/>
      <c r="AI14" s="750">
        <f t="shared" si="16"/>
        <v>0</v>
      </c>
      <c r="AJ14" s="377"/>
      <c r="AK14" s="377"/>
      <c r="AL14" s="750">
        <f t="shared" si="17"/>
        <v>0</v>
      </c>
      <c r="AM14" s="750"/>
      <c r="AN14" s="377"/>
      <c r="AO14" s="377"/>
      <c r="AP14" s="750">
        <f t="shared" si="18"/>
        <v>0</v>
      </c>
      <c r="AQ14" s="750"/>
      <c r="AR14" s="750"/>
      <c r="AS14" s="750"/>
      <c r="AT14" s="750"/>
      <c r="AU14" s="750"/>
      <c r="AV14" s="377"/>
      <c r="AW14" s="377"/>
      <c r="AX14" s="750">
        <f t="shared" si="19"/>
        <v>0</v>
      </c>
      <c r="AY14" s="750"/>
      <c r="AZ14" s="377"/>
      <c r="BA14" s="377"/>
      <c r="BB14" s="750">
        <f t="shared" si="20"/>
        <v>0</v>
      </c>
      <c r="BC14" s="750"/>
      <c r="BD14" s="377"/>
      <c r="BE14" s="377"/>
      <c r="BF14" s="750">
        <f t="shared" si="21"/>
        <v>0</v>
      </c>
      <c r="BG14" s="750"/>
      <c r="BH14" s="377"/>
      <c r="BI14" s="377"/>
      <c r="BJ14" s="750">
        <f t="shared" si="22"/>
        <v>0</v>
      </c>
      <c r="BK14" s="750"/>
      <c r="BL14" s="377"/>
      <c r="BM14" s="377"/>
      <c r="BN14" s="750">
        <f t="shared" si="23"/>
        <v>0</v>
      </c>
      <c r="BO14" s="728"/>
      <c r="BP14" s="377"/>
      <c r="BQ14" s="377"/>
      <c r="BR14" s="750">
        <f t="shared" si="24"/>
        <v>0</v>
      </c>
      <c r="BS14" s="750"/>
      <c r="BT14" s="377"/>
      <c r="BU14" s="377"/>
      <c r="BV14" s="750">
        <f t="shared" si="25"/>
        <v>0</v>
      </c>
      <c r="BW14" s="750"/>
      <c r="BX14" s="377"/>
      <c r="BY14" s="377"/>
      <c r="BZ14" s="750">
        <f t="shared" si="26"/>
        <v>0</v>
      </c>
      <c r="CA14" s="750"/>
      <c r="CB14" s="377"/>
      <c r="CC14" s="377"/>
      <c r="CD14" s="750">
        <f t="shared" si="27"/>
        <v>0</v>
      </c>
      <c r="CE14" s="750"/>
      <c r="CF14" s="377"/>
      <c r="CG14" s="377"/>
      <c r="CH14" s="750">
        <f t="shared" si="28"/>
        <v>0</v>
      </c>
      <c r="CI14" s="750"/>
      <c r="CJ14" s="377"/>
      <c r="CK14" s="377"/>
      <c r="CL14" s="750">
        <f t="shared" si="29"/>
        <v>0</v>
      </c>
      <c r="CM14" s="386"/>
      <c r="CN14" s="751"/>
      <c r="CO14" s="751"/>
      <c r="CP14" s="751"/>
      <c r="CQ14" s="751"/>
      <c r="CR14" s="374"/>
      <c r="CS14" s="374"/>
      <c r="CT14" s="744"/>
      <c r="CU14" s="745"/>
      <c r="CV14" s="373"/>
      <c r="CW14" s="373"/>
      <c r="CX14" s="744">
        <f t="shared" si="30"/>
        <v>0</v>
      </c>
      <c r="CY14" s="745"/>
      <c r="CZ14" s="373"/>
      <c r="DA14" s="373"/>
      <c r="DB14" s="744">
        <f t="shared" si="31"/>
        <v>0</v>
      </c>
      <c r="DC14" s="745"/>
      <c r="DG14" s="746"/>
      <c r="DH14" s="746"/>
      <c r="DI14" s="746"/>
      <c r="DJ14" s="747"/>
      <c r="DK14" s="718"/>
      <c r="DL14" s="718"/>
    </row>
    <row r="15" spans="1:116" ht="16.5" hidden="1" customHeight="1">
      <c r="A15" s="738"/>
      <c r="B15" s="739"/>
      <c r="C15" s="752" t="s">
        <v>850</v>
      </c>
      <c r="D15" s="753"/>
      <c r="E15" s="377">
        <f>I15+M15+Q15+U15+Y15+AJ15+AN15+AR15+AV15+BD15+BH15+BX15+CF15+CJ15+CN15+CR15+CV15+CZ15+AZ15+BL15+BT15</f>
        <v>0</v>
      </c>
      <c r="F15" s="376">
        <f>J15+N15+R15+V15+Z15+AK15+AO15+AS15+AW15+BE15+BI15+BY15+CG15+CK15+CO15+CS15+CW15+DA15+BM15+BU15</f>
        <v>0</v>
      </c>
      <c r="G15" s="749">
        <f>F15-E15</f>
        <v>0</v>
      </c>
      <c r="H15" s="749">
        <v>0</v>
      </c>
      <c r="I15" s="377"/>
      <c r="J15" s="377"/>
      <c r="K15" s="750">
        <f>J15-I15</f>
        <v>0</v>
      </c>
      <c r="L15" s="750">
        <v>0</v>
      </c>
      <c r="M15" s="377"/>
      <c r="N15" s="377"/>
      <c r="O15" s="750">
        <f>N15-M15</f>
        <v>0</v>
      </c>
      <c r="P15" s="750"/>
      <c r="Q15" s="377"/>
      <c r="R15" s="377"/>
      <c r="S15" s="750">
        <f>R15-Q15</f>
        <v>0</v>
      </c>
      <c r="T15" s="750"/>
      <c r="U15" s="377"/>
      <c r="V15" s="377"/>
      <c r="W15" s="750">
        <f>V15-U15</f>
        <v>0</v>
      </c>
      <c r="X15" s="750"/>
      <c r="Y15" s="377">
        <f>AC15</f>
        <v>0</v>
      </c>
      <c r="Z15" s="377">
        <f>AD15</f>
        <v>0</v>
      </c>
      <c r="AA15" s="750">
        <f>Z15-Y15</f>
        <v>0</v>
      </c>
      <c r="AB15" s="750"/>
      <c r="AC15" s="377"/>
      <c r="AD15" s="377"/>
      <c r="AE15" s="750">
        <f>AD15-AC15</f>
        <v>0</v>
      </c>
      <c r="AF15" s="750"/>
      <c r="AG15" s="377"/>
      <c r="AH15" s="377"/>
      <c r="AI15" s="750">
        <f>AH15-AG15</f>
        <v>0</v>
      </c>
      <c r="AJ15" s="377"/>
      <c r="AK15" s="377"/>
      <c r="AL15" s="750">
        <f>AK15-AJ15</f>
        <v>0</v>
      </c>
      <c r="AM15" s="750"/>
      <c r="AN15" s="377"/>
      <c r="AO15" s="377"/>
      <c r="AP15" s="750">
        <f>AO15-AN15</f>
        <v>0</v>
      </c>
      <c r="AQ15" s="750"/>
      <c r="AR15" s="750"/>
      <c r="AS15" s="750"/>
      <c r="AT15" s="750"/>
      <c r="AU15" s="750"/>
      <c r="AV15" s="377"/>
      <c r="AW15" s="377"/>
      <c r="AX15" s="750">
        <f>AW15-AV15</f>
        <v>0</v>
      </c>
      <c r="AY15" s="750"/>
      <c r="AZ15" s="377"/>
      <c r="BA15" s="377"/>
      <c r="BB15" s="750">
        <f>BA15-AZ15</f>
        <v>0</v>
      </c>
      <c r="BC15" s="750"/>
      <c r="BD15" s="377"/>
      <c r="BE15" s="377"/>
      <c r="BF15" s="750">
        <f>BE15-BD15</f>
        <v>0</v>
      </c>
      <c r="BG15" s="750"/>
      <c r="BH15" s="377"/>
      <c r="BI15" s="377"/>
      <c r="BJ15" s="750">
        <f>BI15-BH15</f>
        <v>0</v>
      </c>
      <c r="BK15" s="750"/>
      <c r="BL15" s="377"/>
      <c r="BM15" s="377"/>
      <c r="BN15" s="750">
        <f>BM15-BL15</f>
        <v>0</v>
      </c>
      <c r="BO15" s="728"/>
      <c r="BP15" s="377"/>
      <c r="BQ15" s="377"/>
      <c r="BR15" s="750">
        <f>BQ15-BP15</f>
        <v>0</v>
      </c>
      <c r="BS15" s="750"/>
      <c r="BT15" s="377"/>
      <c r="BU15" s="377"/>
      <c r="BV15" s="750">
        <f>BU15-BT15</f>
        <v>0</v>
      </c>
      <c r="BW15" s="750"/>
      <c r="BX15" s="377"/>
      <c r="BY15" s="377"/>
      <c r="BZ15" s="750">
        <f>BY15-BX15</f>
        <v>0</v>
      </c>
      <c r="CA15" s="750"/>
      <c r="CB15" s="377"/>
      <c r="CC15" s="377"/>
      <c r="CD15" s="750">
        <f>CC15-CB15</f>
        <v>0</v>
      </c>
      <c r="CE15" s="750"/>
      <c r="CF15" s="377"/>
      <c r="CG15" s="377"/>
      <c r="CH15" s="750">
        <f>CG15-CF15</f>
        <v>0</v>
      </c>
      <c r="CI15" s="750"/>
      <c r="CJ15" s="377"/>
      <c r="CK15" s="377"/>
      <c r="CL15" s="750">
        <f>CK15-CJ15</f>
        <v>0</v>
      </c>
      <c r="CM15" s="386"/>
      <c r="CN15" s="751"/>
      <c r="CO15" s="751"/>
      <c r="CP15" s="751">
        <v>0</v>
      </c>
      <c r="CQ15" s="751"/>
      <c r="CR15" s="374"/>
      <c r="CS15" s="374"/>
      <c r="CT15" s="744"/>
      <c r="CU15" s="745"/>
      <c r="CV15" s="373"/>
      <c r="CW15" s="373"/>
      <c r="CX15" s="744">
        <f>CW15-CV15</f>
        <v>0</v>
      </c>
      <c r="CY15" s="745"/>
      <c r="CZ15" s="373"/>
      <c r="DA15" s="373"/>
      <c r="DB15" s="744">
        <f>DA15-CZ15</f>
        <v>0</v>
      </c>
      <c r="DC15" s="745"/>
      <c r="DG15" s="746"/>
      <c r="DH15" s="746"/>
      <c r="DI15" s="746"/>
      <c r="DJ15" s="747"/>
      <c r="DK15" s="718"/>
      <c r="DL15" s="718"/>
    </row>
    <row r="16" spans="1:116" ht="16.5" hidden="1" customHeight="1">
      <c r="A16" s="738"/>
      <c r="B16" s="739"/>
      <c r="C16" s="752" t="s">
        <v>313</v>
      </c>
      <c r="D16" s="753"/>
      <c r="E16" s="377">
        <f t="shared" si="5"/>
        <v>0</v>
      </c>
      <c r="F16" s="376">
        <f t="shared" si="6"/>
        <v>0</v>
      </c>
      <c r="G16" s="749">
        <f t="shared" si="7"/>
        <v>0</v>
      </c>
      <c r="H16" s="749" t="e">
        <f t="shared" si="9"/>
        <v>#DIV/0!</v>
      </c>
      <c r="I16" s="377"/>
      <c r="J16" s="377"/>
      <c r="K16" s="750">
        <f t="shared" si="10"/>
        <v>0</v>
      </c>
      <c r="L16" s="750" t="e">
        <f>J16/I16</f>
        <v>#DIV/0!</v>
      </c>
      <c r="M16" s="377"/>
      <c r="N16" s="377"/>
      <c r="O16" s="750">
        <f t="shared" si="11"/>
        <v>0</v>
      </c>
      <c r="P16" s="750"/>
      <c r="Q16" s="377"/>
      <c r="R16" s="377"/>
      <c r="S16" s="750">
        <f t="shared" si="12"/>
        <v>0</v>
      </c>
      <c r="T16" s="750"/>
      <c r="U16" s="377"/>
      <c r="V16" s="377"/>
      <c r="W16" s="750">
        <f t="shared" si="13"/>
        <v>0</v>
      </c>
      <c r="X16" s="750"/>
      <c r="Y16" s="377">
        <f t="shared" si="8"/>
        <v>0</v>
      </c>
      <c r="Z16" s="377">
        <f t="shared" si="8"/>
        <v>0</v>
      </c>
      <c r="AA16" s="750">
        <f t="shared" si="14"/>
        <v>0</v>
      </c>
      <c r="AB16" s="750"/>
      <c r="AC16" s="377"/>
      <c r="AD16" s="377"/>
      <c r="AE16" s="750">
        <f t="shared" si="15"/>
        <v>0</v>
      </c>
      <c r="AF16" s="750"/>
      <c r="AG16" s="377"/>
      <c r="AH16" s="377"/>
      <c r="AI16" s="750">
        <f t="shared" si="16"/>
        <v>0</v>
      </c>
      <c r="AJ16" s="377"/>
      <c r="AK16" s="377"/>
      <c r="AL16" s="750">
        <f t="shared" si="17"/>
        <v>0</v>
      </c>
      <c r="AM16" s="750"/>
      <c r="AN16" s="377"/>
      <c r="AO16" s="377"/>
      <c r="AP16" s="750">
        <f t="shared" si="18"/>
        <v>0</v>
      </c>
      <c r="AQ16" s="750"/>
      <c r="AR16" s="750"/>
      <c r="AS16" s="750"/>
      <c r="AT16" s="750"/>
      <c r="AU16" s="750"/>
      <c r="AV16" s="377"/>
      <c r="AW16" s="377"/>
      <c r="AX16" s="750">
        <f t="shared" si="19"/>
        <v>0</v>
      </c>
      <c r="AY16" s="750"/>
      <c r="AZ16" s="377"/>
      <c r="BA16" s="377"/>
      <c r="BB16" s="750">
        <f t="shared" si="20"/>
        <v>0</v>
      </c>
      <c r="BC16" s="750"/>
      <c r="BD16" s="377"/>
      <c r="BE16" s="377"/>
      <c r="BF16" s="750">
        <f t="shared" si="21"/>
        <v>0</v>
      </c>
      <c r="BG16" s="750"/>
      <c r="BH16" s="377"/>
      <c r="BI16" s="377"/>
      <c r="BJ16" s="750">
        <f t="shared" si="22"/>
        <v>0</v>
      </c>
      <c r="BK16" s="750"/>
      <c r="BL16" s="377"/>
      <c r="BM16" s="377"/>
      <c r="BN16" s="750">
        <f t="shared" si="23"/>
        <v>0</v>
      </c>
      <c r="BO16" s="728"/>
      <c r="BP16" s="377"/>
      <c r="BQ16" s="377"/>
      <c r="BR16" s="750">
        <f t="shared" si="24"/>
        <v>0</v>
      </c>
      <c r="BS16" s="750"/>
      <c r="BT16" s="377"/>
      <c r="BU16" s="377"/>
      <c r="BV16" s="750">
        <f t="shared" si="25"/>
        <v>0</v>
      </c>
      <c r="BW16" s="750"/>
      <c r="BX16" s="377"/>
      <c r="BY16" s="377"/>
      <c r="BZ16" s="750">
        <f t="shared" si="26"/>
        <v>0</v>
      </c>
      <c r="CA16" s="750"/>
      <c r="CB16" s="377"/>
      <c r="CC16" s="377"/>
      <c r="CD16" s="750">
        <f t="shared" si="27"/>
        <v>0</v>
      </c>
      <c r="CE16" s="750"/>
      <c r="CF16" s="377"/>
      <c r="CG16" s="377"/>
      <c r="CH16" s="750">
        <f t="shared" si="28"/>
        <v>0</v>
      </c>
      <c r="CI16" s="750"/>
      <c r="CJ16" s="377"/>
      <c r="CK16" s="377"/>
      <c r="CL16" s="750">
        <f t="shared" si="29"/>
        <v>0</v>
      </c>
      <c r="CM16" s="386"/>
      <c r="CN16" s="751"/>
      <c r="CO16" s="751"/>
      <c r="CP16" s="751">
        <v>0</v>
      </c>
      <c r="CQ16" s="751"/>
      <c r="CR16" s="374"/>
      <c r="CS16" s="374"/>
      <c r="CT16" s="744"/>
      <c r="CU16" s="745"/>
      <c r="CV16" s="373"/>
      <c r="CW16" s="373"/>
      <c r="CX16" s="744">
        <f t="shared" si="30"/>
        <v>0</v>
      </c>
      <c r="CY16" s="745"/>
      <c r="CZ16" s="373"/>
      <c r="DA16" s="373"/>
      <c r="DB16" s="744">
        <f t="shared" si="31"/>
        <v>0</v>
      </c>
      <c r="DC16" s="745"/>
      <c r="DG16" s="746"/>
      <c r="DH16" s="746"/>
      <c r="DI16" s="746"/>
      <c r="DJ16" s="747"/>
      <c r="DK16" s="718"/>
      <c r="DL16" s="718"/>
    </row>
    <row r="17" spans="1:116" ht="22.5" hidden="1" customHeight="1">
      <c r="A17" s="738"/>
      <c r="B17" s="739"/>
      <c r="C17" s="752" t="s">
        <v>538</v>
      </c>
      <c r="D17" s="753"/>
      <c r="E17" s="377">
        <f>I17+M17+Q17+U17+Y17+AJ17+AN17+AR17+AV17+BD17+BH17+BX17+CF17+CJ17+CN17+CR17+CV17+CZ17</f>
        <v>0</v>
      </c>
      <c r="F17" s="376">
        <f t="shared" si="6"/>
        <v>0</v>
      </c>
      <c r="G17" s="749">
        <f t="shared" si="7"/>
        <v>0</v>
      </c>
      <c r="H17" s="749" t="e">
        <f t="shared" si="9"/>
        <v>#DIV/0!</v>
      </c>
      <c r="I17" s="377"/>
      <c r="J17" s="377"/>
      <c r="K17" s="750">
        <f t="shared" si="10"/>
        <v>0</v>
      </c>
      <c r="L17" s="750"/>
      <c r="M17" s="377"/>
      <c r="N17" s="377"/>
      <c r="O17" s="750">
        <f t="shared" si="11"/>
        <v>0</v>
      </c>
      <c r="P17" s="750"/>
      <c r="Q17" s="377"/>
      <c r="R17" s="377"/>
      <c r="S17" s="750">
        <f t="shared" si="12"/>
        <v>0</v>
      </c>
      <c r="T17" s="750"/>
      <c r="U17" s="377"/>
      <c r="V17" s="377"/>
      <c r="W17" s="750">
        <f t="shared" si="13"/>
        <v>0</v>
      </c>
      <c r="X17" s="750"/>
      <c r="Y17" s="377">
        <f t="shared" si="8"/>
        <v>0</v>
      </c>
      <c r="Z17" s="377">
        <f t="shared" si="8"/>
        <v>0</v>
      </c>
      <c r="AA17" s="750">
        <f t="shared" si="14"/>
        <v>0</v>
      </c>
      <c r="AB17" s="750"/>
      <c r="AC17" s="377"/>
      <c r="AD17" s="377"/>
      <c r="AE17" s="750">
        <f t="shared" si="15"/>
        <v>0</v>
      </c>
      <c r="AF17" s="750"/>
      <c r="AG17" s="377"/>
      <c r="AH17" s="377"/>
      <c r="AI17" s="750">
        <f t="shared" si="16"/>
        <v>0</v>
      </c>
      <c r="AJ17" s="377"/>
      <c r="AK17" s="377"/>
      <c r="AL17" s="750">
        <f t="shared" si="17"/>
        <v>0</v>
      </c>
      <c r="AM17" s="750"/>
      <c r="AN17" s="377"/>
      <c r="AO17" s="377"/>
      <c r="AP17" s="750">
        <f t="shared" si="18"/>
        <v>0</v>
      </c>
      <c r="AQ17" s="750"/>
      <c r="AR17" s="750"/>
      <c r="AS17" s="750"/>
      <c r="AT17" s="750">
        <f>AS17-AR17</f>
        <v>0</v>
      </c>
      <c r="AU17" s="750"/>
      <c r="AV17" s="377"/>
      <c r="AW17" s="377"/>
      <c r="AX17" s="750">
        <f t="shared" si="19"/>
        <v>0</v>
      </c>
      <c r="AY17" s="750"/>
      <c r="AZ17" s="377"/>
      <c r="BA17" s="377"/>
      <c r="BB17" s="750">
        <f t="shared" si="20"/>
        <v>0</v>
      </c>
      <c r="BC17" s="750"/>
      <c r="BD17" s="377"/>
      <c r="BE17" s="377"/>
      <c r="BF17" s="750">
        <f t="shared" si="21"/>
        <v>0</v>
      </c>
      <c r="BG17" s="750"/>
      <c r="BH17" s="377"/>
      <c r="BI17" s="377"/>
      <c r="BJ17" s="750">
        <f t="shared" si="22"/>
        <v>0</v>
      </c>
      <c r="BK17" s="750"/>
      <c r="BL17" s="377"/>
      <c r="BM17" s="377"/>
      <c r="BN17" s="750">
        <f t="shared" si="23"/>
        <v>0</v>
      </c>
      <c r="BO17" s="728"/>
      <c r="BP17" s="377"/>
      <c r="BQ17" s="377"/>
      <c r="BR17" s="750">
        <f t="shared" si="24"/>
        <v>0</v>
      </c>
      <c r="BS17" s="750"/>
      <c r="BT17" s="377"/>
      <c r="BU17" s="377"/>
      <c r="BV17" s="750">
        <f t="shared" si="25"/>
        <v>0</v>
      </c>
      <c r="BW17" s="750"/>
      <c r="BX17" s="377"/>
      <c r="BY17" s="377"/>
      <c r="BZ17" s="750">
        <f t="shared" si="26"/>
        <v>0</v>
      </c>
      <c r="CA17" s="750"/>
      <c r="CB17" s="377"/>
      <c r="CC17" s="377"/>
      <c r="CD17" s="750">
        <f t="shared" si="27"/>
        <v>0</v>
      </c>
      <c r="CE17" s="750"/>
      <c r="CF17" s="377"/>
      <c r="CG17" s="377"/>
      <c r="CH17" s="750">
        <f t="shared" si="28"/>
        <v>0</v>
      </c>
      <c r="CI17" s="750"/>
      <c r="CJ17" s="377"/>
      <c r="CK17" s="377"/>
      <c r="CL17" s="750">
        <f t="shared" si="29"/>
        <v>0</v>
      </c>
      <c r="CM17" s="386"/>
      <c r="CN17" s="751"/>
      <c r="CO17" s="751"/>
      <c r="CP17" s="751">
        <f>CO17-CN17</f>
        <v>0</v>
      </c>
      <c r="CQ17" s="751"/>
      <c r="CR17" s="374"/>
      <c r="CS17" s="374"/>
      <c r="CT17" s="744">
        <f>CS17-CR17</f>
        <v>0</v>
      </c>
      <c r="CU17" s="745"/>
      <c r="CV17" s="373"/>
      <c r="CW17" s="373"/>
      <c r="CX17" s="744">
        <f t="shared" si="30"/>
        <v>0</v>
      </c>
      <c r="CY17" s="745"/>
      <c r="CZ17" s="373"/>
      <c r="DA17" s="373"/>
      <c r="DB17" s="744">
        <f t="shared" si="31"/>
        <v>0</v>
      </c>
      <c r="DC17" s="745"/>
      <c r="DG17" s="746"/>
      <c r="DH17" s="746"/>
      <c r="DI17" s="746"/>
      <c r="DJ17" s="747"/>
      <c r="DK17" s="718"/>
      <c r="DL17" s="718"/>
    </row>
    <row r="18" spans="1:116" s="734" customFormat="1" ht="27.75" customHeight="1">
      <c r="A18" s="723" t="s">
        <v>314</v>
      </c>
      <c r="B18" s="724"/>
      <c r="C18" s="725" t="s">
        <v>315</v>
      </c>
      <c r="D18" s="754">
        <f>SUM(D19:D33)</f>
        <v>0</v>
      </c>
      <c r="E18" s="755">
        <f>SUM(E19:E33)</f>
        <v>7.4</v>
      </c>
      <c r="F18" s="733">
        <f>SUM(F19:F33)</f>
        <v>0</v>
      </c>
      <c r="G18" s="756">
        <f>F18-E18</f>
        <v>-7.4</v>
      </c>
      <c r="H18" s="756">
        <f>F18/E18</f>
        <v>0</v>
      </c>
      <c r="I18" s="755">
        <f>SUM(I19:I33)</f>
        <v>0</v>
      </c>
      <c r="J18" s="755">
        <f>SUM(J19:J33)</f>
        <v>0</v>
      </c>
      <c r="K18" s="757">
        <f t="shared" si="10"/>
        <v>0</v>
      </c>
      <c r="L18" s="757">
        <v>0</v>
      </c>
      <c r="M18" s="755">
        <f>SUM(M19:M33)</f>
        <v>0</v>
      </c>
      <c r="N18" s="755">
        <f>SUM(N19:N33)</f>
        <v>0</v>
      </c>
      <c r="O18" s="757">
        <f t="shared" si="11"/>
        <v>0</v>
      </c>
      <c r="P18" s="757">
        <v>0</v>
      </c>
      <c r="Q18" s="755">
        <f>SUM(Q19:Q33)</f>
        <v>0</v>
      </c>
      <c r="R18" s="755">
        <f>SUM(R19:R33)</f>
        <v>0</v>
      </c>
      <c r="S18" s="757">
        <f t="shared" si="12"/>
        <v>0</v>
      </c>
      <c r="T18" s="757"/>
      <c r="U18" s="755">
        <f>SUM(U19:U33)</f>
        <v>0</v>
      </c>
      <c r="V18" s="755">
        <f>SUM(V19:V33)</f>
        <v>0</v>
      </c>
      <c r="W18" s="757">
        <f t="shared" si="13"/>
        <v>0</v>
      </c>
      <c r="X18" s="757">
        <v>0</v>
      </c>
      <c r="Y18" s="755">
        <f t="shared" si="8"/>
        <v>0</v>
      </c>
      <c r="Z18" s="755">
        <f t="shared" si="8"/>
        <v>0</v>
      </c>
      <c r="AA18" s="757">
        <f t="shared" si="14"/>
        <v>0</v>
      </c>
      <c r="AB18" s="757"/>
      <c r="AC18" s="755">
        <f>SUM(AC19:AC33)</f>
        <v>0</v>
      </c>
      <c r="AD18" s="755">
        <f>SUM(AD19:AD33)</f>
        <v>0</v>
      </c>
      <c r="AE18" s="757">
        <f t="shared" si="15"/>
        <v>0</v>
      </c>
      <c r="AF18" s="757"/>
      <c r="AG18" s="755">
        <f>SUM(AG19:AG33)</f>
        <v>0</v>
      </c>
      <c r="AH18" s="755">
        <f>SUM(AH19:AH33)</f>
        <v>0</v>
      </c>
      <c r="AI18" s="757">
        <f t="shared" si="16"/>
        <v>0</v>
      </c>
      <c r="AJ18" s="755">
        <f>SUM(AJ19:AJ33)</f>
        <v>0</v>
      </c>
      <c r="AK18" s="755">
        <f>SUM(AK19:AK33)</f>
        <v>0</v>
      </c>
      <c r="AL18" s="757">
        <f t="shared" si="17"/>
        <v>0</v>
      </c>
      <c r="AM18" s="757"/>
      <c r="AN18" s="755">
        <f>SUM(AN19:AN33)</f>
        <v>0</v>
      </c>
      <c r="AO18" s="755">
        <f>SUM(AO19:AO33)</f>
        <v>0</v>
      </c>
      <c r="AP18" s="757">
        <f t="shared" si="18"/>
        <v>0</v>
      </c>
      <c r="AQ18" s="757"/>
      <c r="AR18" s="755">
        <f>SUM(AR19:AR33)</f>
        <v>0</v>
      </c>
      <c r="AS18" s="755">
        <f>SUM(AS19:AS33)</f>
        <v>0</v>
      </c>
      <c r="AT18" s="757">
        <f>AS18-AR18</f>
        <v>0</v>
      </c>
      <c r="AU18" s="757"/>
      <c r="AV18" s="755">
        <f>SUM(AV19:AV33)</f>
        <v>0</v>
      </c>
      <c r="AW18" s="755">
        <f>SUM(AW19:AW33)</f>
        <v>0</v>
      </c>
      <c r="AX18" s="757">
        <f t="shared" si="19"/>
        <v>0</v>
      </c>
      <c r="AY18" s="757"/>
      <c r="AZ18" s="755">
        <f>SUM(AZ19:AZ33)</f>
        <v>0</v>
      </c>
      <c r="BA18" s="755">
        <f>SUM(BA19:BA33)</f>
        <v>0</v>
      </c>
      <c r="BB18" s="757">
        <f t="shared" si="20"/>
        <v>0</v>
      </c>
      <c r="BC18" s="757"/>
      <c r="BD18" s="755">
        <f>SUM(BD19:BD33)</f>
        <v>0</v>
      </c>
      <c r="BE18" s="755">
        <f>SUM(BE19:BE33)</f>
        <v>0</v>
      </c>
      <c r="BF18" s="757">
        <f t="shared" si="21"/>
        <v>0</v>
      </c>
      <c r="BG18" s="757"/>
      <c r="BH18" s="755">
        <f>SUM(BH19:BH33)</f>
        <v>0</v>
      </c>
      <c r="BI18" s="755">
        <f>SUM(BI19:BI33)</f>
        <v>0</v>
      </c>
      <c r="BJ18" s="757">
        <f t="shared" si="22"/>
        <v>0</v>
      </c>
      <c r="BK18" s="757"/>
      <c r="BL18" s="755">
        <f>SUM(BL19:BL33)</f>
        <v>7.39</v>
      </c>
      <c r="BM18" s="755">
        <f>SUM(BM19:BM33)</f>
        <v>0</v>
      </c>
      <c r="BN18" s="757">
        <f t="shared" si="23"/>
        <v>-7.39</v>
      </c>
      <c r="BO18" s="728"/>
      <c r="BP18" s="755">
        <f>SUM(BP19:BP33)</f>
        <v>0</v>
      </c>
      <c r="BQ18" s="755">
        <f>SUM(BQ19:BQ33)</f>
        <v>0</v>
      </c>
      <c r="BR18" s="757">
        <f t="shared" si="24"/>
        <v>0</v>
      </c>
      <c r="BS18" s="757"/>
      <c r="BT18" s="755">
        <f>SUM(BT19:BT33)</f>
        <v>0</v>
      </c>
      <c r="BU18" s="755">
        <f>SUM(BU19:BU33)</f>
        <v>0</v>
      </c>
      <c r="BV18" s="757">
        <f t="shared" si="25"/>
        <v>0</v>
      </c>
      <c r="BW18" s="757"/>
      <c r="BX18" s="755">
        <f>SUM(BX19:BX33)</f>
        <v>0</v>
      </c>
      <c r="BY18" s="755">
        <f>SUM(BY19:BY33)</f>
        <v>0</v>
      </c>
      <c r="BZ18" s="757">
        <f t="shared" si="26"/>
        <v>0</v>
      </c>
      <c r="CA18" s="757"/>
      <c r="CB18" s="755">
        <f>SUM(CB19:CB33)</f>
        <v>0</v>
      </c>
      <c r="CC18" s="755">
        <f>SUM(CC19:CC33)</f>
        <v>0</v>
      </c>
      <c r="CD18" s="757">
        <f t="shared" si="27"/>
        <v>0</v>
      </c>
      <c r="CE18" s="757"/>
      <c r="CF18" s="755">
        <f>SUM(CF19:CF33)</f>
        <v>0</v>
      </c>
      <c r="CG18" s="755">
        <f>SUM(CG19:CG33)</f>
        <v>0</v>
      </c>
      <c r="CH18" s="757">
        <f t="shared" si="28"/>
        <v>0</v>
      </c>
      <c r="CI18" s="757"/>
      <c r="CJ18" s="755">
        <f>SUM(CJ19:CJ33)</f>
        <v>0</v>
      </c>
      <c r="CK18" s="755">
        <f>SUM(CK19:CK33)</f>
        <v>0</v>
      </c>
      <c r="CL18" s="757">
        <f t="shared" si="29"/>
        <v>0</v>
      </c>
      <c r="CM18" s="386"/>
      <c r="CN18" s="733">
        <f>SUM(CN19:CN33)</f>
        <v>0</v>
      </c>
      <c r="CO18" s="733">
        <f>SUM(CO19:CO33)</f>
        <v>0</v>
      </c>
      <c r="CP18" s="758">
        <f>CO18-CN18</f>
        <v>0</v>
      </c>
      <c r="CQ18" s="758"/>
      <c r="CR18" s="759">
        <f>SUM(CR19:CR33)</f>
        <v>0</v>
      </c>
      <c r="CS18" s="759">
        <f>SUM(CS19:CS33)</f>
        <v>0</v>
      </c>
      <c r="CT18" s="731">
        <f>CS18-CR18</f>
        <v>0</v>
      </c>
      <c r="CU18" s="732" t="e">
        <f>CS18/CR18</f>
        <v>#DIV/0!</v>
      </c>
      <c r="CV18" s="759">
        <f>SUM(CV19:CV33)</f>
        <v>0</v>
      </c>
      <c r="CW18" s="759">
        <f>SUM(CW19:CW33)</f>
        <v>0</v>
      </c>
      <c r="CX18" s="731">
        <f t="shared" si="30"/>
        <v>0</v>
      </c>
      <c r="CY18" s="732"/>
      <c r="CZ18" s="759">
        <f>SUM(CZ19:CZ33)</f>
        <v>0</v>
      </c>
      <c r="DA18" s="759">
        <f>SUM(DA19:DA33)</f>
        <v>0</v>
      </c>
      <c r="DB18" s="731">
        <f t="shared" si="31"/>
        <v>0</v>
      </c>
      <c r="DC18" s="732"/>
      <c r="DG18" s="735"/>
      <c r="DH18" s="733">
        <f>SUM(DH19:DH33)</f>
        <v>0</v>
      </c>
      <c r="DI18" s="735"/>
      <c r="DJ18" s="736"/>
      <c r="DK18" s="737"/>
      <c r="DL18" s="737"/>
    </row>
    <row r="19" spans="1:116" ht="13.5" hidden="1" customHeight="1">
      <c r="A19" s="738"/>
      <c r="B19" s="739">
        <v>1718002292</v>
      </c>
      <c r="C19" s="738" t="s">
        <v>316</v>
      </c>
      <c r="D19" s="748"/>
      <c r="E19" s="377">
        <f>I19+M19+Q19+U19+Y19+AJ19+AN19+AR19+AV19+BD19+BH19+BX19+CF19+CJ19+CN19+CR19+CV19+CZ19</f>
        <v>0</v>
      </c>
      <c r="F19" s="376">
        <f>J19+N19+R19+V19+Z19+AK19+AO19+AS19+AW19+BE19+BI19+BY19+CG19+CK19+CO19+CS19+CW19+DA19+BM19+BU19</f>
        <v>0</v>
      </c>
      <c r="G19" s="749">
        <f t="shared" si="7"/>
        <v>0</v>
      </c>
      <c r="H19" s="749">
        <v>0</v>
      </c>
      <c r="I19" s="377"/>
      <c r="J19" s="377"/>
      <c r="K19" s="750">
        <f t="shared" si="10"/>
        <v>0</v>
      </c>
      <c r="L19" s="750"/>
      <c r="M19" s="377"/>
      <c r="N19" s="377"/>
      <c r="O19" s="750">
        <f t="shared" si="11"/>
        <v>0</v>
      </c>
      <c r="P19" s="750"/>
      <c r="Q19" s="377"/>
      <c r="R19" s="377"/>
      <c r="S19" s="750">
        <f t="shared" si="12"/>
        <v>0</v>
      </c>
      <c r="T19" s="750" t="e">
        <f>R19/Q19</f>
        <v>#DIV/0!</v>
      </c>
      <c r="U19" s="377"/>
      <c r="V19" s="377"/>
      <c r="W19" s="750">
        <f t="shared" si="13"/>
        <v>0</v>
      </c>
      <c r="X19" s="750"/>
      <c r="Y19" s="377">
        <f t="shared" si="8"/>
        <v>0</v>
      </c>
      <c r="Z19" s="377">
        <f t="shared" si="8"/>
        <v>0</v>
      </c>
      <c r="AA19" s="750">
        <f t="shared" si="14"/>
        <v>0</v>
      </c>
      <c r="AB19" s="750"/>
      <c r="AC19" s="377"/>
      <c r="AD19" s="377"/>
      <c r="AE19" s="750">
        <f t="shared" si="15"/>
        <v>0</v>
      </c>
      <c r="AF19" s="750"/>
      <c r="AG19" s="377"/>
      <c r="AH19" s="377"/>
      <c r="AI19" s="750">
        <f t="shared" si="16"/>
        <v>0</v>
      </c>
      <c r="AJ19" s="377"/>
      <c r="AK19" s="377"/>
      <c r="AL19" s="750">
        <f t="shared" si="17"/>
        <v>0</v>
      </c>
      <c r="AM19" s="750"/>
      <c r="AN19" s="377"/>
      <c r="AO19" s="377"/>
      <c r="AP19" s="750">
        <f t="shared" si="18"/>
        <v>0</v>
      </c>
      <c r="AQ19" s="750"/>
      <c r="AR19" s="750"/>
      <c r="AS19" s="750"/>
      <c r="AT19" s="750">
        <f>AS19-AR19</f>
        <v>0</v>
      </c>
      <c r="AU19" s="750"/>
      <c r="AV19" s="377"/>
      <c r="AW19" s="377"/>
      <c r="AX19" s="750">
        <f t="shared" si="19"/>
        <v>0</v>
      </c>
      <c r="AY19" s="750"/>
      <c r="AZ19" s="377"/>
      <c r="BA19" s="377"/>
      <c r="BB19" s="750">
        <f t="shared" si="20"/>
        <v>0</v>
      </c>
      <c r="BC19" s="750"/>
      <c r="BD19" s="377"/>
      <c r="BE19" s="377"/>
      <c r="BF19" s="750">
        <f t="shared" si="21"/>
        <v>0</v>
      </c>
      <c r="BG19" s="750"/>
      <c r="BH19" s="377"/>
      <c r="BI19" s="377"/>
      <c r="BJ19" s="750">
        <f t="shared" si="22"/>
        <v>0</v>
      </c>
      <c r="BK19" s="750"/>
      <c r="BL19" s="377"/>
      <c r="BM19" s="377"/>
      <c r="BN19" s="750">
        <f t="shared" si="23"/>
        <v>0</v>
      </c>
      <c r="BO19" s="728"/>
      <c r="BP19" s="377"/>
      <c r="BQ19" s="377"/>
      <c r="BR19" s="750">
        <f t="shared" si="24"/>
        <v>0</v>
      </c>
      <c r="BS19" s="750"/>
      <c r="BT19" s="377"/>
      <c r="BU19" s="377"/>
      <c r="BV19" s="750">
        <f t="shared" si="25"/>
        <v>0</v>
      </c>
      <c r="BW19" s="750"/>
      <c r="BX19" s="377"/>
      <c r="BY19" s="377"/>
      <c r="BZ19" s="750">
        <f t="shared" si="26"/>
        <v>0</v>
      </c>
      <c r="CA19" s="750"/>
      <c r="CB19" s="377"/>
      <c r="CC19" s="377"/>
      <c r="CD19" s="750">
        <f t="shared" si="27"/>
        <v>0</v>
      </c>
      <c r="CE19" s="750"/>
      <c r="CF19" s="377"/>
      <c r="CG19" s="377"/>
      <c r="CH19" s="750">
        <f t="shared" si="28"/>
        <v>0</v>
      </c>
      <c r="CI19" s="750"/>
      <c r="CJ19" s="377"/>
      <c r="CK19" s="377"/>
      <c r="CL19" s="750">
        <f t="shared" si="29"/>
        <v>0</v>
      </c>
      <c r="CM19" s="386"/>
      <c r="CN19" s="751"/>
      <c r="CO19" s="751"/>
      <c r="CP19" s="751">
        <f>CO19-CN19</f>
        <v>0</v>
      </c>
      <c r="CQ19" s="751"/>
      <c r="CR19" s="374"/>
      <c r="CS19" s="374"/>
      <c r="CT19" s="744">
        <f>CS19-CR19</f>
        <v>0</v>
      </c>
      <c r="CU19" s="745"/>
      <c r="CV19" s="373"/>
      <c r="CW19" s="373"/>
      <c r="CX19" s="744">
        <f t="shared" si="30"/>
        <v>0</v>
      </c>
      <c r="CY19" s="745"/>
      <c r="CZ19" s="373"/>
      <c r="DA19" s="373"/>
      <c r="DB19" s="744">
        <f t="shared" si="31"/>
        <v>0</v>
      </c>
      <c r="DC19" s="745"/>
      <c r="DG19" s="746"/>
      <c r="DH19" s="746"/>
      <c r="DI19" s="746"/>
      <c r="DJ19" s="747"/>
      <c r="DK19" s="718"/>
      <c r="DL19" s="718"/>
    </row>
    <row r="20" spans="1:116" ht="12.75" hidden="1" customHeight="1">
      <c r="A20" s="738"/>
      <c r="B20" s="739"/>
      <c r="C20" s="752" t="s">
        <v>317</v>
      </c>
      <c r="D20" s="753"/>
      <c r="E20" s="377">
        <f>I20+M20+Q20+U20+Y20+AJ20+AN20+AR20+AV20+BD20+BH20+BX20+CF20+CJ20+CN20+CR20+CV20+CZ20</f>
        <v>0</v>
      </c>
      <c r="F20" s="376">
        <f>J20+N20+R20+V20+Z20+AK20+AO20+AS20+AW20+BE20+BI20+BY20+CG20+CK20+CO20+CS20+CW20+DA20+BM20+BU20</f>
        <v>0</v>
      </c>
      <c r="G20" s="749">
        <f t="shared" si="7"/>
        <v>0</v>
      </c>
      <c r="H20" s="749" t="e">
        <f t="shared" si="9"/>
        <v>#DIV/0!</v>
      </c>
      <c r="I20" s="377"/>
      <c r="J20" s="377"/>
      <c r="K20" s="750">
        <f t="shared" si="10"/>
        <v>0</v>
      </c>
      <c r="L20" s="750" t="e">
        <f>J20/I20</f>
        <v>#DIV/0!</v>
      </c>
      <c r="M20" s="377"/>
      <c r="N20" s="377"/>
      <c r="O20" s="750">
        <f t="shared" si="11"/>
        <v>0</v>
      </c>
      <c r="P20" s="750" t="e">
        <f>N20/M20</f>
        <v>#DIV/0!</v>
      </c>
      <c r="Q20" s="377"/>
      <c r="R20" s="377"/>
      <c r="S20" s="750">
        <f t="shared" si="12"/>
        <v>0</v>
      </c>
      <c r="T20" s="750" t="e">
        <f>R20/Q20</f>
        <v>#DIV/0!</v>
      </c>
      <c r="U20" s="377"/>
      <c r="V20" s="377"/>
      <c r="W20" s="750">
        <f t="shared" si="13"/>
        <v>0</v>
      </c>
      <c r="X20" s="750" t="e">
        <f>V20/U20</f>
        <v>#DIV/0!</v>
      </c>
      <c r="Y20" s="377">
        <f t="shared" si="8"/>
        <v>0</v>
      </c>
      <c r="Z20" s="377">
        <f t="shared" si="8"/>
        <v>0</v>
      </c>
      <c r="AA20" s="750">
        <f t="shared" si="14"/>
        <v>0</v>
      </c>
      <c r="AB20" s="750" t="e">
        <f>Z20/Y20</f>
        <v>#DIV/0!</v>
      </c>
      <c r="AC20" s="377"/>
      <c r="AD20" s="377"/>
      <c r="AE20" s="750">
        <f t="shared" si="15"/>
        <v>0</v>
      </c>
      <c r="AF20" s="750" t="e">
        <f>AD20/AC20</f>
        <v>#DIV/0!</v>
      </c>
      <c r="AG20" s="377"/>
      <c r="AH20" s="377"/>
      <c r="AI20" s="750">
        <f t="shared" si="16"/>
        <v>0</v>
      </c>
      <c r="AJ20" s="377"/>
      <c r="AK20" s="377"/>
      <c r="AL20" s="750">
        <f t="shared" si="17"/>
        <v>0</v>
      </c>
      <c r="AM20" s="750"/>
      <c r="AN20" s="377"/>
      <c r="AO20" s="377"/>
      <c r="AP20" s="750">
        <f t="shared" si="18"/>
        <v>0</v>
      </c>
      <c r="AQ20" s="750" t="e">
        <f>AO20/AN20</f>
        <v>#DIV/0!</v>
      </c>
      <c r="AR20" s="750"/>
      <c r="AS20" s="750"/>
      <c r="AT20" s="750">
        <f>AS20-AR20</f>
        <v>0</v>
      </c>
      <c r="AU20" s="750"/>
      <c r="AV20" s="377"/>
      <c r="AW20" s="377"/>
      <c r="AX20" s="750">
        <f t="shared" si="19"/>
        <v>0</v>
      </c>
      <c r="AY20" s="750"/>
      <c r="AZ20" s="377"/>
      <c r="BA20" s="377"/>
      <c r="BB20" s="750">
        <f t="shared" si="20"/>
        <v>0</v>
      </c>
      <c r="BC20" s="750"/>
      <c r="BD20" s="377"/>
      <c r="BE20" s="377"/>
      <c r="BF20" s="750">
        <f t="shared" si="21"/>
        <v>0</v>
      </c>
      <c r="BG20" s="750"/>
      <c r="BH20" s="377"/>
      <c r="BI20" s="377"/>
      <c r="BJ20" s="750">
        <f t="shared" si="22"/>
        <v>0</v>
      </c>
      <c r="BK20" s="750"/>
      <c r="BL20" s="377"/>
      <c r="BM20" s="377"/>
      <c r="BN20" s="750">
        <f t="shared" si="23"/>
        <v>0</v>
      </c>
      <c r="BO20" s="728"/>
      <c r="BP20" s="377"/>
      <c r="BQ20" s="377"/>
      <c r="BR20" s="750">
        <f t="shared" si="24"/>
        <v>0</v>
      </c>
      <c r="BS20" s="750"/>
      <c r="BT20" s="377"/>
      <c r="BU20" s="377"/>
      <c r="BV20" s="750">
        <f t="shared" si="25"/>
        <v>0</v>
      </c>
      <c r="BW20" s="750"/>
      <c r="BX20" s="377"/>
      <c r="BY20" s="377"/>
      <c r="BZ20" s="750">
        <f t="shared" si="26"/>
        <v>0</v>
      </c>
      <c r="CA20" s="750"/>
      <c r="CB20" s="377"/>
      <c r="CC20" s="377"/>
      <c r="CD20" s="750">
        <f t="shared" si="27"/>
        <v>0</v>
      </c>
      <c r="CE20" s="750"/>
      <c r="CF20" s="377"/>
      <c r="CG20" s="377"/>
      <c r="CH20" s="750">
        <f t="shared" si="28"/>
        <v>0</v>
      </c>
      <c r="CI20" s="750"/>
      <c r="CJ20" s="377"/>
      <c r="CK20" s="377"/>
      <c r="CL20" s="750">
        <f t="shared" si="29"/>
        <v>0</v>
      </c>
      <c r="CM20" s="386"/>
      <c r="CN20" s="751"/>
      <c r="CO20" s="751"/>
      <c r="CP20" s="751">
        <f>CO20-CN20</f>
        <v>0</v>
      </c>
      <c r="CQ20" s="751"/>
      <c r="CR20" s="374"/>
      <c r="CS20" s="374"/>
      <c r="CT20" s="744">
        <f>CS20-CR20</f>
        <v>0</v>
      </c>
      <c r="CU20" s="745"/>
      <c r="CV20" s="373"/>
      <c r="CW20" s="373"/>
      <c r="CX20" s="744">
        <f t="shared" si="30"/>
        <v>0</v>
      </c>
      <c r="CY20" s="745"/>
      <c r="CZ20" s="373"/>
      <c r="DA20" s="373"/>
      <c r="DB20" s="744">
        <f t="shared" si="31"/>
        <v>0</v>
      </c>
      <c r="DC20" s="745"/>
      <c r="DG20" s="746"/>
      <c r="DH20" s="746"/>
      <c r="DI20" s="746"/>
      <c r="DJ20" s="747"/>
      <c r="DK20" s="718"/>
      <c r="DL20" s="718"/>
    </row>
    <row r="21" spans="1:116" ht="12" hidden="1" customHeight="1">
      <c r="A21" s="738"/>
      <c r="B21" s="739">
        <v>1712001334</v>
      </c>
      <c r="C21" s="752" t="s">
        <v>845</v>
      </c>
      <c r="D21" s="753">
        <v>0</v>
      </c>
      <c r="E21" s="377">
        <f>I21+M21+Q21+U21+Y21+AJ21+AN21+AR21+AV21+BD21+BH21+BX21+CF21+CJ21+CN21+CR21+CV21+CZ21</f>
        <v>0</v>
      </c>
      <c r="F21" s="376">
        <f>J21+N21+R21+V21+Z21+AK21+AO21+AS21+AW21+BE21+BI21+BY21+CG21+CK21+CO21+CS21+CW21+DA21+BM21+BU21</f>
        <v>0</v>
      </c>
      <c r="G21" s="749">
        <f t="shared" si="7"/>
        <v>0</v>
      </c>
      <c r="H21" s="749"/>
      <c r="I21" s="377"/>
      <c r="J21" s="377"/>
      <c r="K21" s="750">
        <f t="shared" si="10"/>
        <v>0</v>
      </c>
      <c r="L21" s="750"/>
      <c r="M21" s="377"/>
      <c r="N21" s="377"/>
      <c r="O21" s="750">
        <f t="shared" si="11"/>
        <v>0</v>
      </c>
      <c r="P21" s="750"/>
      <c r="Q21" s="377"/>
      <c r="R21" s="377"/>
      <c r="S21" s="750">
        <f t="shared" si="12"/>
        <v>0</v>
      </c>
      <c r="T21" s="750"/>
      <c r="U21" s="377"/>
      <c r="V21" s="377"/>
      <c r="W21" s="750">
        <f t="shared" si="13"/>
        <v>0</v>
      </c>
      <c r="X21" s="750"/>
      <c r="Y21" s="377">
        <f t="shared" si="8"/>
        <v>0</v>
      </c>
      <c r="Z21" s="377">
        <f t="shared" si="8"/>
        <v>0</v>
      </c>
      <c r="AA21" s="750">
        <f t="shared" si="14"/>
        <v>0</v>
      </c>
      <c r="AB21" s="750"/>
      <c r="AC21" s="377"/>
      <c r="AD21" s="377"/>
      <c r="AE21" s="750"/>
      <c r="AF21" s="750"/>
      <c r="AG21" s="377"/>
      <c r="AH21" s="377"/>
      <c r="AI21" s="750">
        <f t="shared" si="16"/>
        <v>0</v>
      </c>
      <c r="AJ21" s="377"/>
      <c r="AK21" s="377"/>
      <c r="AL21" s="750">
        <f t="shared" si="17"/>
        <v>0</v>
      </c>
      <c r="AM21" s="750"/>
      <c r="AN21" s="377"/>
      <c r="AO21" s="377"/>
      <c r="AP21" s="750">
        <f t="shared" si="18"/>
        <v>0</v>
      </c>
      <c r="AQ21" s="750" t="e">
        <f>AO21/AN21</f>
        <v>#DIV/0!</v>
      </c>
      <c r="AR21" s="750"/>
      <c r="AS21" s="750"/>
      <c r="AT21" s="750"/>
      <c r="AU21" s="750"/>
      <c r="AV21" s="377"/>
      <c r="AW21" s="377"/>
      <c r="AX21" s="750">
        <f t="shared" si="19"/>
        <v>0</v>
      </c>
      <c r="AY21" s="750"/>
      <c r="AZ21" s="377"/>
      <c r="BA21" s="377"/>
      <c r="BB21" s="750">
        <f t="shared" si="20"/>
        <v>0</v>
      </c>
      <c r="BC21" s="750"/>
      <c r="BD21" s="377"/>
      <c r="BE21" s="377"/>
      <c r="BF21" s="750">
        <f t="shared" si="21"/>
        <v>0</v>
      </c>
      <c r="BG21" s="750"/>
      <c r="BH21" s="377"/>
      <c r="BI21" s="377"/>
      <c r="BJ21" s="750">
        <f t="shared" si="22"/>
        <v>0</v>
      </c>
      <c r="BK21" s="750"/>
      <c r="BL21" s="377"/>
      <c r="BM21" s="377"/>
      <c r="BN21" s="750">
        <f t="shared" si="23"/>
        <v>0</v>
      </c>
      <c r="BO21" s="728"/>
      <c r="BP21" s="377"/>
      <c r="BQ21" s="377"/>
      <c r="BR21" s="750">
        <f t="shared" si="24"/>
        <v>0</v>
      </c>
      <c r="BS21" s="750"/>
      <c r="BT21" s="377"/>
      <c r="BU21" s="377"/>
      <c r="BV21" s="750">
        <f t="shared" si="25"/>
        <v>0</v>
      </c>
      <c r="BW21" s="750"/>
      <c r="BX21" s="377"/>
      <c r="BY21" s="377"/>
      <c r="BZ21" s="750">
        <f t="shared" si="26"/>
        <v>0</v>
      </c>
      <c r="CA21" s="750"/>
      <c r="CB21" s="377"/>
      <c r="CC21" s="377"/>
      <c r="CD21" s="750">
        <f t="shared" si="27"/>
        <v>0</v>
      </c>
      <c r="CE21" s="750"/>
      <c r="CF21" s="377"/>
      <c r="CG21" s="377"/>
      <c r="CH21" s="750">
        <f t="shared" si="28"/>
        <v>0</v>
      </c>
      <c r="CI21" s="750"/>
      <c r="CJ21" s="377"/>
      <c r="CK21" s="377"/>
      <c r="CL21" s="750">
        <f t="shared" si="29"/>
        <v>0</v>
      </c>
      <c r="CM21" s="386"/>
      <c r="CN21" s="751"/>
      <c r="CO21" s="751"/>
      <c r="CP21" s="751"/>
      <c r="CQ21" s="751"/>
      <c r="CR21" s="374"/>
      <c r="CS21" s="374"/>
      <c r="CT21" s="744"/>
      <c r="CU21" s="745"/>
      <c r="CV21" s="373"/>
      <c r="CW21" s="373"/>
      <c r="CX21" s="744">
        <f t="shared" si="30"/>
        <v>0</v>
      </c>
      <c r="CY21" s="745"/>
      <c r="CZ21" s="373"/>
      <c r="DA21" s="373"/>
      <c r="DB21" s="744">
        <f t="shared" si="31"/>
        <v>0</v>
      </c>
      <c r="DC21" s="745"/>
      <c r="DG21" s="746"/>
      <c r="DH21" s="746"/>
      <c r="DI21" s="746"/>
      <c r="DJ21" s="747"/>
      <c r="DK21" s="718"/>
      <c r="DL21" s="718"/>
    </row>
    <row r="22" spans="1:116" ht="12.75" customHeight="1">
      <c r="A22" s="738"/>
      <c r="B22" s="739">
        <v>1718001468</v>
      </c>
      <c r="C22" s="738" t="s">
        <v>318</v>
      </c>
      <c r="D22" s="748">
        <v>0</v>
      </c>
      <c r="E22" s="377">
        <f t="shared" ref="E22:F33" si="32">I22+M22+Q22+U22+Y22+AJ22+AN22+AR22+AV22+BD22+BH22+BX22+CF22+CJ22+CN22+CR22+CV22+CZ22+AZ22+BL22+BT22</f>
        <v>0</v>
      </c>
      <c r="F22" s="376">
        <f>J22+N22+R22+V22+Z22+AK22+AO22+AS22+AW22+BE22+BI22+BY22+CG22+CK22+CO22+CS22+CW22+DA22+BM22+BU22</f>
        <v>0</v>
      </c>
      <c r="G22" s="749">
        <f t="shared" si="7"/>
        <v>0</v>
      </c>
      <c r="H22" s="749">
        <v>0</v>
      </c>
      <c r="I22" s="377"/>
      <c r="J22" s="377"/>
      <c r="K22" s="750">
        <f t="shared" si="10"/>
        <v>0</v>
      </c>
      <c r="L22" s="750"/>
      <c r="M22" s="377"/>
      <c r="N22" s="377"/>
      <c r="O22" s="750">
        <f t="shared" si="11"/>
        <v>0</v>
      </c>
      <c r="P22" s="750"/>
      <c r="Q22" s="377"/>
      <c r="R22" s="377"/>
      <c r="S22" s="750">
        <f t="shared" si="12"/>
        <v>0</v>
      </c>
      <c r="T22" s="750"/>
      <c r="U22" s="377"/>
      <c r="V22" s="377"/>
      <c r="W22" s="750">
        <f t="shared" si="13"/>
        <v>0</v>
      </c>
      <c r="X22" s="750"/>
      <c r="Y22" s="377">
        <f t="shared" si="8"/>
        <v>0</v>
      </c>
      <c r="Z22" s="377">
        <f t="shared" si="8"/>
        <v>0</v>
      </c>
      <c r="AA22" s="750">
        <f t="shared" si="14"/>
        <v>0</v>
      </c>
      <c r="AB22" s="750" t="e">
        <f>Z22/Y22</f>
        <v>#DIV/0!</v>
      </c>
      <c r="AC22" s="377"/>
      <c r="AD22" s="377"/>
      <c r="AE22" s="750">
        <f t="shared" ref="AE22:AE27" si="33">AD22-AC22</f>
        <v>0</v>
      </c>
      <c r="AF22" s="750" t="e">
        <f>AD22/AC22</f>
        <v>#DIV/0!</v>
      </c>
      <c r="AG22" s="377"/>
      <c r="AH22" s="377"/>
      <c r="AI22" s="750">
        <f t="shared" si="16"/>
        <v>0</v>
      </c>
      <c r="AJ22" s="377"/>
      <c r="AK22" s="377"/>
      <c r="AL22" s="750">
        <f t="shared" si="17"/>
        <v>0</v>
      </c>
      <c r="AM22" s="750"/>
      <c r="AN22" s="377"/>
      <c r="AO22" s="377"/>
      <c r="AP22" s="750">
        <f t="shared" si="18"/>
        <v>0</v>
      </c>
      <c r="AQ22" s="750"/>
      <c r="AR22" s="750"/>
      <c r="AS22" s="750"/>
      <c r="AT22" s="750">
        <f>AS22-AR22</f>
        <v>0</v>
      </c>
      <c r="AU22" s="750"/>
      <c r="AV22" s="377"/>
      <c r="AW22" s="377"/>
      <c r="AX22" s="750">
        <f t="shared" si="19"/>
        <v>0</v>
      </c>
      <c r="AY22" s="750"/>
      <c r="AZ22" s="377"/>
      <c r="BA22" s="377"/>
      <c r="BB22" s="750">
        <f t="shared" si="20"/>
        <v>0</v>
      </c>
      <c r="BC22" s="750" t="e">
        <f>BA22/AZ22</f>
        <v>#DIV/0!</v>
      </c>
      <c r="BD22" s="377"/>
      <c r="BE22" s="377"/>
      <c r="BF22" s="750">
        <f t="shared" si="21"/>
        <v>0</v>
      </c>
      <c r="BG22" s="750" t="e">
        <f>BE22/BD22</f>
        <v>#DIV/0!</v>
      </c>
      <c r="BH22" s="377"/>
      <c r="BI22" s="377"/>
      <c r="BJ22" s="750">
        <f t="shared" si="22"/>
        <v>0</v>
      </c>
      <c r="BK22" s="750" t="e">
        <f>BI22/BH22</f>
        <v>#DIV/0!</v>
      </c>
      <c r="BL22" s="377"/>
      <c r="BM22" s="377"/>
      <c r="BN22" s="750">
        <f t="shared" si="23"/>
        <v>0</v>
      </c>
      <c r="BO22" s="728"/>
      <c r="BP22" s="377"/>
      <c r="BQ22" s="377"/>
      <c r="BR22" s="750">
        <f t="shared" si="24"/>
        <v>0</v>
      </c>
      <c r="BS22" s="750"/>
      <c r="BT22" s="377"/>
      <c r="BU22" s="377"/>
      <c r="BV22" s="750">
        <f t="shared" si="25"/>
        <v>0</v>
      </c>
      <c r="BW22" s="750"/>
      <c r="BX22" s="377"/>
      <c r="BY22" s="377"/>
      <c r="BZ22" s="750">
        <f t="shared" si="26"/>
        <v>0</v>
      </c>
      <c r="CA22" s="750" t="e">
        <f>BY22/BX22</f>
        <v>#DIV/0!</v>
      </c>
      <c r="CB22" s="377"/>
      <c r="CC22" s="377"/>
      <c r="CD22" s="750">
        <f t="shared" si="27"/>
        <v>0</v>
      </c>
      <c r="CE22" s="750"/>
      <c r="CF22" s="377"/>
      <c r="CG22" s="377"/>
      <c r="CH22" s="750">
        <f t="shared" si="28"/>
        <v>0</v>
      </c>
      <c r="CI22" s="750"/>
      <c r="CJ22" s="377"/>
      <c r="CK22" s="377"/>
      <c r="CL22" s="750">
        <f t="shared" si="29"/>
        <v>0</v>
      </c>
      <c r="CM22" s="386"/>
      <c r="CN22" s="751"/>
      <c r="CO22" s="751"/>
      <c r="CP22" s="751">
        <f>CO22-CN22</f>
        <v>0</v>
      </c>
      <c r="CQ22" s="751"/>
      <c r="CR22" s="374"/>
      <c r="CS22" s="374"/>
      <c r="CT22" s="744">
        <f>CS22-CR22</f>
        <v>0</v>
      </c>
      <c r="CU22" s="745"/>
      <c r="CV22" s="373"/>
      <c r="CW22" s="373"/>
      <c r="CX22" s="744">
        <f t="shared" si="30"/>
        <v>0</v>
      </c>
      <c r="CY22" s="745" t="e">
        <f>CW22/CV22</f>
        <v>#DIV/0!</v>
      </c>
      <c r="CZ22" s="373"/>
      <c r="DA22" s="373"/>
      <c r="DB22" s="744">
        <f t="shared" si="31"/>
        <v>0</v>
      </c>
      <c r="DC22" s="745" t="e">
        <f>DA22/CZ22</f>
        <v>#DIV/0!</v>
      </c>
      <c r="DG22" s="746"/>
      <c r="DH22" s="746"/>
      <c r="DI22" s="746"/>
      <c r="DJ22" s="747"/>
      <c r="DK22" s="718"/>
      <c r="DL22" s="718"/>
    </row>
    <row r="23" spans="1:116" ht="12.75" hidden="1" customHeight="1">
      <c r="A23" s="738"/>
      <c r="B23" s="739"/>
      <c r="C23" s="738" t="s">
        <v>694</v>
      </c>
      <c r="D23" s="748"/>
      <c r="E23" s="377">
        <f t="shared" si="32"/>
        <v>0</v>
      </c>
      <c r="F23" s="376">
        <f>J23+N23+R23+V23+Z23+AK23+AO23+AS23+AW23+BE23+BI23+BY23+CG23+CK23+CO23+CS23+CW23+DA23+BM23+BU23</f>
        <v>0</v>
      </c>
      <c r="G23" s="749">
        <f t="shared" si="7"/>
        <v>0</v>
      </c>
      <c r="H23" s="749" t="e">
        <f>F23/E23</f>
        <v>#DIV/0!</v>
      </c>
      <c r="I23" s="377"/>
      <c r="J23" s="377"/>
      <c r="K23" s="750">
        <f t="shared" si="10"/>
        <v>0</v>
      </c>
      <c r="L23" s="750"/>
      <c r="M23" s="377"/>
      <c r="N23" s="377"/>
      <c r="O23" s="750">
        <f t="shared" si="11"/>
        <v>0</v>
      </c>
      <c r="P23" s="750"/>
      <c r="Q23" s="377"/>
      <c r="R23" s="377"/>
      <c r="S23" s="750">
        <f t="shared" si="12"/>
        <v>0</v>
      </c>
      <c r="T23" s="750"/>
      <c r="U23" s="377"/>
      <c r="V23" s="377"/>
      <c r="W23" s="750">
        <f t="shared" si="13"/>
        <v>0</v>
      </c>
      <c r="X23" s="750"/>
      <c r="Y23" s="377">
        <f t="shared" si="8"/>
        <v>0</v>
      </c>
      <c r="Z23" s="377">
        <f t="shared" si="8"/>
        <v>0</v>
      </c>
      <c r="AA23" s="750">
        <f t="shared" si="14"/>
        <v>0</v>
      </c>
      <c r="AB23" s="750"/>
      <c r="AC23" s="377"/>
      <c r="AD23" s="377"/>
      <c r="AE23" s="750">
        <f t="shared" si="33"/>
        <v>0</v>
      </c>
      <c r="AF23" s="750"/>
      <c r="AG23" s="377"/>
      <c r="AH23" s="377"/>
      <c r="AI23" s="750">
        <f t="shared" si="16"/>
        <v>0</v>
      </c>
      <c r="AJ23" s="377"/>
      <c r="AK23" s="377"/>
      <c r="AL23" s="750">
        <f t="shared" si="17"/>
        <v>0</v>
      </c>
      <c r="AM23" s="750"/>
      <c r="AN23" s="377"/>
      <c r="AO23" s="377"/>
      <c r="AP23" s="750">
        <f t="shared" si="18"/>
        <v>0</v>
      </c>
      <c r="AQ23" s="750"/>
      <c r="AR23" s="750"/>
      <c r="AS23" s="750"/>
      <c r="AT23" s="750">
        <f>AS23-AR23</f>
        <v>0</v>
      </c>
      <c r="AU23" s="750"/>
      <c r="AV23" s="377"/>
      <c r="AW23" s="377"/>
      <c r="AX23" s="750">
        <f t="shared" si="19"/>
        <v>0</v>
      </c>
      <c r="AY23" s="750"/>
      <c r="AZ23" s="377"/>
      <c r="BA23" s="377"/>
      <c r="BB23" s="750">
        <f t="shared" si="20"/>
        <v>0</v>
      </c>
      <c r="BC23" s="750"/>
      <c r="BD23" s="377"/>
      <c r="BE23" s="377"/>
      <c r="BF23" s="750">
        <f t="shared" si="21"/>
        <v>0</v>
      </c>
      <c r="BG23" s="750"/>
      <c r="BH23" s="377"/>
      <c r="BI23" s="377"/>
      <c r="BJ23" s="750">
        <f t="shared" si="22"/>
        <v>0</v>
      </c>
      <c r="BK23" s="750"/>
      <c r="BL23" s="377"/>
      <c r="BM23" s="377"/>
      <c r="BN23" s="750">
        <f t="shared" si="23"/>
        <v>0</v>
      </c>
      <c r="BO23" s="728"/>
      <c r="BP23" s="377"/>
      <c r="BQ23" s="377"/>
      <c r="BR23" s="750">
        <f t="shared" si="24"/>
        <v>0</v>
      </c>
      <c r="BS23" s="750"/>
      <c r="BT23" s="377"/>
      <c r="BU23" s="377"/>
      <c r="BV23" s="750">
        <f t="shared" si="25"/>
        <v>0</v>
      </c>
      <c r="BW23" s="750"/>
      <c r="BX23" s="377"/>
      <c r="BY23" s="377"/>
      <c r="BZ23" s="750">
        <f t="shared" si="26"/>
        <v>0</v>
      </c>
      <c r="CA23" s="750"/>
      <c r="CB23" s="377"/>
      <c r="CC23" s="377"/>
      <c r="CD23" s="750">
        <f t="shared" si="27"/>
        <v>0</v>
      </c>
      <c r="CE23" s="750"/>
      <c r="CF23" s="377"/>
      <c r="CG23" s="377"/>
      <c r="CH23" s="750">
        <f t="shared" si="28"/>
        <v>0</v>
      </c>
      <c r="CI23" s="750"/>
      <c r="CJ23" s="377"/>
      <c r="CK23" s="377"/>
      <c r="CL23" s="750">
        <f t="shared" si="29"/>
        <v>0</v>
      </c>
      <c r="CM23" s="386"/>
      <c r="CN23" s="751"/>
      <c r="CO23" s="751"/>
      <c r="CP23" s="751">
        <f>CO23-CN23</f>
        <v>0</v>
      </c>
      <c r="CQ23" s="751"/>
      <c r="CR23" s="374"/>
      <c r="CS23" s="374"/>
      <c r="CT23" s="744">
        <f>CS23-CR23</f>
        <v>0</v>
      </c>
      <c r="CU23" s="745"/>
      <c r="CV23" s="373"/>
      <c r="CW23" s="373"/>
      <c r="CX23" s="744">
        <f t="shared" si="30"/>
        <v>0</v>
      </c>
      <c r="CY23" s="745"/>
      <c r="CZ23" s="373"/>
      <c r="DA23" s="373"/>
      <c r="DB23" s="744">
        <f t="shared" si="31"/>
        <v>0</v>
      </c>
      <c r="DC23" s="745"/>
      <c r="DG23" s="746"/>
      <c r="DH23" s="746"/>
      <c r="DI23" s="746"/>
      <c r="DJ23" s="747"/>
      <c r="DK23" s="718"/>
      <c r="DL23" s="718"/>
    </row>
    <row r="24" spans="1:116" ht="12" hidden="1" customHeight="1">
      <c r="A24" s="738"/>
      <c r="B24" s="739"/>
      <c r="C24" s="752" t="s">
        <v>539</v>
      </c>
      <c r="D24" s="753"/>
      <c r="E24" s="377">
        <f t="shared" si="32"/>
        <v>0</v>
      </c>
      <c r="F24" s="376">
        <f t="shared" si="32"/>
        <v>0</v>
      </c>
      <c r="G24" s="749">
        <f t="shared" si="7"/>
        <v>0</v>
      </c>
      <c r="H24" s="749">
        <v>0</v>
      </c>
      <c r="I24" s="377"/>
      <c r="J24" s="377"/>
      <c r="K24" s="750">
        <f t="shared" si="10"/>
        <v>0</v>
      </c>
      <c r="L24" s="750"/>
      <c r="M24" s="377"/>
      <c r="N24" s="377"/>
      <c r="O24" s="750">
        <f t="shared" si="11"/>
        <v>0</v>
      </c>
      <c r="P24" s="750"/>
      <c r="Q24" s="377"/>
      <c r="R24" s="377"/>
      <c r="S24" s="750">
        <f t="shared" si="12"/>
        <v>0</v>
      </c>
      <c r="T24" s="750"/>
      <c r="U24" s="377"/>
      <c r="V24" s="377"/>
      <c r="W24" s="750">
        <f t="shared" si="13"/>
        <v>0</v>
      </c>
      <c r="X24" s="750"/>
      <c r="Y24" s="377">
        <f t="shared" si="8"/>
        <v>0</v>
      </c>
      <c r="Z24" s="377">
        <f t="shared" si="8"/>
        <v>0</v>
      </c>
      <c r="AA24" s="750">
        <f t="shared" si="14"/>
        <v>0</v>
      </c>
      <c r="AB24" s="750"/>
      <c r="AC24" s="377"/>
      <c r="AD24" s="377"/>
      <c r="AE24" s="750">
        <f t="shared" si="33"/>
        <v>0</v>
      </c>
      <c r="AF24" s="750"/>
      <c r="AG24" s="377"/>
      <c r="AH24" s="377"/>
      <c r="AI24" s="750">
        <f t="shared" si="16"/>
        <v>0</v>
      </c>
      <c r="AJ24" s="377"/>
      <c r="AK24" s="377"/>
      <c r="AL24" s="750">
        <f t="shared" si="17"/>
        <v>0</v>
      </c>
      <c r="AM24" s="750"/>
      <c r="AN24" s="377"/>
      <c r="AO24" s="377"/>
      <c r="AP24" s="750">
        <f t="shared" si="18"/>
        <v>0</v>
      </c>
      <c r="AQ24" s="750"/>
      <c r="AR24" s="750"/>
      <c r="AS24" s="750"/>
      <c r="AT24" s="750"/>
      <c r="AU24" s="750"/>
      <c r="AV24" s="377"/>
      <c r="AW24" s="377"/>
      <c r="AX24" s="750">
        <f t="shared" si="19"/>
        <v>0</v>
      </c>
      <c r="AY24" s="750"/>
      <c r="AZ24" s="377"/>
      <c r="BA24" s="377"/>
      <c r="BB24" s="750">
        <f t="shared" si="20"/>
        <v>0</v>
      </c>
      <c r="BC24" s="750"/>
      <c r="BD24" s="377"/>
      <c r="BE24" s="377"/>
      <c r="BF24" s="750">
        <f t="shared" si="21"/>
        <v>0</v>
      </c>
      <c r="BG24" s="750"/>
      <c r="BH24" s="377"/>
      <c r="BI24" s="377"/>
      <c r="BJ24" s="750">
        <f t="shared" si="22"/>
        <v>0</v>
      </c>
      <c r="BK24" s="750"/>
      <c r="BL24" s="377"/>
      <c r="BM24" s="377"/>
      <c r="BN24" s="750">
        <f t="shared" si="23"/>
        <v>0</v>
      </c>
      <c r="BO24" s="728"/>
      <c r="BP24" s="377"/>
      <c r="BQ24" s="377"/>
      <c r="BR24" s="750">
        <f t="shared" si="24"/>
        <v>0</v>
      </c>
      <c r="BS24" s="750"/>
      <c r="BT24" s="377"/>
      <c r="BU24" s="377"/>
      <c r="BV24" s="750">
        <f t="shared" si="25"/>
        <v>0</v>
      </c>
      <c r="BW24" s="750"/>
      <c r="BX24" s="377"/>
      <c r="BY24" s="377"/>
      <c r="BZ24" s="750">
        <f t="shared" si="26"/>
        <v>0</v>
      </c>
      <c r="CA24" s="750"/>
      <c r="CB24" s="377"/>
      <c r="CC24" s="377"/>
      <c r="CD24" s="750">
        <f t="shared" si="27"/>
        <v>0</v>
      </c>
      <c r="CE24" s="750"/>
      <c r="CF24" s="377"/>
      <c r="CG24" s="377"/>
      <c r="CH24" s="750">
        <f t="shared" si="28"/>
        <v>0</v>
      </c>
      <c r="CI24" s="750"/>
      <c r="CJ24" s="377"/>
      <c r="CK24" s="377"/>
      <c r="CL24" s="750">
        <f t="shared" si="29"/>
        <v>0</v>
      </c>
      <c r="CM24" s="386"/>
      <c r="CN24" s="751"/>
      <c r="CO24" s="751"/>
      <c r="CP24" s="751"/>
      <c r="CQ24" s="751"/>
      <c r="CR24" s="374"/>
      <c r="CS24" s="374"/>
      <c r="CT24" s="744"/>
      <c r="CU24" s="745"/>
      <c r="CV24" s="373"/>
      <c r="CW24" s="373"/>
      <c r="CX24" s="744">
        <f t="shared" si="30"/>
        <v>0</v>
      </c>
      <c r="CY24" s="745"/>
      <c r="CZ24" s="373"/>
      <c r="DA24" s="373"/>
      <c r="DB24" s="744">
        <f t="shared" si="31"/>
        <v>0</v>
      </c>
      <c r="DC24" s="745"/>
      <c r="DG24" s="746"/>
      <c r="DH24" s="746"/>
      <c r="DI24" s="746"/>
      <c r="DJ24" s="747"/>
      <c r="DK24" s="718"/>
      <c r="DL24" s="718"/>
    </row>
    <row r="25" spans="1:116" ht="12" hidden="1" customHeight="1">
      <c r="A25" s="738"/>
      <c r="B25" s="739">
        <v>1701010288</v>
      </c>
      <c r="C25" s="752" t="s">
        <v>540</v>
      </c>
      <c r="D25" s="753">
        <v>0</v>
      </c>
      <c r="E25" s="377">
        <v>7.4</v>
      </c>
      <c r="F25" s="376">
        <f t="shared" si="32"/>
        <v>0</v>
      </c>
      <c r="G25" s="749">
        <f t="shared" si="7"/>
        <v>-7.4</v>
      </c>
      <c r="H25" s="749">
        <v>0</v>
      </c>
      <c r="I25" s="377"/>
      <c r="J25" s="377"/>
      <c r="K25" s="750">
        <f t="shared" si="10"/>
        <v>0</v>
      </c>
      <c r="L25" s="750"/>
      <c r="M25" s="377"/>
      <c r="N25" s="377"/>
      <c r="O25" s="750">
        <f t="shared" si="11"/>
        <v>0</v>
      </c>
      <c r="P25" s="750"/>
      <c r="Q25" s="377"/>
      <c r="R25" s="377"/>
      <c r="S25" s="750">
        <f t="shared" si="12"/>
        <v>0</v>
      </c>
      <c r="T25" s="750"/>
      <c r="U25" s="377"/>
      <c r="V25" s="377"/>
      <c r="W25" s="750">
        <f t="shared" si="13"/>
        <v>0</v>
      </c>
      <c r="X25" s="750"/>
      <c r="Y25" s="377">
        <f t="shared" si="8"/>
        <v>0</v>
      </c>
      <c r="Z25" s="377">
        <f t="shared" si="8"/>
        <v>0</v>
      </c>
      <c r="AA25" s="750">
        <f t="shared" si="14"/>
        <v>0</v>
      </c>
      <c r="AB25" s="750"/>
      <c r="AC25" s="377"/>
      <c r="AD25" s="377"/>
      <c r="AE25" s="750">
        <f t="shared" si="33"/>
        <v>0</v>
      </c>
      <c r="AF25" s="750"/>
      <c r="AG25" s="377"/>
      <c r="AH25" s="377"/>
      <c r="AI25" s="750">
        <f t="shared" si="16"/>
        <v>0</v>
      </c>
      <c r="AJ25" s="377"/>
      <c r="AK25" s="377"/>
      <c r="AL25" s="750">
        <f t="shared" si="17"/>
        <v>0</v>
      </c>
      <c r="AM25" s="750"/>
      <c r="AN25" s="377"/>
      <c r="AO25" s="377"/>
      <c r="AP25" s="750">
        <f t="shared" si="18"/>
        <v>0</v>
      </c>
      <c r="AQ25" s="750"/>
      <c r="AR25" s="750"/>
      <c r="AS25" s="750"/>
      <c r="AT25" s="750">
        <f>AS25-AR25</f>
        <v>0</v>
      </c>
      <c r="AU25" s="750"/>
      <c r="AV25" s="377"/>
      <c r="AW25" s="377"/>
      <c r="AX25" s="750">
        <f t="shared" si="19"/>
        <v>0</v>
      </c>
      <c r="AY25" s="750"/>
      <c r="AZ25" s="377"/>
      <c r="BA25" s="377"/>
      <c r="BB25" s="750">
        <f t="shared" si="20"/>
        <v>0</v>
      </c>
      <c r="BC25" s="750"/>
      <c r="BD25" s="377"/>
      <c r="BE25" s="377"/>
      <c r="BF25" s="750">
        <f t="shared" si="21"/>
        <v>0</v>
      </c>
      <c r="BG25" s="750"/>
      <c r="BH25" s="377"/>
      <c r="BI25" s="377"/>
      <c r="BJ25" s="750">
        <f t="shared" si="22"/>
        <v>0</v>
      </c>
      <c r="BK25" s="750"/>
      <c r="BL25" s="376">
        <v>7.39</v>
      </c>
      <c r="BM25" s="376"/>
      <c r="BN25" s="750">
        <f t="shared" si="23"/>
        <v>-7.39</v>
      </c>
      <c r="BO25" s="728"/>
      <c r="BP25" s="377"/>
      <c r="BQ25" s="377"/>
      <c r="BR25" s="750">
        <f t="shared" si="24"/>
        <v>0</v>
      </c>
      <c r="BS25" s="750"/>
      <c r="BT25" s="377"/>
      <c r="BU25" s="377"/>
      <c r="BV25" s="750">
        <f t="shared" si="25"/>
        <v>0</v>
      </c>
      <c r="BW25" s="750"/>
      <c r="BX25" s="377"/>
      <c r="BY25" s="377"/>
      <c r="BZ25" s="750">
        <f t="shared" si="26"/>
        <v>0</v>
      </c>
      <c r="CA25" s="750"/>
      <c r="CB25" s="377"/>
      <c r="CC25" s="377"/>
      <c r="CD25" s="750">
        <f t="shared" si="27"/>
        <v>0</v>
      </c>
      <c r="CE25" s="750"/>
      <c r="CF25" s="377"/>
      <c r="CG25" s="377"/>
      <c r="CH25" s="750">
        <f t="shared" si="28"/>
        <v>0</v>
      </c>
      <c r="CI25" s="750"/>
      <c r="CJ25" s="377"/>
      <c r="CK25" s="377"/>
      <c r="CL25" s="750">
        <f t="shared" si="29"/>
        <v>0</v>
      </c>
      <c r="CM25" s="386"/>
      <c r="CN25" s="751"/>
      <c r="CO25" s="751"/>
      <c r="CP25" s="751">
        <f>CO25-CN25</f>
        <v>0</v>
      </c>
      <c r="CQ25" s="751"/>
      <c r="CR25" s="374"/>
      <c r="CS25" s="374"/>
      <c r="CT25" s="744">
        <f>CS25-CR25</f>
        <v>0</v>
      </c>
      <c r="CU25" s="745"/>
      <c r="CV25" s="373"/>
      <c r="CW25" s="373"/>
      <c r="CX25" s="744">
        <f t="shared" si="30"/>
        <v>0</v>
      </c>
      <c r="CY25" s="745"/>
      <c r="CZ25" s="373"/>
      <c r="DA25" s="373"/>
      <c r="DB25" s="744">
        <f t="shared" si="31"/>
        <v>0</v>
      </c>
      <c r="DC25" s="745"/>
      <c r="DG25" s="746"/>
      <c r="DH25" s="746"/>
      <c r="DI25" s="746"/>
      <c r="DJ25" s="747"/>
      <c r="DK25" s="718"/>
      <c r="DL25" s="718"/>
    </row>
    <row r="26" spans="1:116" ht="12.75" hidden="1" customHeight="1">
      <c r="A26" s="738"/>
      <c r="B26" s="739"/>
      <c r="C26" s="752" t="s">
        <v>695</v>
      </c>
      <c r="D26" s="753"/>
      <c r="E26" s="377">
        <f t="shared" si="32"/>
        <v>0</v>
      </c>
      <c r="F26" s="376">
        <f t="shared" si="32"/>
        <v>0</v>
      </c>
      <c r="G26" s="749">
        <f t="shared" si="7"/>
        <v>0</v>
      </c>
      <c r="H26" s="749" t="e">
        <f t="shared" ref="H26:H33" si="34">F26/E26</f>
        <v>#DIV/0!</v>
      </c>
      <c r="I26" s="377"/>
      <c r="J26" s="377"/>
      <c r="K26" s="750">
        <f t="shared" si="10"/>
        <v>0</v>
      </c>
      <c r="L26" s="750"/>
      <c r="M26" s="377"/>
      <c r="N26" s="377"/>
      <c r="O26" s="750">
        <f t="shared" si="11"/>
        <v>0</v>
      </c>
      <c r="P26" s="750"/>
      <c r="Q26" s="377"/>
      <c r="R26" s="377"/>
      <c r="S26" s="750">
        <f t="shared" si="12"/>
        <v>0</v>
      </c>
      <c r="T26" s="750"/>
      <c r="U26" s="377"/>
      <c r="V26" s="377"/>
      <c r="W26" s="750">
        <f t="shared" si="13"/>
        <v>0</v>
      </c>
      <c r="X26" s="750"/>
      <c r="Y26" s="377">
        <f t="shared" si="8"/>
        <v>0</v>
      </c>
      <c r="Z26" s="377">
        <f t="shared" si="8"/>
        <v>0</v>
      </c>
      <c r="AA26" s="750">
        <f t="shared" si="14"/>
        <v>0</v>
      </c>
      <c r="AB26" s="750"/>
      <c r="AC26" s="377"/>
      <c r="AD26" s="377"/>
      <c r="AE26" s="750">
        <f t="shared" si="33"/>
        <v>0</v>
      </c>
      <c r="AF26" s="750" t="e">
        <f>AD26/AC26</f>
        <v>#DIV/0!</v>
      </c>
      <c r="AG26" s="377"/>
      <c r="AH26" s="377"/>
      <c r="AI26" s="750">
        <f t="shared" si="16"/>
        <v>0</v>
      </c>
      <c r="AJ26" s="377"/>
      <c r="AK26" s="377"/>
      <c r="AL26" s="750">
        <f t="shared" si="17"/>
        <v>0</v>
      </c>
      <c r="AM26" s="750"/>
      <c r="AN26" s="377"/>
      <c r="AO26" s="377"/>
      <c r="AP26" s="750">
        <f t="shared" si="18"/>
        <v>0</v>
      </c>
      <c r="AQ26" s="750"/>
      <c r="AR26" s="750"/>
      <c r="AS26" s="750"/>
      <c r="AT26" s="750">
        <f>AS26-AR26</f>
        <v>0</v>
      </c>
      <c r="AU26" s="750"/>
      <c r="AV26" s="377"/>
      <c r="AW26" s="377"/>
      <c r="AX26" s="750">
        <f t="shared" si="19"/>
        <v>0</v>
      </c>
      <c r="AY26" s="750"/>
      <c r="AZ26" s="377"/>
      <c r="BA26" s="377"/>
      <c r="BB26" s="750">
        <f t="shared" si="20"/>
        <v>0</v>
      </c>
      <c r="BC26" s="750"/>
      <c r="BD26" s="377"/>
      <c r="BE26" s="377"/>
      <c r="BF26" s="750">
        <f t="shared" si="21"/>
        <v>0</v>
      </c>
      <c r="BG26" s="750"/>
      <c r="BH26" s="377"/>
      <c r="BI26" s="377"/>
      <c r="BJ26" s="750">
        <f t="shared" si="22"/>
        <v>0</v>
      </c>
      <c r="BK26" s="750"/>
      <c r="BL26" s="377"/>
      <c r="BM26" s="377"/>
      <c r="BN26" s="750">
        <f t="shared" si="23"/>
        <v>0</v>
      </c>
      <c r="BO26" s="728"/>
      <c r="BP26" s="377"/>
      <c r="BQ26" s="377"/>
      <c r="BR26" s="750">
        <f t="shared" si="24"/>
        <v>0</v>
      </c>
      <c r="BS26" s="750"/>
      <c r="BT26" s="377"/>
      <c r="BU26" s="377"/>
      <c r="BV26" s="750">
        <f t="shared" si="25"/>
        <v>0</v>
      </c>
      <c r="BW26" s="750"/>
      <c r="BX26" s="377"/>
      <c r="BY26" s="377"/>
      <c r="BZ26" s="750">
        <f t="shared" si="26"/>
        <v>0</v>
      </c>
      <c r="CA26" s="750"/>
      <c r="CB26" s="377"/>
      <c r="CC26" s="377"/>
      <c r="CD26" s="750">
        <f t="shared" si="27"/>
        <v>0</v>
      </c>
      <c r="CE26" s="750"/>
      <c r="CF26" s="377"/>
      <c r="CG26" s="377"/>
      <c r="CH26" s="750">
        <f t="shared" si="28"/>
        <v>0</v>
      </c>
      <c r="CI26" s="750"/>
      <c r="CJ26" s="377"/>
      <c r="CK26" s="377"/>
      <c r="CL26" s="750">
        <f t="shared" si="29"/>
        <v>0</v>
      </c>
      <c r="CM26" s="386"/>
      <c r="CN26" s="751"/>
      <c r="CO26" s="751"/>
      <c r="CP26" s="751">
        <f>CO26-CN26</f>
        <v>0</v>
      </c>
      <c r="CQ26" s="751"/>
      <c r="CR26" s="374"/>
      <c r="CS26" s="374"/>
      <c r="CT26" s="744">
        <f>CS26-CR26</f>
        <v>0</v>
      </c>
      <c r="CU26" s="745"/>
      <c r="CV26" s="373"/>
      <c r="CW26" s="373"/>
      <c r="CX26" s="744">
        <f t="shared" si="30"/>
        <v>0</v>
      </c>
      <c r="CY26" s="745"/>
      <c r="CZ26" s="373"/>
      <c r="DA26" s="373"/>
      <c r="DB26" s="744">
        <f t="shared" si="31"/>
        <v>0</v>
      </c>
      <c r="DC26" s="745"/>
      <c r="DG26" s="746"/>
      <c r="DH26" s="746"/>
      <c r="DI26" s="746"/>
      <c r="DJ26" s="747"/>
      <c r="DK26" s="718"/>
      <c r="DL26" s="718"/>
    </row>
    <row r="27" spans="1:116" ht="12.75" hidden="1" customHeight="1">
      <c r="A27" s="738"/>
      <c r="B27" s="739"/>
      <c r="C27" s="752" t="s">
        <v>319</v>
      </c>
      <c r="D27" s="753"/>
      <c r="E27" s="377">
        <f t="shared" si="32"/>
        <v>0</v>
      </c>
      <c r="F27" s="376">
        <f t="shared" si="32"/>
        <v>0</v>
      </c>
      <c r="G27" s="749">
        <f t="shared" si="7"/>
        <v>0</v>
      </c>
      <c r="H27" s="749" t="e">
        <f t="shared" si="34"/>
        <v>#DIV/0!</v>
      </c>
      <c r="I27" s="377"/>
      <c r="J27" s="377"/>
      <c r="K27" s="750">
        <f t="shared" si="10"/>
        <v>0</v>
      </c>
      <c r="L27" s="750"/>
      <c r="M27" s="377"/>
      <c r="N27" s="377"/>
      <c r="O27" s="750">
        <f t="shared" si="11"/>
        <v>0</v>
      </c>
      <c r="P27" s="750"/>
      <c r="Q27" s="377"/>
      <c r="R27" s="377"/>
      <c r="S27" s="750">
        <f t="shared" si="12"/>
        <v>0</v>
      </c>
      <c r="T27" s="750"/>
      <c r="U27" s="377"/>
      <c r="V27" s="377"/>
      <c r="W27" s="750">
        <f t="shared" si="13"/>
        <v>0</v>
      </c>
      <c r="X27" s="750"/>
      <c r="Y27" s="377">
        <f t="shared" si="8"/>
        <v>0</v>
      </c>
      <c r="Z27" s="377">
        <f t="shared" si="8"/>
        <v>0</v>
      </c>
      <c r="AA27" s="750">
        <f t="shared" si="14"/>
        <v>0</v>
      </c>
      <c r="AB27" s="750"/>
      <c r="AC27" s="377"/>
      <c r="AD27" s="377"/>
      <c r="AE27" s="750">
        <f t="shared" si="33"/>
        <v>0</v>
      </c>
      <c r="AF27" s="750"/>
      <c r="AG27" s="377"/>
      <c r="AH27" s="377"/>
      <c r="AI27" s="750">
        <f t="shared" si="16"/>
        <v>0</v>
      </c>
      <c r="AJ27" s="377"/>
      <c r="AK27" s="377"/>
      <c r="AL27" s="750">
        <f t="shared" si="17"/>
        <v>0</v>
      </c>
      <c r="AM27" s="750"/>
      <c r="AN27" s="377"/>
      <c r="AO27" s="377"/>
      <c r="AP27" s="750">
        <f t="shared" si="18"/>
        <v>0</v>
      </c>
      <c r="AQ27" s="750"/>
      <c r="AR27" s="750"/>
      <c r="AS27" s="750"/>
      <c r="AT27" s="750">
        <f>AS27-AR27</f>
        <v>0</v>
      </c>
      <c r="AU27" s="750"/>
      <c r="AV27" s="377"/>
      <c r="AW27" s="377"/>
      <c r="AX27" s="750">
        <f t="shared" si="19"/>
        <v>0</v>
      </c>
      <c r="AY27" s="750"/>
      <c r="AZ27" s="377"/>
      <c r="BA27" s="377"/>
      <c r="BB27" s="750">
        <f t="shared" si="20"/>
        <v>0</v>
      </c>
      <c r="BC27" s="750"/>
      <c r="BD27" s="377"/>
      <c r="BE27" s="377"/>
      <c r="BF27" s="750">
        <f t="shared" si="21"/>
        <v>0</v>
      </c>
      <c r="BG27" s="750"/>
      <c r="BH27" s="377"/>
      <c r="BI27" s="377"/>
      <c r="BJ27" s="750">
        <f t="shared" si="22"/>
        <v>0</v>
      </c>
      <c r="BK27" s="750"/>
      <c r="BL27" s="377"/>
      <c r="BM27" s="377"/>
      <c r="BN27" s="750">
        <f t="shared" si="23"/>
        <v>0</v>
      </c>
      <c r="BO27" s="728"/>
      <c r="BP27" s="377"/>
      <c r="BQ27" s="377"/>
      <c r="BR27" s="750">
        <f t="shared" si="24"/>
        <v>0</v>
      </c>
      <c r="BS27" s="750"/>
      <c r="BT27" s="377"/>
      <c r="BU27" s="377"/>
      <c r="BV27" s="750">
        <f t="shared" si="25"/>
        <v>0</v>
      </c>
      <c r="BW27" s="750"/>
      <c r="BX27" s="377"/>
      <c r="BY27" s="377"/>
      <c r="BZ27" s="750">
        <f t="shared" si="26"/>
        <v>0</v>
      </c>
      <c r="CA27" s="750"/>
      <c r="CB27" s="377"/>
      <c r="CC27" s="377"/>
      <c r="CD27" s="750">
        <f t="shared" si="27"/>
        <v>0</v>
      </c>
      <c r="CE27" s="750"/>
      <c r="CF27" s="377"/>
      <c r="CG27" s="377"/>
      <c r="CH27" s="750">
        <f t="shared" si="28"/>
        <v>0</v>
      </c>
      <c r="CI27" s="750"/>
      <c r="CJ27" s="377"/>
      <c r="CK27" s="377"/>
      <c r="CL27" s="750">
        <f t="shared" si="29"/>
        <v>0</v>
      </c>
      <c r="CM27" s="386"/>
      <c r="CN27" s="751"/>
      <c r="CO27" s="751"/>
      <c r="CP27" s="751">
        <f>CO27-CN27</f>
        <v>0</v>
      </c>
      <c r="CQ27" s="751"/>
      <c r="CR27" s="374"/>
      <c r="CS27" s="374"/>
      <c r="CT27" s="744">
        <f>CS27-CR27</f>
        <v>0</v>
      </c>
      <c r="CU27" s="745"/>
      <c r="CV27" s="373"/>
      <c r="CW27" s="373"/>
      <c r="CX27" s="744">
        <f t="shared" si="30"/>
        <v>0</v>
      </c>
      <c r="CY27" s="745"/>
      <c r="CZ27" s="373"/>
      <c r="DA27" s="373"/>
      <c r="DB27" s="744">
        <f t="shared" si="31"/>
        <v>0</v>
      </c>
      <c r="DC27" s="745"/>
      <c r="DG27" s="746"/>
      <c r="DH27" s="746"/>
      <c r="DI27" s="746"/>
      <c r="DJ27" s="747"/>
      <c r="DK27" s="718"/>
      <c r="DL27" s="718"/>
    </row>
    <row r="28" spans="1:116" ht="12.75" hidden="1" customHeight="1">
      <c r="A28" s="738"/>
      <c r="B28" s="739">
        <v>1701033729</v>
      </c>
      <c r="C28" s="752" t="s">
        <v>320</v>
      </c>
      <c r="D28" s="753"/>
      <c r="E28" s="377">
        <f t="shared" si="32"/>
        <v>0</v>
      </c>
      <c r="F28" s="376">
        <f t="shared" si="32"/>
        <v>0</v>
      </c>
      <c r="G28" s="749">
        <f t="shared" si="7"/>
        <v>0</v>
      </c>
      <c r="H28" s="749" t="e">
        <f t="shared" si="34"/>
        <v>#DIV/0!</v>
      </c>
      <c r="I28" s="377"/>
      <c r="J28" s="377"/>
      <c r="K28" s="750">
        <f t="shared" si="10"/>
        <v>0</v>
      </c>
      <c r="L28" s="750"/>
      <c r="M28" s="377"/>
      <c r="N28" s="377"/>
      <c r="O28" s="750">
        <f t="shared" si="11"/>
        <v>0</v>
      </c>
      <c r="P28" s="750"/>
      <c r="Q28" s="377"/>
      <c r="R28" s="377"/>
      <c r="S28" s="750">
        <f t="shared" si="12"/>
        <v>0</v>
      </c>
      <c r="T28" s="750"/>
      <c r="U28" s="377"/>
      <c r="V28" s="377"/>
      <c r="W28" s="750">
        <f t="shared" si="13"/>
        <v>0</v>
      </c>
      <c r="X28" s="750"/>
      <c r="Y28" s="377">
        <f t="shared" si="8"/>
        <v>0</v>
      </c>
      <c r="Z28" s="377">
        <f t="shared" si="8"/>
        <v>0</v>
      </c>
      <c r="AA28" s="750">
        <f t="shared" si="14"/>
        <v>0</v>
      </c>
      <c r="AB28" s="750"/>
      <c r="AC28" s="377"/>
      <c r="AD28" s="377"/>
      <c r="AE28" s="750"/>
      <c r="AF28" s="750"/>
      <c r="AG28" s="377"/>
      <c r="AH28" s="377"/>
      <c r="AI28" s="750">
        <f t="shared" si="16"/>
        <v>0</v>
      </c>
      <c r="AJ28" s="377"/>
      <c r="AK28" s="377"/>
      <c r="AL28" s="750">
        <f t="shared" si="17"/>
        <v>0</v>
      </c>
      <c r="AM28" s="750"/>
      <c r="AN28" s="377"/>
      <c r="AO28" s="377"/>
      <c r="AP28" s="750">
        <f t="shared" si="18"/>
        <v>0</v>
      </c>
      <c r="AQ28" s="750"/>
      <c r="AR28" s="750"/>
      <c r="AS28" s="750"/>
      <c r="AT28" s="750"/>
      <c r="AU28" s="750"/>
      <c r="AV28" s="377"/>
      <c r="AW28" s="377"/>
      <c r="AX28" s="750">
        <f t="shared" si="19"/>
        <v>0</v>
      </c>
      <c r="AY28" s="750"/>
      <c r="AZ28" s="377"/>
      <c r="BA28" s="377"/>
      <c r="BB28" s="750">
        <f t="shared" si="20"/>
        <v>0</v>
      </c>
      <c r="BC28" s="750"/>
      <c r="BD28" s="377"/>
      <c r="BE28" s="377"/>
      <c r="BF28" s="750">
        <f t="shared" si="21"/>
        <v>0</v>
      </c>
      <c r="BG28" s="750"/>
      <c r="BH28" s="377"/>
      <c r="BI28" s="377"/>
      <c r="BJ28" s="750">
        <f t="shared" si="22"/>
        <v>0</v>
      </c>
      <c r="BK28" s="750"/>
      <c r="BL28" s="377"/>
      <c r="BM28" s="377"/>
      <c r="BN28" s="750">
        <f t="shared" si="23"/>
        <v>0</v>
      </c>
      <c r="BO28" s="728"/>
      <c r="BP28" s="377"/>
      <c r="BQ28" s="377"/>
      <c r="BR28" s="750">
        <f t="shared" si="24"/>
        <v>0</v>
      </c>
      <c r="BS28" s="750"/>
      <c r="BT28" s="377"/>
      <c r="BU28" s="377"/>
      <c r="BV28" s="750">
        <f t="shared" si="25"/>
        <v>0</v>
      </c>
      <c r="BW28" s="750"/>
      <c r="BX28" s="377"/>
      <c r="BY28" s="377"/>
      <c r="BZ28" s="750">
        <f t="shared" si="26"/>
        <v>0</v>
      </c>
      <c r="CA28" s="750"/>
      <c r="CB28" s="377"/>
      <c r="CC28" s="377"/>
      <c r="CD28" s="750">
        <f t="shared" si="27"/>
        <v>0</v>
      </c>
      <c r="CE28" s="750"/>
      <c r="CF28" s="377"/>
      <c r="CG28" s="377"/>
      <c r="CH28" s="750">
        <f t="shared" si="28"/>
        <v>0</v>
      </c>
      <c r="CI28" s="750"/>
      <c r="CJ28" s="377"/>
      <c r="CK28" s="377"/>
      <c r="CL28" s="750">
        <f t="shared" si="29"/>
        <v>0</v>
      </c>
      <c r="CM28" s="386"/>
      <c r="CN28" s="751"/>
      <c r="CO28" s="751"/>
      <c r="CP28" s="751"/>
      <c r="CQ28" s="751"/>
      <c r="CR28" s="374"/>
      <c r="CS28" s="374"/>
      <c r="CT28" s="744"/>
      <c r="CU28" s="745"/>
      <c r="CV28" s="373"/>
      <c r="CW28" s="373"/>
      <c r="CX28" s="744">
        <f t="shared" si="30"/>
        <v>0</v>
      </c>
      <c r="CY28" s="745"/>
      <c r="CZ28" s="373"/>
      <c r="DA28" s="373"/>
      <c r="DB28" s="744">
        <f t="shared" si="31"/>
        <v>0</v>
      </c>
      <c r="DC28" s="745"/>
      <c r="DG28" s="746"/>
      <c r="DH28" s="746"/>
      <c r="DI28" s="746"/>
      <c r="DJ28" s="747"/>
      <c r="DK28" s="718"/>
      <c r="DL28" s="718"/>
    </row>
    <row r="29" spans="1:116" ht="12.75" hidden="1" customHeight="1">
      <c r="A29" s="738"/>
      <c r="B29" s="739"/>
      <c r="C29" s="752" t="s">
        <v>321</v>
      </c>
      <c r="D29" s="753"/>
      <c r="E29" s="377">
        <f t="shared" si="32"/>
        <v>0</v>
      </c>
      <c r="F29" s="376">
        <f t="shared" si="32"/>
        <v>0</v>
      </c>
      <c r="G29" s="749">
        <f t="shared" si="7"/>
        <v>0</v>
      </c>
      <c r="H29" s="749" t="e">
        <f t="shared" si="34"/>
        <v>#DIV/0!</v>
      </c>
      <c r="I29" s="377"/>
      <c r="J29" s="377"/>
      <c r="K29" s="750">
        <f t="shared" si="10"/>
        <v>0</v>
      </c>
      <c r="L29" s="750"/>
      <c r="M29" s="377"/>
      <c r="N29" s="377"/>
      <c r="O29" s="750">
        <f t="shared" si="11"/>
        <v>0</v>
      </c>
      <c r="P29" s="750"/>
      <c r="Q29" s="377"/>
      <c r="R29" s="377"/>
      <c r="S29" s="750">
        <f t="shared" si="12"/>
        <v>0</v>
      </c>
      <c r="T29" s="750"/>
      <c r="U29" s="377"/>
      <c r="V29" s="377"/>
      <c r="W29" s="750">
        <f t="shared" si="13"/>
        <v>0</v>
      </c>
      <c r="X29" s="750"/>
      <c r="Y29" s="377">
        <f t="shared" si="8"/>
        <v>0</v>
      </c>
      <c r="Z29" s="377">
        <f t="shared" si="8"/>
        <v>0</v>
      </c>
      <c r="AA29" s="750">
        <f t="shared" si="14"/>
        <v>0</v>
      </c>
      <c r="AB29" s="750"/>
      <c r="AC29" s="377"/>
      <c r="AD29" s="377"/>
      <c r="AE29" s="750">
        <f>AD29-AC29</f>
        <v>0</v>
      </c>
      <c r="AF29" s="750"/>
      <c r="AG29" s="377"/>
      <c r="AH29" s="377"/>
      <c r="AI29" s="750">
        <f t="shared" si="16"/>
        <v>0</v>
      </c>
      <c r="AJ29" s="377"/>
      <c r="AK29" s="377"/>
      <c r="AL29" s="750">
        <f t="shared" si="17"/>
        <v>0</v>
      </c>
      <c r="AM29" s="750"/>
      <c r="AN29" s="377"/>
      <c r="AO29" s="377"/>
      <c r="AP29" s="750">
        <f t="shared" si="18"/>
        <v>0</v>
      </c>
      <c r="AQ29" s="750"/>
      <c r="AR29" s="750"/>
      <c r="AS29" s="750"/>
      <c r="AT29" s="750">
        <f>AS29-AR29</f>
        <v>0</v>
      </c>
      <c r="AU29" s="750"/>
      <c r="AV29" s="377"/>
      <c r="AW29" s="377"/>
      <c r="AX29" s="750">
        <f t="shared" si="19"/>
        <v>0</v>
      </c>
      <c r="AY29" s="750"/>
      <c r="AZ29" s="377"/>
      <c r="BA29" s="377"/>
      <c r="BB29" s="750">
        <f t="shared" si="20"/>
        <v>0</v>
      </c>
      <c r="BC29" s="750"/>
      <c r="BD29" s="377"/>
      <c r="BE29" s="377"/>
      <c r="BF29" s="750">
        <f t="shared" si="21"/>
        <v>0</v>
      </c>
      <c r="BG29" s="750"/>
      <c r="BH29" s="377"/>
      <c r="BI29" s="377"/>
      <c r="BJ29" s="750">
        <f t="shared" si="22"/>
        <v>0</v>
      </c>
      <c r="BK29" s="750"/>
      <c r="BL29" s="377"/>
      <c r="BM29" s="377"/>
      <c r="BN29" s="750">
        <f t="shared" si="23"/>
        <v>0</v>
      </c>
      <c r="BO29" s="728"/>
      <c r="BP29" s="377"/>
      <c r="BQ29" s="377"/>
      <c r="BR29" s="750">
        <f t="shared" si="24"/>
        <v>0</v>
      </c>
      <c r="BS29" s="750"/>
      <c r="BT29" s="377"/>
      <c r="BU29" s="377"/>
      <c r="BV29" s="750">
        <f t="shared" si="25"/>
        <v>0</v>
      </c>
      <c r="BW29" s="750"/>
      <c r="BX29" s="377"/>
      <c r="BY29" s="377"/>
      <c r="BZ29" s="750">
        <f t="shared" si="26"/>
        <v>0</v>
      </c>
      <c r="CA29" s="750"/>
      <c r="CB29" s="377"/>
      <c r="CC29" s="377"/>
      <c r="CD29" s="750">
        <f t="shared" si="27"/>
        <v>0</v>
      </c>
      <c r="CE29" s="750"/>
      <c r="CF29" s="377"/>
      <c r="CG29" s="377"/>
      <c r="CH29" s="750">
        <f t="shared" si="28"/>
        <v>0</v>
      </c>
      <c r="CI29" s="750"/>
      <c r="CJ29" s="377"/>
      <c r="CK29" s="377"/>
      <c r="CL29" s="750">
        <f t="shared" si="29"/>
        <v>0</v>
      </c>
      <c r="CM29" s="386"/>
      <c r="CN29" s="751"/>
      <c r="CO29" s="751"/>
      <c r="CP29" s="751">
        <f>CO29-CN29</f>
        <v>0</v>
      </c>
      <c r="CQ29" s="751"/>
      <c r="CR29" s="374"/>
      <c r="CS29" s="374"/>
      <c r="CT29" s="744">
        <f>CS29-CR29</f>
        <v>0</v>
      </c>
      <c r="CU29" s="745"/>
      <c r="CV29" s="373"/>
      <c r="CW29" s="373"/>
      <c r="CX29" s="744">
        <f t="shared" si="30"/>
        <v>0</v>
      </c>
      <c r="CY29" s="745"/>
      <c r="CZ29" s="373"/>
      <c r="DA29" s="373"/>
      <c r="DB29" s="744">
        <f t="shared" si="31"/>
        <v>0</v>
      </c>
      <c r="DC29" s="745"/>
      <c r="DG29" s="746"/>
      <c r="DH29" s="746"/>
      <c r="DI29" s="746"/>
      <c r="DJ29" s="747"/>
      <c r="DK29" s="718"/>
      <c r="DL29" s="718"/>
    </row>
    <row r="30" spans="1:116" ht="12.75" hidden="1" customHeight="1">
      <c r="A30" s="738"/>
      <c r="B30" s="739"/>
      <c r="C30" s="752" t="s">
        <v>322</v>
      </c>
      <c r="D30" s="753"/>
      <c r="E30" s="377">
        <f t="shared" si="32"/>
        <v>0</v>
      </c>
      <c r="F30" s="376">
        <f t="shared" si="32"/>
        <v>0</v>
      </c>
      <c r="G30" s="749">
        <f t="shared" si="7"/>
        <v>0</v>
      </c>
      <c r="H30" s="749" t="e">
        <f t="shared" si="34"/>
        <v>#DIV/0!</v>
      </c>
      <c r="I30" s="377"/>
      <c r="J30" s="377"/>
      <c r="K30" s="750">
        <f t="shared" si="10"/>
        <v>0</v>
      </c>
      <c r="L30" s="750"/>
      <c r="M30" s="377"/>
      <c r="N30" s="377"/>
      <c r="O30" s="750">
        <f t="shared" si="11"/>
        <v>0</v>
      </c>
      <c r="P30" s="750"/>
      <c r="Q30" s="377"/>
      <c r="R30" s="377"/>
      <c r="S30" s="750">
        <f t="shared" si="12"/>
        <v>0</v>
      </c>
      <c r="T30" s="750"/>
      <c r="U30" s="377"/>
      <c r="V30" s="377"/>
      <c r="W30" s="750">
        <f t="shared" si="13"/>
        <v>0</v>
      </c>
      <c r="X30" s="750"/>
      <c r="Y30" s="377">
        <f t="shared" si="8"/>
        <v>0</v>
      </c>
      <c r="Z30" s="377">
        <f t="shared" si="8"/>
        <v>0</v>
      </c>
      <c r="AA30" s="750">
        <f t="shared" si="14"/>
        <v>0</v>
      </c>
      <c r="AB30" s="750"/>
      <c r="AC30" s="377"/>
      <c r="AD30" s="377"/>
      <c r="AE30" s="750"/>
      <c r="AF30" s="750"/>
      <c r="AG30" s="377"/>
      <c r="AH30" s="377"/>
      <c r="AI30" s="750">
        <f t="shared" si="16"/>
        <v>0</v>
      </c>
      <c r="AJ30" s="377"/>
      <c r="AK30" s="377"/>
      <c r="AL30" s="750">
        <f t="shared" si="17"/>
        <v>0</v>
      </c>
      <c r="AM30" s="750"/>
      <c r="AN30" s="377"/>
      <c r="AO30" s="377"/>
      <c r="AP30" s="750">
        <f t="shared" si="18"/>
        <v>0</v>
      </c>
      <c r="AQ30" s="750"/>
      <c r="AR30" s="750"/>
      <c r="AS30" s="750"/>
      <c r="AT30" s="750"/>
      <c r="AU30" s="750"/>
      <c r="AV30" s="377"/>
      <c r="AW30" s="377"/>
      <c r="AX30" s="750">
        <f t="shared" si="19"/>
        <v>0</v>
      </c>
      <c r="AY30" s="750"/>
      <c r="AZ30" s="377"/>
      <c r="BA30" s="377"/>
      <c r="BB30" s="750">
        <f t="shared" si="20"/>
        <v>0</v>
      </c>
      <c r="BC30" s="750"/>
      <c r="BD30" s="377"/>
      <c r="BE30" s="377"/>
      <c r="BF30" s="750">
        <f t="shared" si="21"/>
        <v>0</v>
      </c>
      <c r="BG30" s="750"/>
      <c r="BH30" s="377"/>
      <c r="BI30" s="377"/>
      <c r="BJ30" s="750">
        <f t="shared" si="22"/>
        <v>0</v>
      </c>
      <c r="BK30" s="750"/>
      <c r="BL30" s="377"/>
      <c r="BM30" s="377"/>
      <c r="BN30" s="750">
        <f t="shared" si="23"/>
        <v>0</v>
      </c>
      <c r="BO30" s="728"/>
      <c r="BP30" s="377"/>
      <c r="BQ30" s="377"/>
      <c r="BR30" s="750">
        <f t="shared" si="24"/>
        <v>0</v>
      </c>
      <c r="BS30" s="750"/>
      <c r="BT30" s="377"/>
      <c r="BU30" s="377"/>
      <c r="BV30" s="750">
        <f t="shared" si="25"/>
        <v>0</v>
      </c>
      <c r="BW30" s="750"/>
      <c r="BX30" s="377"/>
      <c r="BY30" s="377"/>
      <c r="BZ30" s="750">
        <f t="shared" si="26"/>
        <v>0</v>
      </c>
      <c r="CA30" s="750"/>
      <c r="CB30" s="377"/>
      <c r="CC30" s="377"/>
      <c r="CD30" s="750">
        <f t="shared" si="27"/>
        <v>0</v>
      </c>
      <c r="CE30" s="750"/>
      <c r="CF30" s="377"/>
      <c r="CG30" s="377"/>
      <c r="CH30" s="750">
        <f t="shared" si="28"/>
        <v>0</v>
      </c>
      <c r="CI30" s="750"/>
      <c r="CJ30" s="377"/>
      <c r="CK30" s="377"/>
      <c r="CL30" s="750">
        <f t="shared" si="29"/>
        <v>0</v>
      </c>
      <c r="CM30" s="386"/>
      <c r="CN30" s="751"/>
      <c r="CO30" s="751"/>
      <c r="CP30" s="751"/>
      <c r="CQ30" s="751"/>
      <c r="CR30" s="374"/>
      <c r="CS30" s="374"/>
      <c r="CT30" s="744"/>
      <c r="CU30" s="745"/>
      <c r="CV30" s="373"/>
      <c r="CW30" s="373"/>
      <c r="CX30" s="744">
        <f t="shared" si="30"/>
        <v>0</v>
      </c>
      <c r="CY30" s="745"/>
      <c r="CZ30" s="373"/>
      <c r="DA30" s="373"/>
      <c r="DB30" s="744">
        <f t="shared" si="31"/>
        <v>0</v>
      </c>
      <c r="DC30" s="745"/>
      <c r="DG30" s="746"/>
      <c r="DH30" s="746"/>
      <c r="DI30" s="746"/>
      <c r="DJ30" s="747"/>
      <c r="DK30" s="718"/>
      <c r="DL30" s="718"/>
    </row>
    <row r="31" spans="1:116" ht="12.75" customHeight="1">
      <c r="A31" s="380"/>
      <c r="B31" s="760" t="s">
        <v>897</v>
      </c>
      <c r="C31" s="380" t="s">
        <v>896</v>
      </c>
      <c r="D31" s="373"/>
      <c r="E31" s="376">
        <f t="shared" si="32"/>
        <v>0</v>
      </c>
      <c r="F31" s="376">
        <f t="shared" si="32"/>
        <v>0</v>
      </c>
      <c r="G31" s="745">
        <f t="shared" si="7"/>
        <v>0</v>
      </c>
      <c r="H31" s="745">
        <v>0</v>
      </c>
      <c r="I31" s="376"/>
      <c r="J31" s="376"/>
      <c r="K31" s="751">
        <f t="shared" si="10"/>
        <v>0</v>
      </c>
      <c r="L31" s="751"/>
      <c r="M31" s="376"/>
      <c r="N31" s="376"/>
      <c r="O31" s="751">
        <f t="shared" si="11"/>
        <v>0</v>
      </c>
      <c r="P31" s="751"/>
      <c r="Q31" s="376"/>
      <c r="R31" s="376"/>
      <c r="S31" s="751">
        <f t="shared" si="12"/>
        <v>0</v>
      </c>
      <c r="T31" s="751"/>
      <c r="U31" s="376"/>
      <c r="V31" s="376"/>
      <c r="W31" s="751">
        <f t="shared" si="13"/>
        <v>0</v>
      </c>
      <c r="X31" s="751"/>
      <c r="Y31" s="376">
        <f t="shared" si="8"/>
        <v>0</v>
      </c>
      <c r="Z31" s="376">
        <f t="shared" si="8"/>
        <v>0</v>
      </c>
      <c r="AA31" s="751">
        <f t="shared" si="14"/>
        <v>0</v>
      </c>
      <c r="AB31" s="751"/>
      <c r="AC31" s="376"/>
      <c r="AD31" s="376"/>
      <c r="AE31" s="751">
        <f>AD31-AC31</f>
        <v>0</v>
      </c>
      <c r="AF31" s="751"/>
      <c r="AG31" s="376"/>
      <c r="AH31" s="376"/>
      <c r="AI31" s="751">
        <f t="shared" si="16"/>
        <v>0</v>
      </c>
      <c r="AJ31" s="376"/>
      <c r="AK31" s="376"/>
      <c r="AL31" s="751">
        <f t="shared" si="17"/>
        <v>0</v>
      </c>
      <c r="AM31" s="751"/>
      <c r="AN31" s="376"/>
      <c r="AO31" s="376"/>
      <c r="AP31" s="751">
        <f t="shared" si="18"/>
        <v>0</v>
      </c>
      <c r="AQ31" s="751"/>
      <c r="AR31" s="751"/>
      <c r="AS31" s="751"/>
      <c r="AT31" s="751">
        <f>AS31-AR31</f>
        <v>0</v>
      </c>
      <c r="AU31" s="751"/>
      <c r="AV31" s="376"/>
      <c r="AW31" s="376"/>
      <c r="AX31" s="751">
        <f t="shared" si="19"/>
        <v>0</v>
      </c>
      <c r="AY31" s="751"/>
      <c r="AZ31" s="376"/>
      <c r="BA31" s="376"/>
      <c r="BB31" s="751">
        <f t="shared" si="20"/>
        <v>0</v>
      </c>
      <c r="BC31" s="751"/>
      <c r="BD31" s="376"/>
      <c r="BE31" s="376"/>
      <c r="BF31" s="751">
        <f t="shared" si="21"/>
        <v>0</v>
      </c>
      <c r="BG31" s="751"/>
      <c r="BH31" s="376"/>
      <c r="BI31" s="376"/>
      <c r="BJ31" s="751">
        <f t="shared" si="22"/>
        <v>0</v>
      </c>
      <c r="BK31" s="751"/>
      <c r="BL31" s="376"/>
      <c r="BM31" s="376"/>
      <c r="BN31" s="751">
        <f t="shared" si="23"/>
        <v>0</v>
      </c>
      <c r="BO31" s="728"/>
      <c r="BP31" s="376"/>
      <c r="BQ31" s="376"/>
      <c r="BR31" s="751">
        <f t="shared" si="24"/>
        <v>0</v>
      </c>
      <c r="BS31" s="751"/>
      <c r="BT31" s="376"/>
      <c r="BU31" s="376"/>
      <c r="BV31" s="751">
        <f t="shared" si="25"/>
        <v>0</v>
      </c>
      <c r="BW31" s="751"/>
      <c r="BX31" s="376"/>
      <c r="BY31" s="376"/>
      <c r="BZ31" s="751">
        <f t="shared" si="26"/>
        <v>0</v>
      </c>
      <c r="CA31" s="751"/>
      <c r="CB31" s="376"/>
      <c r="CC31" s="376"/>
      <c r="CD31" s="751">
        <f t="shared" si="27"/>
        <v>0</v>
      </c>
      <c r="CE31" s="751"/>
      <c r="CF31" s="376"/>
      <c r="CG31" s="376"/>
      <c r="CH31" s="751">
        <f t="shared" si="28"/>
        <v>0</v>
      </c>
      <c r="CI31" s="751"/>
      <c r="CJ31" s="376"/>
      <c r="CK31" s="376"/>
      <c r="CL31" s="751">
        <f t="shared" si="29"/>
        <v>0</v>
      </c>
      <c r="CM31" s="386"/>
      <c r="CN31" s="751"/>
      <c r="CO31" s="751"/>
      <c r="CP31" s="751">
        <f>CO31-CN31</f>
        <v>0</v>
      </c>
      <c r="CQ31" s="751"/>
      <c r="CR31" s="374"/>
      <c r="CS31" s="374"/>
      <c r="CT31" s="744">
        <f>CS31-CR31</f>
        <v>0</v>
      </c>
      <c r="CU31" s="745"/>
      <c r="CV31" s="373"/>
      <c r="CW31" s="373"/>
      <c r="CX31" s="744">
        <f t="shared" si="30"/>
        <v>0</v>
      </c>
      <c r="CY31" s="745"/>
      <c r="CZ31" s="373"/>
      <c r="DA31" s="373"/>
      <c r="DB31" s="744">
        <f t="shared" si="31"/>
        <v>0</v>
      </c>
      <c r="DC31" s="745"/>
      <c r="DG31" s="746"/>
      <c r="DH31" s="746"/>
      <c r="DI31" s="746"/>
      <c r="DJ31" s="747"/>
      <c r="DK31" s="718"/>
      <c r="DL31" s="718"/>
    </row>
    <row r="32" spans="1:116" ht="12.75" hidden="1" customHeight="1">
      <c r="A32" s="738"/>
      <c r="B32" s="739"/>
      <c r="C32" s="738" t="s">
        <v>323</v>
      </c>
      <c r="D32" s="377"/>
      <c r="E32" s="377">
        <f t="shared" si="32"/>
        <v>0</v>
      </c>
      <c r="F32" s="377">
        <f t="shared" si="32"/>
        <v>0</v>
      </c>
      <c r="G32" s="749">
        <f t="shared" si="7"/>
        <v>0</v>
      </c>
      <c r="H32" s="749" t="e">
        <f t="shared" si="34"/>
        <v>#DIV/0!</v>
      </c>
      <c r="I32" s="377"/>
      <c r="J32" s="377"/>
      <c r="K32" s="750">
        <f t="shared" si="10"/>
        <v>0</v>
      </c>
      <c r="L32" s="750"/>
      <c r="M32" s="377"/>
      <c r="N32" s="377"/>
      <c r="O32" s="750">
        <f t="shared" si="11"/>
        <v>0</v>
      </c>
      <c r="P32" s="750"/>
      <c r="Q32" s="377"/>
      <c r="R32" s="377"/>
      <c r="S32" s="750">
        <f t="shared" si="12"/>
        <v>0</v>
      </c>
      <c r="T32" s="750"/>
      <c r="U32" s="377"/>
      <c r="V32" s="377"/>
      <c r="W32" s="750">
        <f t="shared" si="13"/>
        <v>0</v>
      </c>
      <c r="X32" s="750"/>
      <c r="Y32" s="377">
        <f t="shared" si="8"/>
        <v>0</v>
      </c>
      <c r="Z32" s="377">
        <f t="shared" si="8"/>
        <v>0</v>
      </c>
      <c r="AA32" s="750">
        <f t="shared" si="14"/>
        <v>0</v>
      </c>
      <c r="AB32" s="750"/>
      <c r="AC32" s="377"/>
      <c r="AD32" s="377"/>
      <c r="AE32" s="750">
        <f>AD32-AC32</f>
        <v>0</v>
      </c>
      <c r="AF32" s="750"/>
      <c r="AG32" s="377"/>
      <c r="AH32" s="377"/>
      <c r="AI32" s="750">
        <f t="shared" si="16"/>
        <v>0</v>
      </c>
      <c r="AJ32" s="377"/>
      <c r="AK32" s="377"/>
      <c r="AL32" s="750">
        <f t="shared" si="17"/>
        <v>0</v>
      </c>
      <c r="AM32" s="750"/>
      <c r="AN32" s="377"/>
      <c r="AO32" s="377"/>
      <c r="AP32" s="750">
        <f t="shared" si="18"/>
        <v>0</v>
      </c>
      <c r="AQ32" s="750"/>
      <c r="AR32" s="750"/>
      <c r="AS32" s="750"/>
      <c r="AT32" s="750">
        <f>AS32-AR32</f>
        <v>0</v>
      </c>
      <c r="AU32" s="750"/>
      <c r="AV32" s="377"/>
      <c r="AW32" s="377"/>
      <c r="AX32" s="750">
        <f t="shared" si="19"/>
        <v>0</v>
      </c>
      <c r="AY32" s="750"/>
      <c r="AZ32" s="377"/>
      <c r="BA32" s="377"/>
      <c r="BB32" s="750">
        <f t="shared" si="20"/>
        <v>0</v>
      </c>
      <c r="BC32" s="750"/>
      <c r="BD32" s="377"/>
      <c r="BE32" s="377"/>
      <c r="BF32" s="750">
        <f t="shared" si="21"/>
        <v>0</v>
      </c>
      <c r="BG32" s="750"/>
      <c r="BH32" s="377"/>
      <c r="BI32" s="377"/>
      <c r="BJ32" s="750">
        <f t="shared" si="22"/>
        <v>0</v>
      </c>
      <c r="BK32" s="750"/>
      <c r="BL32" s="377"/>
      <c r="BM32" s="377"/>
      <c r="BN32" s="750">
        <f t="shared" si="23"/>
        <v>0</v>
      </c>
      <c r="BO32" s="728"/>
      <c r="BP32" s="377"/>
      <c r="BQ32" s="377"/>
      <c r="BR32" s="750">
        <f t="shared" si="24"/>
        <v>0</v>
      </c>
      <c r="BS32" s="750"/>
      <c r="BT32" s="377"/>
      <c r="BU32" s="377"/>
      <c r="BV32" s="750">
        <f t="shared" si="25"/>
        <v>0</v>
      </c>
      <c r="BW32" s="750"/>
      <c r="BX32" s="377"/>
      <c r="BY32" s="377"/>
      <c r="BZ32" s="750">
        <f t="shared" si="26"/>
        <v>0</v>
      </c>
      <c r="CA32" s="750"/>
      <c r="CB32" s="377"/>
      <c r="CC32" s="377"/>
      <c r="CD32" s="750">
        <f t="shared" si="27"/>
        <v>0</v>
      </c>
      <c r="CE32" s="750"/>
      <c r="CF32" s="377"/>
      <c r="CG32" s="377"/>
      <c r="CH32" s="750">
        <f t="shared" si="28"/>
        <v>0</v>
      </c>
      <c r="CI32" s="750"/>
      <c r="CJ32" s="377"/>
      <c r="CK32" s="377"/>
      <c r="CL32" s="750">
        <f t="shared" si="29"/>
        <v>0</v>
      </c>
      <c r="CM32" s="386"/>
      <c r="CN32" s="751"/>
      <c r="CO32" s="751"/>
      <c r="CP32" s="751">
        <f>CO32-CN32</f>
        <v>0</v>
      </c>
      <c r="CQ32" s="751"/>
      <c r="CR32" s="374"/>
      <c r="CS32" s="374"/>
      <c r="CT32" s="744">
        <f>CS32-CR32</f>
        <v>0</v>
      </c>
      <c r="CU32" s="745" t="e">
        <f>CS32/CR32</f>
        <v>#DIV/0!</v>
      </c>
      <c r="CV32" s="373"/>
      <c r="CW32" s="373"/>
      <c r="CX32" s="744">
        <f t="shared" si="30"/>
        <v>0</v>
      </c>
      <c r="CY32" s="745"/>
      <c r="CZ32" s="373"/>
      <c r="DA32" s="373"/>
      <c r="DB32" s="744">
        <f t="shared" si="31"/>
        <v>0</v>
      </c>
      <c r="DC32" s="745"/>
      <c r="DG32" s="746"/>
      <c r="DH32" s="746"/>
      <c r="DI32" s="746"/>
      <c r="DJ32" s="747"/>
      <c r="DK32" s="718"/>
      <c r="DL32" s="718"/>
    </row>
    <row r="33" spans="1:116" ht="12.75" hidden="1" customHeight="1">
      <c r="A33" s="738"/>
      <c r="B33" s="739">
        <v>1701051164</v>
      </c>
      <c r="C33" s="738" t="s">
        <v>542</v>
      </c>
      <c r="D33" s="748"/>
      <c r="E33" s="377">
        <f t="shared" si="32"/>
        <v>0</v>
      </c>
      <c r="F33" s="377">
        <f>J33+N33+R33+V33+Z33+AK33+AO33+AS33+AW33+BE33+BI33+BY33+CG33+CK33+CO33+CS33+CW33+DA33+BM33+BU33</f>
        <v>0</v>
      </c>
      <c r="G33" s="750">
        <f t="shared" si="7"/>
        <v>0</v>
      </c>
      <c r="H33" s="749" t="e">
        <f t="shared" si="34"/>
        <v>#DIV/0!</v>
      </c>
      <c r="I33" s="377"/>
      <c r="J33" s="377"/>
      <c r="K33" s="750">
        <f t="shared" si="10"/>
        <v>0</v>
      </c>
      <c r="L33" s="750"/>
      <c r="M33" s="377"/>
      <c r="N33" s="377"/>
      <c r="O33" s="750">
        <f t="shared" si="11"/>
        <v>0</v>
      </c>
      <c r="P33" s="750"/>
      <c r="Q33" s="377"/>
      <c r="R33" s="377"/>
      <c r="S33" s="750">
        <f t="shared" si="12"/>
        <v>0</v>
      </c>
      <c r="T33" s="750"/>
      <c r="U33" s="377"/>
      <c r="V33" s="377"/>
      <c r="W33" s="750">
        <f t="shared" si="13"/>
        <v>0</v>
      </c>
      <c r="X33" s="750"/>
      <c r="Y33" s="377">
        <f t="shared" si="8"/>
        <v>0</v>
      </c>
      <c r="Z33" s="377">
        <f t="shared" si="8"/>
        <v>0</v>
      </c>
      <c r="AA33" s="750">
        <f t="shared" si="14"/>
        <v>0</v>
      </c>
      <c r="AB33" s="750"/>
      <c r="AC33" s="377"/>
      <c r="AD33" s="377"/>
      <c r="AE33" s="750">
        <f>AD33-AC33</f>
        <v>0</v>
      </c>
      <c r="AF33" s="750"/>
      <c r="AG33" s="377"/>
      <c r="AH33" s="377"/>
      <c r="AI33" s="750">
        <f t="shared" si="16"/>
        <v>0</v>
      </c>
      <c r="AJ33" s="377"/>
      <c r="AK33" s="377"/>
      <c r="AL33" s="750">
        <f t="shared" si="17"/>
        <v>0</v>
      </c>
      <c r="AM33" s="750"/>
      <c r="AN33" s="377"/>
      <c r="AO33" s="377"/>
      <c r="AP33" s="750">
        <f t="shared" si="18"/>
        <v>0</v>
      </c>
      <c r="AQ33" s="750"/>
      <c r="AR33" s="750"/>
      <c r="AS33" s="750"/>
      <c r="AT33" s="750">
        <f>AS33-AR33</f>
        <v>0</v>
      </c>
      <c r="AU33" s="750"/>
      <c r="AV33" s="377"/>
      <c r="AW33" s="377"/>
      <c r="AX33" s="750">
        <f t="shared" si="19"/>
        <v>0</v>
      </c>
      <c r="AY33" s="750"/>
      <c r="AZ33" s="377"/>
      <c r="BA33" s="377"/>
      <c r="BB33" s="750">
        <f t="shared" si="20"/>
        <v>0</v>
      </c>
      <c r="BC33" s="750"/>
      <c r="BD33" s="377"/>
      <c r="BE33" s="377"/>
      <c r="BF33" s="750">
        <f t="shared" si="21"/>
        <v>0</v>
      </c>
      <c r="BG33" s="750"/>
      <c r="BH33" s="377"/>
      <c r="BI33" s="377"/>
      <c r="BJ33" s="750">
        <f t="shared" si="22"/>
        <v>0</v>
      </c>
      <c r="BK33" s="750"/>
      <c r="BL33" s="377"/>
      <c r="BM33" s="377"/>
      <c r="BN33" s="750">
        <f t="shared" si="23"/>
        <v>0</v>
      </c>
      <c r="BO33" s="728"/>
      <c r="BP33" s="377"/>
      <c r="BQ33" s="377"/>
      <c r="BR33" s="750">
        <f t="shared" si="24"/>
        <v>0</v>
      </c>
      <c r="BS33" s="750"/>
      <c r="BT33" s="377"/>
      <c r="BU33" s="377"/>
      <c r="BV33" s="750">
        <f t="shared" si="25"/>
        <v>0</v>
      </c>
      <c r="BW33" s="750"/>
      <c r="BX33" s="377"/>
      <c r="BY33" s="377"/>
      <c r="BZ33" s="750">
        <f t="shared" si="26"/>
        <v>0</v>
      </c>
      <c r="CA33" s="750"/>
      <c r="CB33" s="377"/>
      <c r="CC33" s="377"/>
      <c r="CD33" s="750">
        <f t="shared" si="27"/>
        <v>0</v>
      </c>
      <c r="CE33" s="750"/>
      <c r="CF33" s="377"/>
      <c r="CG33" s="377"/>
      <c r="CH33" s="750">
        <f t="shared" si="28"/>
        <v>0</v>
      </c>
      <c r="CI33" s="750"/>
      <c r="CJ33" s="377"/>
      <c r="CK33" s="377"/>
      <c r="CL33" s="750">
        <f t="shared" si="29"/>
        <v>0</v>
      </c>
      <c r="CM33" s="386"/>
      <c r="CN33" s="751"/>
      <c r="CO33" s="751"/>
      <c r="CP33" s="751">
        <f>CO33-CN33</f>
        <v>0</v>
      </c>
      <c r="CQ33" s="751"/>
      <c r="CR33" s="374"/>
      <c r="CS33" s="374"/>
      <c r="CT33" s="744">
        <f>CS33-CR33</f>
        <v>0</v>
      </c>
      <c r="CU33" s="745" t="e">
        <f>CS33/CR33</f>
        <v>#DIV/0!</v>
      </c>
      <c r="CV33" s="373"/>
      <c r="CW33" s="373"/>
      <c r="CX33" s="744">
        <f t="shared" si="30"/>
        <v>0</v>
      </c>
      <c r="CY33" s="745"/>
      <c r="CZ33" s="373"/>
      <c r="DA33" s="373"/>
      <c r="DB33" s="744">
        <f t="shared" si="31"/>
        <v>0</v>
      </c>
      <c r="DC33" s="745"/>
      <c r="DG33" s="746"/>
      <c r="DH33" s="746"/>
      <c r="DI33" s="746"/>
      <c r="DJ33" s="747"/>
      <c r="DK33" s="718"/>
      <c r="DL33" s="718"/>
    </row>
    <row r="34" spans="1:116" s="734" customFormat="1" ht="22.5" customHeight="1">
      <c r="A34" s="723" t="s">
        <v>324</v>
      </c>
      <c r="B34" s="724"/>
      <c r="C34" s="725" t="s">
        <v>325</v>
      </c>
      <c r="D34" s="761">
        <f>SUM(D36:D70)</f>
        <v>147.79999999999998</v>
      </c>
      <c r="E34" s="755">
        <f>SUM(E36:E70)</f>
        <v>468.5</v>
      </c>
      <c r="F34" s="755">
        <f>SUM(F36:F70)</f>
        <v>65.329000000000008</v>
      </c>
      <c r="G34" s="756">
        <f>F34-E34</f>
        <v>-403.17099999999999</v>
      </c>
      <c r="H34" s="756">
        <f>F34/E34</f>
        <v>0.13944290288153682</v>
      </c>
      <c r="I34" s="755">
        <f>SUM(I36:I70)</f>
        <v>288.95599999999996</v>
      </c>
      <c r="J34" s="755">
        <f>SUM(J36:J70)</f>
        <v>0</v>
      </c>
      <c r="K34" s="750">
        <f t="shared" si="10"/>
        <v>-288.95599999999996</v>
      </c>
      <c r="L34" s="750"/>
      <c r="M34" s="755">
        <f>SUM(M36:M70)</f>
        <v>47.417000000000002</v>
      </c>
      <c r="N34" s="755">
        <f>SUM(N36:N70)</f>
        <v>0</v>
      </c>
      <c r="O34" s="757">
        <f t="shared" si="11"/>
        <v>-47.417000000000002</v>
      </c>
      <c r="P34" s="757"/>
      <c r="Q34" s="755">
        <f>SUM(Q36:Q70)</f>
        <v>28.192</v>
      </c>
      <c r="R34" s="755">
        <f>SUM(R36:R70)</f>
        <v>0</v>
      </c>
      <c r="S34" s="757">
        <f t="shared" si="12"/>
        <v>-28.192</v>
      </c>
      <c r="T34" s="757"/>
      <c r="U34" s="755">
        <f>SUM(U36:U70)</f>
        <v>42.87</v>
      </c>
      <c r="V34" s="755">
        <f>SUM(V36:V70)</f>
        <v>0</v>
      </c>
      <c r="W34" s="757">
        <f t="shared" si="13"/>
        <v>-42.87</v>
      </c>
      <c r="X34" s="757"/>
      <c r="Y34" s="755">
        <f t="shared" si="8"/>
        <v>0</v>
      </c>
      <c r="Z34" s="755">
        <f t="shared" si="8"/>
        <v>0</v>
      </c>
      <c r="AA34" s="757">
        <f t="shared" si="14"/>
        <v>0</v>
      </c>
      <c r="AB34" s="757"/>
      <c r="AC34" s="755">
        <f>SUM(AC36:AC70)</f>
        <v>0</v>
      </c>
      <c r="AD34" s="755">
        <f>SUM(AD36:AD70)</f>
        <v>0</v>
      </c>
      <c r="AE34" s="757">
        <f>AD34-AC34</f>
        <v>0</v>
      </c>
      <c r="AF34" s="757" t="e">
        <f>AD34/AC34</f>
        <v>#DIV/0!</v>
      </c>
      <c r="AG34" s="755">
        <f>SUM(AG36:AG70)</f>
        <v>0</v>
      </c>
      <c r="AH34" s="755">
        <f>SUM(AH36:AH70)</f>
        <v>0</v>
      </c>
      <c r="AI34" s="757">
        <f t="shared" si="16"/>
        <v>0</v>
      </c>
      <c r="AJ34" s="755">
        <f>SUM(AJ36:AJ70)</f>
        <v>0</v>
      </c>
      <c r="AK34" s="755">
        <f>SUM(AK36:AK70)</f>
        <v>0</v>
      </c>
      <c r="AL34" s="757">
        <f t="shared" si="17"/>
        <v>0</v>
      </c>
      <c r="AM34" s="757"/>
      <c r="AN34" s="755">
        <f>SUM(AN36:AN70)</f>
        <v>0</v>
      </c>
      <c r="AO34" s="755">
        <f>SUM(AO36:AO70)</f>
        <v>0</v>
      </c>
      <c r="AP34" s="757">
        <f t="shared" si="18"/>
        <v>0</v>
      </c>
      <c r="AQ34" s="757"/>
      <c r="AR34" s="755">
        <f>SUM(AR36:AR70)</f>
        <v>0</v>
      </c>
      <c r="AS34" s="755">
        <f>SUM(AS36:AS70)</f>
        <v>0</v>
      </c>
      <c r="AT34" s="757">
        <f>AS34-AR34</f>
        <v>0</v>
      </c>
      <c r="AU34" s="757"/>
      <c r="AV34" s="755">
        <f>SUM(AV36:AV70)</f>
        <v>1.4999999999999999E-2</v>
      </c>
      <c r="AW34" s="755">
        <f>SUM(AW36:AW70)</f>
        <v>1.4999999999999999E-2</v>
      </c>
      <c r="AX34" s="757">
        <f t="shared" si="19"/>
        <v>0</v>
      </c>
      <c r="AY34" s="757"/>
      <c r="AZ34" s="755">
        <f>SUM(AZ36:AZ70)</f>
        <v>0</v>
      </c>
      <c r="BA34" s="755">
        <f>SUM(BA36:BA70)</f>
        <v>0</v>
      </c>
      <c r="BB34" s="757">
        <f t="shared" si="20"/>
        <v>0</v>
      </c>
      <c r="BC34" s="757"/>
      <c r="BD34" s="755">
        <f>SUM(BD36:BD70)</f>
        <v>0</v>
      </c>
      <c r="BE34" s="755">
        <f>SUM(BE36:BE70)</f>
        <v>0</v>
      </c>
      <c r="BF34" s="757">
        <f t="shared" si="21"/>
        <v>0</v>
      </c>
      <c r="BG34" s="757"/>
      <c r="BH34" s="755">
        <f>SUM(BH36:BH70)</f>
        <v>0</v>
      </c>
      <c r="BI34" s="755">
        <f>SUM(BI36:BI70)</f>
        <v>0</v>
      </c>
      <c r="BJ34" s="757">
        <f t="shared" si="22"/>
        <v>0</v>
      </c>
      <c r="BK34" s="757"/>
      <c r="BL34" s="755">
        <f>SUM(BL36:BL70)</f>
        <v>48.995000000000005</v>
      </c>
      <c r="BM34" s="755">
        <f>SUM(BM36:BM70)</f>
        <v>61.857999999999997</v>
      </c>
      <c r="BN34" s="757">
        <f t="shared" si="23"/>
        <v>12.862999999999992</v>
      </c>
      <c r="BO34" s="728"/>
      <c r="BP34" s="755">
        <f>SUM(BP36:BP70)</f>
        <v>0</v>
      </c>
      <c r="BQ34" s="755">
        <f>SUM(BQ36:BQ70)</f>
        <v>3.456</v>
      </c>
      <c r="BR34" s="757">
        <f t="shared" si="24"/>
        <v>3.456</v>
      </c>
      <c r="BS34" s="757"/>
      <c r="BT34" s="755">
        <f>SUM(BT36:BT70)</f>
        <v>0</v>
      </c>
      <c r="BU34" s="755">
        <f>SUM(BU36:BU70)</f>
        <v>0</v>
      </c>
      <c r="BV34" s="757">
        <f t="shared" si="25"/>
        <v>0</v>
      </c>
      <c r="BW34" s="757"/>
      <c r="BX34" s="755">
        <f>SUM(BX36:BX70)</f>
        <v>0</v>
      </c>
      <c r="BY34" s="755">
        <f>SUM(BY36:BY70)</f>
        <v>0</v>
      </c>
      <c r="BZ34" s="757">
        <f t="shared" si="26"/>
        <v>0</v>
      </c>
      <c r="CA34" s="757"/>
      <c r="CB34" s="755">
        <f>SUM(CB36:CB70)</f>
        <v>0</v>
      </c>
      <c r="CC34" s="755">
        <f>SUM(CC36:CC70)</f>
        <v>0</v>
      </c>
      <c r="CD34" s="757">
        <f t="shared" si="27"/>
        <v>0</v>
      </c>
      <c r="CE34" s="757"/>
      <c r="CF34" s="755">
        <f>SUM(CF36:CF70)</f>
        <v>11.51</v>
      </c>
      <c r="CG34" s="755">
        <f>SUM(CG36:CG70)</f>
        <v>0</v>
      </c>
      <c r="CH34" s="757">
        <f t="shared" si="28"/>
        <v>-11.51</v>
      </c>
      <c r="CI34" s="757"/>
      <c r="CJ34" s="755">
        <f>SUM(CJ36:CJ70)</f>
        <v>0</v>
      </c>
      <c r="CK34" s="755">
        <f>SUM(CK36:CK70)</f>
        <v>0</v>
      </c>
      <c r="CL34" s="757">
        <f t="shared" si="29"/>
        <v>0</v>
      </c>
      <c r="CM34" s="386"/>
      <c r="CN34" s="733">
        <f>SUM(CN36:CN70)</f>
        <v>0</v>
      </c>
      <c r="CO34" s="733">
        <f>SUM(CO36:CO70)</f>
        <v>0</v>
      </c>
      <c r="CP34" s="758">
        <f>CO34-CN34</f>
        <v>0</v>
      </c>
      <c r="CQ34" s="758"/>
      <c r="CR34" s="759">
        <f>SUM(CR36:CR70)</f>
        <v>0</v>
      </c>
      <c r="CS34" s="759">
        <f>SUM(CS36:CS70)</f>
        <v>0</v>
      </c>
      <c r="CT34" s="731">
        <f>CS34-CR34</f>
        <v>0</v>
      </c>
      <c r="CU34" s="732"/>
      <c r="CV34" s="759">
        <f>SUM(CV36:CV70)</f>
        <v>0</v>
      </c>
      <c r="CW34" s="759">
        <f>SUM(CW36:CW70)</f>
        <v>0</v>
      </c>
      <c r="CX34" s="731">
        <f t="shared" si="30"/>
        <v>0</v>
      </c>
      <c r="CY34" s="732"/>
      <c r="CZ34" s="759">
        <f>SUM(CZ36:CZ70)</f>
        <v>0</v>
      </c>
      <c r="DA34" s="759">
        <f>SUM(DA36:DA70)</f>
        <v>0</v>
      </c>
      <c r="DB34" s="731">
        <f t="shared" si="31"/>
        <v>0</v>
      </c>
      <c r="DC34" s="732"/>
      <c r="DG34" s="735"/>
      <c r="DH34" s="733">
        <f>SUM(DH36:DH70)</f>
        <v>0</v>
      </c>
      <c r="DI34" s="735"/>
      <c r="DJ34" s="736"/>
      <c r="DK34" s="737"/>
      <c r="DL34" s="737"/>
    </row>
    <row r="35" spans="1:116" s="765" customFormat="1" ht="12.6" customHeight="1">
      <c r="A35" s="723"/>
      <c r="B35" s="724"/>
      <c r="C35" s="725" t="s">
        <v>326</v>
      </c>
      <c r="D35" s="754">
        <f>SUM(D36:D57)</f>
        <v>8</v>
      </c>
      <c r="E35" s="755">
        <f>SUM(E36:E57)</f>
        <v>0</v>
      </c>
      <c r="F35" s="755">
        <f>SUM(F36:F70)</f>
        <v>65.329000000000008</v>
      </c>
      <c r="G35" s="762">
        <f>SUM(G36:G57)</f>
        <v>0</v>
      </c>
      <c r="H35" s="762">
        <v>0</v>
      </c>
      <c r="I35" s="755">
        <f>SUM(I36:I57)</f>
        <v>0</v>
      </c>
      <c r="J35" s="755">
        <f>SUM(J36:J57)</f>
        <v>0</v>
      </c>
      <c r="K35" s="750">
        <f t="shared" si="10"/>
        <v>0</v>
      </c>
      <c r="L35" s="750"/>
      <c r="M35" s="755">
        <f>SUM(M36:M57)</f>
        <v>0</v>
      </c>
      <c r="N35" s="755">
        <f>SUM(N36:N57)</f>
        <v>0</v>
      </c>
      <c r="O35" s="755"/>
      <c r="P35" s="755"/>
      <c r="Q35" s="755">
        <f>SUM(Q36:Q57)</f>
        <v>0</v>
      </c>
      <c r="R35" s="755">
        <f>SUM(R36:R57)</f>
        <v>0</v>
      </c>
      <c r="S35" s="755"/>
      <c r="T35" s="755"/>
      <c r="U35" s="755">
        <f>SUM(U36:U57)</f>
        <v>0</v>
      </c>
      <c r="V35" s="755">
        <f>SUM(V36:V57)</f>
        <v>0</v>
      </c>
      <c r="W35" s="755"/>
      <c r="X35" s="755"/>
      <c r="Y35" s="755">
        <f t="shared" si="8"/>
        <v>0</v>
      </c>
      <c r="Z35" s="755">
        <f t="shared" si="8"/>
        <v>0</v>
      </c>
      <c r="AA35" s="755"/>
      <c r="AB35" s="755"/>
      <c r="AC35" s="755">
        <f>SUM(AC36:AC57)</f>
        <v>0</v>
      </c>
      <c r="AD35" s="755">
        <f>SUM(AD36:AD57)</f>
        <v>0</v>
      </c>
      <c r="AE35" s="755"/>
      <c r="AF35" s="755"/>
      <c r="AG35" s="755">
        <f>SUM(AG36:AG57)</f>
        <v>0</v>
      </c>
      <c r="AH35" s="755">
        <f>SUM(AH36:AH57)</f>
        <v>0</v>
      </c>
      <c r="AI35" s="755"/>
      <c r="AJ35" s="755">
        <f>SUM(AJ36:AJ57)</f>
        <v>0</v>
      </c>
      <c r="AK35" s="755">
        <f>SUM(AK36:AK57)</f>
        <v>0</v>
      </c>
      <c r="AL35" s="755"/>
      <c r="AM35" s="755"/>
      <c r="AN35" s="755">
        <f>SUM(AN36:AN57)</f>
        <v>0</v>
      </c>
      <c r="AO35" s="755">
        <f>SUM(AO36:AO57)</f>
        <v>0</v>
      </c>
      <c r="AP35" s="755"/>
      <c r="AQ35" s="755"/>
      <c r="AR35" s="755"/>
      <c r="AS35" s="755"/>
      <c r="AT35" s="755"/>
      <c r="AU35" s="755"/>
      <c r="AV35" s="755">
        <f>SUM(AV36:AV57)</f>
        <v>0</v>
      </c>
      <c r="AW35" s="755">
        <f>SUM(AW36:AW57)</f>
        <v>0</v>
      </c>
      <c r="AX35" s="755"/>
      <c r="AY35" s="755"/>
      <c r="AZ35" s="755">
        <f>SUM(AZ36:AZ57)</f>
        <v>0</v>
      </c>
      <c r="BA35" s="755">
        <f>SUM(BA36:BA57)</f>
        <v>0</v>
      </c>
      <c r="BB35" s="755"/>
      <c r="BC35" s="755"/>
      <c r="BD35" s="755">
        <f>SUM(BD36:BD57)</f>
        <v>0</v>
      </c>
      <c r="BE35" s="755">
        <f>SUM(BE36:BE57)</f>
        <v>0</v>
      </c>
      <c r="BF35" s="755"/>
      <c r="BG35" s="755"/>
      <c r="BH35" s="755">
        <f>SUM(BH36:BH57)</f>
        <v>0</v>
      </c>
      <c r="BI35" s="755">
        <f>SUM(BI36:BI57)</f>
        <v>0</v>
      </c>
      <c r="BJ35" s="755"/>
      <c r="BK35" s="755"/>
      <c r="BL35" s="755">
        <f>SUM(BL36:BL57)</f>
        <v>0</v>
      </c>
      <c r="BM35" s="755">
        <f>SUM(BM36:BM57)</f>
        <v>0</v>
      </c>
      <c r="BN35" s="755"/>
      <c r="BO35" s="728"/>
      <c r="BP35" s="755">
        <f>SUM(BP36:BP57)</f>
        <v>0</v>
      </c>
      <c r="BQ35" s="755">
        <f>SUM(BQ36:BQ57)</f>
        <v>0</v>
      </c>
      <c r="BR35" s="755"/>
      <c r="BS35" s="755"/>
      <c r="BT35" s="755">
        <f>SUM(BT36:BT57)</f>
        <v>0</v>
      </c>
      <c r="BU35" s="755">
        <f>SUM(BU36:BU57)</f>
        <v>0</v>
      </c>
      <c r="BV35" s="755"/>
      <c r="BW35" s="755"/>
      <c r="BX35" s="755">
        <f>SUM(BX36:BX57)</f>
        <v>0</v>
      </c>
      <c r="BY35" s="755">
        <f>SUM(BY36:BY57)</f>
        <v>0</v>
      </c>
      <c r="BZ35" s="755"/>
      <c r="CA35" s="755"/>
      <c r="CB35" s="755">
        <f>SUM(CB36:CB57)</f>
        <v>0</v>
      </c>
      <c r="CC35" s="755">
        <f>SUM(CC36:CC57)</f>
        <v>0</v>
      </c>
      <c r="CD35" s="755"/>
      <c r="CE35" s="755"/>
      <c r="CF35" s="755">
        <f>SUM(CF36:CF57)</f>
        <v>0</v>
      </c>
      <c r="CG35" s="755">
        <f>SUM(CG36:CG57)</f>
        <v>0</v>
      </c>
      <c r="CH35" s="755"/>
      <c r="CI35" s="755"/>
      <c r="CJ35" s="755">
        <f>SUM(CJ36:CJ57)</f>
        <v>0</v>
      </c>
      <c r="CK35" s="755">
        <f>SUM(CK36:CK57)</f>
        <v>0</v>
      </c>
      <c r="CL35" s="755"/>
      <c r="CM35" s="386"/>
      <c r="CN35" s="733"/>
      <c r="CO35" s="733"/>
      <c r="CP35" s="733"/>
      <c r="CQ35" s="733"/>
      <c r="CR35" s="759"/>
      <c r="CS35" s="759"/>
      <c r="CT35" s="763"/>
      <c r="CU35" s="764"/>
      <c r="CV35" s="759">
        <f>SUM(CV36:CV57)</f>
        <v>0</v>
      </c>
      <c r="CW35" s="759">
        <f>SUM(CW36:CW57)</f>
        <v>0</v>
      </c>
      <c r="CX35" s="763"/>
      <c r="CY35" s="764"/>
      <c r="CZ35" s="759">
        <f>SUM(CZ36:CZ57)</f>
        <v>0</v>
      </c>
      <c r="DA35" s="759">
        <f>SUM(DA36:DA57)</f>
        <v>0</v>
      </c>
      <c r="DB35" s="763"/>
      <c r="DC35" s="764"/>
      <c r="DG35" s="766"/>
      <c r="DH35" s="766"/>
      <c r="DI35" s="766"/>
      <c r="DJ35" s="767"/>
      <c r="DK35" s="768"/>
      <c r="DL35" s="768"/>
    </row>
    <row r="36" spans="1:116" ht="13.9" hidden="1" customHeight="1">
      <c r="A36" s="738"/>
      <c r="B36" s="739"/>
      <c r="C36" s="752" t="s">
        <v>327</v>
      </c>
      <c r="D36" s="753"/>
      <c r="E36" s="377">
        <f>I36+M36+Q36+U36+Y36+AJ36+AN36+AR36+AV36+BD36+BH36+BX36+CF36+CJ36+CN36+CR36+CV36+CZ36</f>
        <v>0</v>
      </c>
      <c r="F36" s="377">
        <f t="shared" ref="F36:F53" si="35">J36+N36+R36+V36+Z36+AK36+AO36+AS36+AW36+BE36+BI36+BY36+CG36+CK36+CO36+CS36+CW36+DA36+BM36+BU36</f>
        <v>0</v>
      </c>
      <c r="G36" s="749">
        <f t="shared" ref="G36:G68" si="36">F36-E36</f>
        <v>0</v>
      </c>
      <c r="H36" s="749" t="e">
        <f t="shared" ref="H36:H53" si="37">F36/E36</f>
        <v>#DIV/0!</v>
      </c>
      <c r="I36" s="377"/>
      <c r="J36" s="377"/>
      <c r="K36" s="750">
        <f t="shared" si="10"/>
        <v>0</v>
      </c>
      <c r="L36" s="750"/>
      <c r="M36" s="377"/>
      <c r="N36" s="377"/>
      <c r="O36" s="750">
        <f t="shared" ref="O36:O63" si="38">N36-M36</f>
        <v>0</v>
      </c>
      <c r="P36" s="750"/>
      <c r="Q36" s="377"/>
      <c r="R36" s="377"/>
      <c r="S36" s="750">
        <f t="shared" ref="S36:S63" si="39">R36-Q36</f>
        <v>0</v>
      </c>
      <c r="T36" s="750"/>
      <c r="U36" s="377"/>
      <c r="V36" s="377"/>
      <c r="W36" s="750">
        <f t="shared" ref="W36:W63" si="40">V36-U36</f>
        <v>0</v>
      </c>
      <c r="X36" s="750"/>
      <c r="Y36" s="377">
        <f t="shared" si="8"/>
        <v>0</v>
      </c>
      <c r="Z36" s="377">
        <f t="shared" si="8"/>
        <v>0</v>
      </c>
      <c r="AA36" s="750">
        <f t="shared" ref="AA36:AA66" si="41">Z36-Y36</f>
        <v>0</v>
      </c>
      <c r="AB36" s="750"/>
      <c r="AC36" s="377"/>
      <c r="AD36" s="377"/>
      <c r="AE36" s="750">
        <f t="shared" ref="AE36:AE66" si="42">AD36-AC36</f>
        <v>0</v>
      </c>
      <c r="AF36" s="750" t="e">
        <f>AD36/AC36</f>
        <v>#DIV/0!</v>
      </c>
      <c r="AG36" s="377"/>
      <c r="AH36" s="377"/>
      <c r="AI36" s="750">
        <f t="shared" ref="AI36:AI63" si="43">AH36-AG36</f>
        <v>0</v>
      </c>
      <c r="AJ36" s="377"/>
      <c r="AK36" s="377"/>
      <c r="AL36" s="750">
        <f t="shared" ref="AL36:AL61" si="44">AK36-AJ36</f>
        <v>0</v>
      </c>
      <c r="AM36" s="750"/>
      <c r="AN36" s="377"/>
      <c r="AO36" s="377"/>
      <c r="AP36" s="750">
        <f t="shared" ref="AP36:AP61" si="45">AO36-AN36</f>
        <v>0</v>
      </c>
      <c r="AQ36" s="750"/>
      <c r="AR36" s="750"/>
      <c r="AS36" s="750"/>
      <c r="AT36" s="750">
        <f t="shared" ref="AT36:AT63" si="46">AS36-AR36</f>
        <v>0</v>
      </c>
      <c r="AU36" s="750"/>
      <c r="AV36" s="377"/>
      <c r="AW36" s="377"/>
      <c r="AX36" s="750">
        <f t="shared" ref="AX36:AX61" si="47">AW36-AV36</f>
        <v>0</v>
      </c>
      <c r="AY36" s="750"/>
      <c r="AZ36" s="377"/>
      <c r="BA36" s="377"/>
      <c r="BB36" s="750">
        <f t="shared" ref="BB36:BB63" si="48">BA36-AZ36</f>
        <v>0</v>
      </c>
      <c r="BC36" s="750"/>
      <c r="BD36" s="377"/>
      <c r="BE36" s="377"/>
      <c r="BF36" s="750">
        <f t="shared" ref="BF36:BF63" si="49">BE36-BD36</f>
        <v>0</v>
      </c>
      <c r="BG36" s="750"/>
      <c r="BH36" s="377"/>
      <c r="BI36" s="377"/>
      <c r="BJ36" s="750">
        <f t="shared" ref="BJ36:BJ63" si="50">BI36-BH36</f>
        <v>0</v>
      </c>
      <c r="BK36" s="750"/>
      <c r="BL36" s="377"/>
      <c r="BM36" s="377"/>
      <c r="BN36" s="750">
        <f t="shared" ref="BN36:BN91" si="51">BM36-BL36</f>
        <v>0</v>
      </c>
      <c r="BO36" s="728"/>
      <c r="BP36" s="377"/>
      <c r="BQ36" s="377"/>
      <c r="BR36" s="750">
        <f t="shared" ref="BR36:BR66" si="52">BQ36-BP36</f>
        <v>0</v>
      </c>
      <c r="BS36" s="750"/>
      <c r="BT36" s="377"/>
      <c r="BU36" s="377"/>
      <c r="BV36" s="750">
        <f t="shared" ref="BV36:BV63" si="53">BU36-BT36</f>
        <v>0</v>
      </c>
      <c r="BW36" s="750"/>
      <c r="BX36" s="377"/>
      <c r="BY36" s="377"/>
      <c r="BZ36" s="750">
        <f t="shared" ref="BZ36:BZ63" si="54">BY36-BX36</f>
        <v>0</v>
      </c>
      <c r="CA36" s="750"/>
      <c r="CB36" s="377"/>
      <c r="CC36" s="377"/>
      <c r="CD36" s="750">
        <f t="shared" ref="CD36:CD63" si="55">CC36-CB36</f>
        <v>0</v>
      </c>
      <c r="CE36" s="750"/>
      <c r="CF36" s="377"/>
      <c r="CG36" s="377"/>
      <c r="CH36" s="750">
        <f t="shared" ref="CH36:CH63" si="56">CG36-CF36</f>
        <v>0</v>
      </c>
      <c r="CI36" s="750"/>
      <c r="CJ36" s="377"/>
      <c r="CK36" s="377"/>
      <c r="CL36" s="750">
        <f t="shared" ref="CL36:CL63" si="57">CK36-CJ36</f>
        <v>0</v>
      </c>
      <c r="CM36" s="386"/>
      <c r="CN36" s="751"/>
      <c r="CO36" s="751"/>
      <c r="CP36" s="751">
        <f t="shared" ref="CP36:CP63" si="58">CO36-CN36</f>
        <v>0</v>
      </c>
      <c r="CQ36" s="751"/>
      <c r="CR36" s="374"/>
      <c r="CS36" s="374"/>
      <c r="CT36" s="744">
        <f t="shared" ref="CT36:CT63" si="59">CS36-CR36</f>
        <v>0</v>
      </c>
      <c r="CU36" s="745"/>
      <c r="CV36" s="373"/>
      <c r="CW36" s="373"/>
      <c r="CX36" s="744">
        <f t="shared" ref="CX36:CX63" si="60">CW36-CV36</f>
        <v>0</v>
      </c>
      <c r="CY36" s="745"/>
      <c r="CZ36" s="373"/>
      <c r="DA36" s="373"/>
      <c r="DB36" s="744">
        <f t="shared" ref="DB36:DB63" si="61">DA36-CZ36</f>
        <v>0</v>
      </c>
      <c r="DC36" s="745"/>
      <c r="DG36" s="746"/>
      <c r="DH36" s="746"/>
      <c r="DI36" s="746"/>
      <c r="DJ36" s="747"/>
      <c r="DK36" s="718"/>
      <c r="DL36" s="718"/>
    </row>
    <row r="37" spans="1:116" ht="14.45" hidden="1" customHeight="1">
      <c r="A37" s="738"/>
      <c r="B37" s="739"/>
      <c r="C37" s="752" t="s">
        <v>328</v>
      </c>
      <c r="D37" s="753"/>
      <c r="E37" s="377">
        <f>I37+M37+Q37+U37+Y37+AJ37+AN37+AR37+AV37+BD37+BH37+BX37+CF37+CJ37+CN37+CR37+CV37+CZ37</f>
        <v>0</v>
      </c>
      <c r="F37" s="377">
        <f t="shared" si="35"/>
        <v>0</v>
      </c>
      <c r="G37" s="749">
        <f t="shared" si="36"/>
        <v>0</v>
      </c>
      <c r="H37" s="749" t="e">
        <f t="shared" si="37"/>
        <v>#DIV/0!</v>
      </c>
      <c r="I37" s="377"/>
      <c r="J37" s="377"/>
      <c r="K37" s="750">
        <f t="shared" si="10"/>
        <v>0</v>
      </c>
      <c r="L37" s="750"/>
      <c r="M37" s="377"/>
      <c r="N37" s="377"/>
      <c r="O37" s="750">
        <f t="shared" si="38"/>
        <v>0</v>
      </c>
      <c r="P37" s="750"/>
      <c r="Q37" s="377"/>
      <c r="R37" s="377"/>
      <c r="S37" s="750">
        <f t="shared" si="39"/>
        <v>0</v>
      </c>
      <c r="T37" s="750"/>
      <c r="U37" s="377"/>
      <c r="V37" s="377"/>
      <c r="W37" s="750">
        <f t="shared" si="40"/>
        <v>0</v>
      </c>
      <c r="X37" s="750"/>
      <c r="Y37" s="377">
        <f t="shared" si="8"/>
        <v>0</v>
      </c>
      <c r="Z37" s="377">
        <f t="shared" si="8"/>
        <v>0</v>
      </c>
      <c r="AA37" s="750">
        <f t="shared" si="41"/>
        <v>0</v>
      </c>
      <c r="AB37" s="750"/>
      <c r="AC37" s="377"/>
      <c r="AD37" s="377"/>
      <c r="AE37" s="750">
        <f t="shared" si="42"/>
        <v>0</v>
      </c>
      <c r="AF37" s="750"/>
      <c r="AG37" s="377"/>
      <c r="AH37" s="377"/>
      <c r="AI37" s="750">
        <f t="shared" si="43"/>
        <v>0</v>
      </c>
      <c r="AJ37" s="377"/>
      <c r="AK37" s="377"/>
      <c r="AL37" s="750">
        <f t="shared" si="44"/>
        <v>0</v>
      </c>
      <c r="AM37" s="750"/>
      <c r="AN37" s="377"/>
      <c r="AO37" s="377"/>
      <c r="AP37" s="750">
        <f t="shared" si="45"/>
        <v>0</v>
      </c>
      <c r="AQ37" s="750"/>
      <c r="AR37" s="750"/>
      <c r="AS37" s="750"/>
      <c r="AT37" s="750">
        <f t="shared" si="46"/>
        <v>0</v>
      </c>
      <c r="AU37" s="750"/>
      <c r="AV37" s="377"/>
      <c r="AW37" s="377"/>
      <c r="AX37" s="750">
        <f t="shared" si="47"/>
        <v>0</v>
      </c>
      <c r="AY37" s="750"/>
      <c r="AZ37" s="377"/>
      <c r="BA37" s="377"/>
      <c r="BB37" s="750">
        <f t="shared" si="48"/>
        <v>0</v>
      </c>
      <c r="BC37" s="750"/>
      <c r="BD37" s="377"/>
      <c r="BE37" s="377"/>
      <c r="BF37" s="750">
        <f t="shared" si="49"/>
        <v>0</v>
      </c>
      <c r="BG37" s="750"/>
      <c r="BH37" s="377"/>
      <c r="BI37" s="377"/>
      <c r="BJ37" s="750">
        <f t="shared" si="50"/>
        <v>0</v>
      </c>
      <c r="BK37" s="750"/>
      <c r="BL37" s="377"/>
      <c r="BM37" s="377"/>
      <c r="BN37" s="750">
        <f t="shared" si="51"/>
        <v>0</v>
      </c>
      <c r="BO37" s="728"/>
      <c r="BP37" s="377"/>
      <c r="BQ37" s="377"/>
      <c r="BR37" s="750">
        <f t="shared" si="52"/>
        <v>0</v>
      </c>
      <c r="BS37" s="750"/>
      <c r="BT37" s="377"/>
      <c r="BU37" s="377"/>
      <c r="BV37" s="750">
        <f t="shared" si="53"/>
        <v>0</v>
      </c>
      <c r="BW37" s="750"/>
      <c r="BX37" s="377"/>
      <c r="BY37" s="377"/>
      <c r="BZ37" s="750">
        <f t="shared" si="54"/>
        <v>0</v>
      </c>
      <c r="CA37" s="750"/>
      <c r="CB37" s="377"/>
      <c r="CC37" s="377"/>
      <c r="CD37" s="750">
        <f t="shared" si="55"/>
        <v>0</v>
      </c>
      <c r="CE37" s="750"/>
      <c r="CF37" s="377"/>
      <c r="CG37" s="377"/>
      <c r="CH37" s="750">
        <f t="shared" si="56"/>
        <v>0</v>
      </c>
      <c r="CI37" s="750"/>
      <c r="CJ37" s="377"/>
      <c r="CK37" s="377"/>
      <c r="CL37" s="750">
        <f t="shared" si="57"/>
        <v>0</v>
      </c>
      <c r="CM37" s="386"/>
      <c r="CN37" s="751"/>
      <c r="CO37" s="751"/>
      <c r="CP37" s="751">
        <f t="shared" si="58"/>
        <v>0</v>
      </c>
      <c r="CQ37" s="751"/>
      <c r="CR37" s="374"/>
      <c r="CS37" s="374"/>
      <c r="CT37" s="744">
        <f t="shared" si="59"/>
        <v>0</v>
      </c>
      <c r="CU37" s="745"/>
      <c r="CV37" s="373"/>
      <c r="CW37" s="373"/>
      <c r="CX37" s="744">
        <f t="shared" si="60"/>
        <v>0</v>
      </c>
      <c r="CY37" s="745"/>
      <c r="CZ37" s="373"/>
      <c r="DA37" s="373"/>
      <c r="DB37" s="744">
        <f t="shared" si="61"/>
        <v>0</v>
      </c>
      <c r="DC37" s="745"/>
      <c r="DG37" s="746"/>
      <c r="DH37" s="746"/>
      <c r="DI37" s="746"/>
      <c r="DJ37" s="747"/>
      <c r="DK37" s="718"/>
      <c r="DL37" s="718"/>
    </row>
    <row r="38" spans="1:116" ht="12.75" hidden="1" customHeight="1">
      <c r="A38" s="738"/>
      <c r="B38" s="739"/>
      <c r="C38" s="752" t="s">
        <v>329</v>
      </c>
      <c r="D38" s="753"/>
      <c r="E38" s="377">
        <f>I38+M38+Q38+U38+Y38+AJ38+AN38+AR38+AV38+BD38+BH38+BX38+CF38+CJ38+CN38+CR38+CV38+CZ38</f>
        <v>0</v>
      </c>
      <c r="F38" s="377">
        <f t="shared" si="35"/>
        <v>0</v>
      </c>
      <c r="G38" s="749">
        <f t="shared" si="36"/>
        <v>0</v>
      </c>
      <c r="H38" s="749" t="e">
        <f t="shared" si="37"/>
        <v>#DIV/0!</v>
      </c>
      <c r="I38" s="377"/>
      <c r="J38" s="377"/>
      <c r="K38" s="750">
        <f t="shared" si="10"/>
        <v>0</v>
      </c>
      <c r="L38" s="750"/>
      <c r="M38" s="377"/>
      <c r="N38" s="377"/>
      <c r="O38" s="750">
        <f t="shared" si="38"/>
        <v>0</v>
      </c>
      <c r="P38" s="750"/>
      <c r="Q38" s="377"/>
      <c r="R38" s="377"/>
      <c r="S38" s="750">
        <f t="shared" si="39"/>
        <v>0</v>
      </c>
      <c r="T38" s="750"/>
      <c r="U38" s="377"/>
      <c r="V38" s="377"/>
      <c r="W38" s="750">
        <f t="shared" si="40"/>
        <v>0</v>
      </c>
      <c r="X38" s="750"/>
      <c r="Y38" s="377">
        <f t="shared" si="8"/>
        <v>0</v>
      </c>
      <c r="Z38" s="377">
        <f t="shared" si="8"/>
        <v>0</v>
      </c>
      <c r="AA38" s="750">
        <f t="shared" si="41"/>
        <v>0</v>
      </c>
      <c r="AB38" s="750"/>
      <c r="AC38" s="377"/>
      <c r="AD38" s="377"/>
      <c r="AE38" s="750">
        <f t="shared" si="42"/>
        <v>0</v>
      </c>
      <c r="AF38" s="750"/>
      <c r="AG38" s="377"/>
      <c r="AH38" s="377"/>
      <c r="AI38" s="750">
        <f t="shared" si="43"/>
        <v>0</v>
      </c>
      <c r="AJ38" s="377"/>
      <c r="AK38" s="377"/>
      <c r="AL38" s="750">
        <f t="shared" si="44"/>
        <v>0</v>
      </c>
      <c r="AM38" s="750"/>
      <c r="AN38" s="377"/>
      <c r="AO38" s="377"/>
      <c r="AP38" s="750">
        <f t="shared" si="45"/>
        <v>0</v>
      </c>
      <c r="AQ38" s="750"/>
      <c r="AR38" s="750"/>
      <c r="AS38" s="750"/>
      <c r="AT38" s="750">
        <f t="shared" si="46"/>
        <v>0</v>
      </c>
      <c r="AU38" s="750"/>
      <c r="AV38" s="377"/>
      <c r="AW38" s="377"/>
      <c r="AX38" s="750">
        <f t="shared" si="47"/>
        <v>0</v>
      </c>
      <c r="AY38" s="750"/>
      <c r="AZ38" s="377"/>
      <c r="BA38" s="377"/>
      <c r="BB38" s="750">
        <f t="shared" si="48"/>
        <v>0</v>
      </c>
      <c r="BC38" s="750"/>
      <c r="BD38" s="377"/>
      <c r="BE38" s="377"/>
      <c r="BF38" s="750">
        <f t="shared" si="49"/>
        <v>0</v>
      </c>
      <c r="BG38" s="750"/>
      <c r="BH38" s="377"/>
      <c r="BI38" s="377"/>
      <c r="BJ38" s="750">
        <f t="shared" si="50"/>
        <v>0</v>
      </c>
      <c r="BK38" s="750"/>
      <c r="BL38" s="377"/>
      <c r="BM38" s="377"/>
      <c r="BN38" s="750">
        <f t="shared" si="51"/>
        <v>0</v>
      </c>
      <c r="BO38" s="728"/>
      <c r="BP38" s="377"/>
      <c r="BQ38" s="377"/>
      <c r="BR38" s="750">
        <f t="shared" si="52"/>
        <v>0</v>
      </c>
      <c r="BS38" s="750"/>
      <c r="BT38" s="377"/>
      <c r="BU38" s="377"/>
      <c r="BV38" s="750">
        <f t="shared" si="53"/>
        <v>0</v>
      </c>
      <c r="BW38" s="750"/>
      <c r="BX38" s="377"/>
      <c r="BY38" s="377"/>
      <c r="BZ38" s="750">
        <f t="shared" si="54"/>
        <v>0</v>
      </c>
      <c r="CA38" s="750"/>
      <c r="CB38" s="377"/>
      <c r="CC38" s="377"/>
      <c r="CD38" s="750">
        <f t="shared" si="55"/>
        <v>0</v>
      </c>
      <c r="CE38" s="750"/>
      <c r="CF38" s="377"/>
      <c r="CG38" s="377"/>
      <c r="CH38" s="750">
        <f t="shared" si="56"/>
        <v>0</v>
      </c>
      <c r="CI38" s="750"/>
      <c r="CJ38" s="377"/>
      <c r="CK38" s="377"/>
      <c r="CL38" s="750">
        <f t="shared" si="57"/>
        <v>0</v>
      </c>
      <c r="CM38" s="386"/>
      <c r="CN38" s="751"/>
      <c r="CO38" s="751"/>
      <c r="CP38" s="751">
        <f t="shared" si="58"/>
        <v>0</v>
      </c>
      <c r="CQ38" s="751"/>
      <c r="CR38" s="374"/>
      <c r="CS38" s="374"/>
      <c r="CT38" s="744">
        <f t="shared" si="59"/>
        <v>0</v>
      </c>
      <c r="CU38" s="745"/>
      <c r="CV38" s="373"/>
      <c r="CW38" s="373"/>
      <c r="CX38" s="744">
        <f t="shared" si="60"/>
        <v>0</v>
      </c>
      <c r="CY38" s="745"/>
      <c r="CZ38" s="373"/>
      <c r="DA38" s="373"/>
      <c r="DB38" s="744">
        <f t="shared" si="61"/>
        <v>0</v>
      </c>
      <c r="DC38" s="745"/>
      <c r="DG38" s="746"/>
      <c r="DH38" s="746"/>
      <c r="DI38" s="746"/>
      <c r="DJ38" s="747"/>
      <c r="DK38" s="718"/>
      <c r="DL38" s="718"/>
    </row>
    <row r="39" spans="1:116" ht="12.75" hidden="1" customHeight="1">
      <c r="A39" s="738"/>
      <c r="B39" s="739"/>
      <c r="C39" s="738" t="s">
        <v>330</v>
      </c>
      <c r="D39" s="748">
        <v>0</v>
      </c>
      <c r="E39" s="377">
        <f t="shared" ref="E39:E56" si="62">I39+M39+Q39+U39+Y39+AJ39+AN39+AR39+AV39+BD39+BH39+BX39+CF39+CJ39+CN39+CR39+CV39+CZ39+AZ39+BL39+BT39</f>
        <v>0</v>
      </c>
      <c r="F39" s="377">
        <f t="shared" si="35"/>
        <v>0</v>
      </c>
      <c r="G39" s="749">
        <f t="shared" si="36"/>
        <v>0</v>
      </c>
      <c r="H39" s="749" t="e">
        <f t="shared" si="37"/>
        <v>#DIV/0!</v>
      </c>
      <c r="I39" s="377"/>
      <c r="J39" s="377"/>
      <c r="K39" s="750">
        <f t="shared" si="10"/>
        <v>0</v>
      </c>
      <c r="L39" s="750"/>
      <c r="M39" s="377"/>
      <c r="N39" s="377"/>
      <c r="O39" s="750">
        <f t="shared" si="38"/>
        <v>0</v>
      </c>
      <c r="P39" s="750"/>
      <c r="Q39" s="377"/>
      <c r="R39" s="377"/>
      <c r="S39" s="750">
        <f t="shared" si="39"/>
        <v>0</v>
      </c>
      <c r="T39" s="750"/>
      <c r="U39" s="377"/>
      <c r="V39" s="377"/>
      <c r="W39" s="750">
        <f t="shared" si="40"/>
        <v>0</v>
      </c>
      <c r="X39" s="750"/>
      <c r="Y39" s="377">
        <f t="shared" si="8"/>
        <v>0</v>
      </c>
      <c r="Z39" s="377">
        <f t="shared" si="8"/>
        <v>0</v>
      </c>
      <c r="AA39" s="750">
        <f t="shared" si="41"/>
        <v>0</v>
      </c>
      <c r="AB39" s="750"/>
      <c r="AC39" s="377"/>
      <c r="AD39" s="377"/>
      <c r="AE39" s="750">
        <f t="shared" si="42"/>
        <v>0</v>
      </c>
      <c r="AF39" s="750" t="e">
        <f>AD39/AC39</f>
        <v>#DIV/0!</v>
      </c>
      <c r="AG39" s="377"/>
      <c r="AH39" s="377"/>
      <c r="AI39" s="750">
        <f t="shared" si="43"/>
        <v>0</v>
      </c>
      <c r="AJ39" s="377"/>
      <c r="AK39" s="377"/>
      <c r="AL39" s="750">
        <f t="shared" si="44"/>
        <v>0</v>
      </c>
      <c r="AM39" s="750"/>
      <c r="AN39" s="377"/>
      <c r="AO39" s="377"/>
      <c r="AP39" s="750">
        <f t="shared" si="45"/>
        <v>0</v>
      </c>
      <c r="AQ39" s="750"/>
      <c r="AR39" s="750"/>
      <c r="AS39" s="750"/>
      <c r="AT39" s="750">
        <f t="shared" si="46"/>
        <v>0</v>
      </c>
      <c r="AU39" s="750"/>
      <c r="AV39" s="377"/>
      <c r="AW39" s="377"/>
      <c r="AX39" s="750">
        <f t="shared" si="47"/>
        <v>0</v>
      </c>
      <c r="AY39" s="750"/>
      <c r="AZ39" s="377"/>
      <c r="BA39" s="377"/>
      <c r="BB39" s="750">
        <f t="shared" si="48"/>
        <v>0</v>
      </c>
      <c r="BC39" s="750"/>
      <c r="BD39" s="377"/>
      <c r="BE39" s="377"/>
      <c r="BF39" s="750">
        <f t="shared" si="49"/>
        <v>0</v>
      </c>
      <c r="BG39" s="750"/>
      <c r="BH39" s="377"/>
      <c r="BI39" s="377"/>
      <c r="BJ39" s="750">
        <f t="shared" si="50"/>
        <v>0</v>
      </c>
      <c r="BK39" s="750"/>
      <c r="BL39" s="377"/>
      <c r="BM39" s="377"/>
      <c r="BN39" s="750">
        <f t="shared" si="51"/>
        <v>0</v>
      </c>
      <c r="BO39" s="728"/>
      <c r="BP39" s="377"/>
      <c r="BQ39" s="377"/>
      <c r="BR39" s="750">
        <f t="shared" si="52"/>
        <v>0</v>
      </c>
      <c r="BS39" s="750"/>
      <c r="BT39" s="377"/>
      <c r="BU39" s="377"/>
      <c r="BV39" s="750">
        <f t="shared" si="53"/>
        <v>0</v>
      </c>
      <c r="BW39" s="750"/>
      <c r="BX39" s="377"/>
      <c r="BY39" s="377"/>
      <c r="BZ39" s="750">
        <f t="shared" si="54"/>
        <v>0</v>
      </c>
      <c r="CA39" s="750"/>
      <c r="CB39" s="377"/>
      <c r="CC39" s="377"/>
      <c r="CD39" s="750">
        <f t="shared" si="55"/>
        <v>0</v>
      </c>
      <c r="CE39" s="750"/>
      <c r="CF39" s="377"/>
      <c r="CG39" s="377"/>
      <c r="CH39" s="750">
        <f t="shared" si="56"/>
        <v>0</v>
      </c>
      <c r="CI39" s="750"/>
      <c r="CJ39" s="377"/>
      <c r="CK39" s="377"/>
      <c r="CL39" s="750">
        <f t="shared" si="57"/>
        <v>0</v>
      </c>
      <c r="CM39" s="386"/>
      <c r="CN39" s="751"/>
      <c r="CO39" s="751"/>
      <c r="CP39" s="751">
        <f t="shared" si="58"/>
        <v>0</v>
      </c>
      <c r="CQ39" s="751"/>
      <c r="CR39" s="374"/>
      <c r="CS39" s="374"/>
      <c r="CT39" s="744">
        <f t="shared" si="59"/>
        <v>0</v>
      </c>
      <c r="CU39" s="745"/>
      <c r="CV39" s="373"/>
      <c r="CW39" s="373"/>
      <c r="CX39" s="744">
        <f t="shared" si="60"/>
        <v>0</v>
      </c>
      <c r="CY39" s="745"/>
      <c r="CZ39" s="373"/>
      <c r="DA39" s="373"/>
      <c r="DB39" s="744">
        <f t="shared" si="61"/>
        <v>0</v>
      </c>
      <c r="DC39" s="745"/>
      <c r="DG39" s="746"/>
      <c r="DH39" s="746"/>
      <c r="DI39" s="746"/>
      <c r="DJ39" s="747"/>
      <c r="DK39" s="718"/>
      <c r="DL39" s="718"/>
    </row>
    <row r="40" spans="1:116" ht="12.75" hidden="1" customHeight="1">
      <c r="A40" s="738"/>
      <c r="B40" s="739"/>
      <c r="C40" s="738" t="s">
        <v>331</v>
      </c>
      <c r="D40" s="748"/>
      <c r="E40" s="377">
        <f t="shared" si="62"/>
        <v>0</v>
      </c>
      <c r="F40" s="377">
        <f t="shared" si="35"/>
        <v>0</v>
      </c>
      <c r="G40" s="749">
        <f t="shared" si="36"/>
        <v>0</v>
      </c>
      <c r="H40" s="749" t="e">
        <f t="shared" si="37"/>
        <v>#DIV/0!</v>
      </c>
      <c r="I40" s="377"/>
      <c r="J40" s="377"/>
      <c r="K40" s="750">
        <f t="shared" si="10"/>
        <v>0</v>
      </c>
      <c r="L40" s="750"/>
      <c r="M40" s="377"/>
      <c r="N40" s="377"/>
      <c r="O40" s="750">
        <f t="shared" si="38"/>
        <v>0</v>
      </c>
      <c r="P40" s="750"/>
      <c r="Q40" s="377"/>
      <c r="R40" s="377"/>
      <c r="S40" s="750">
        <f t="shared" si="39"/>
        <v>0</v>
      </c>
      <c r="T40" s="750"/>
      <c r="U40" s="377"/>
      <c r="V40" s="377"/>
      <c r="W40" s="750">
        <f t="shared" si="40"/>
        <v>0</v>
      </c>
      <c r="X40" s="750"/>
      <c r="Y40" s="377">
        <f t="shared" si="8"/>
        <v>0</v>
      </c>
      <c r="Z40" s="377">
        <f t="shared" si="8"/>
        <v>0</v>
      </c>
      <c r="AA40" s="750">
        <f t="shared" si="41"/>
        <v>0</v>
      </c>
      <c r="AB40" s="750"/>
      <c r="AC40" s="377"/>
      <c r="AD40" s="377"/>
      <c r="AE40" s="750">
        <f t="shared" si="42"/>
        <v>0</v>
      </c>
      <c r="AF40" s="750"/>
      <c r="AG40" s="377"/>
      <c r="AH40" s="377"/>
      <c r="AI40" s="750">
        <f t="shared" si="43"/>
        <v>0</v>
      </c>
      <c r="AJ40" s="377"/>
      <c r="AK40" s="377"/>
      <c r="AL40" s="750">
        <f t="shared" si="44"/>
        <v>0</v>
      </c>
      <c r="AM40" s="750"/>
      <c r="AN40" s="377"/>
      <c r="AO40" s="377"/>
      <c r="AP40" s="750">
        <f t="shared" si="45"/>
        <v>0</v>
      </c>
      <c r="AQ40" s="750"/>
      <c r="AR40" s="750"/>
      <c r="AS40" s="750"/>
      <c r="AT40" s="750">
        <f t="shared" si="46"/>
        <v>0</v>
      </c>
      <c r="AU40" s="750"/>
      <c r="AV40" s="377"/>
      <c r="AW40" s="377"/>
      <c r="AX40" s="750">
        <f t="shared" si="47"/>
        <v>0</v>
      </c>
      <c r="AY40" s="750"/>
      <c r="AZ40" s="377"/>
      <c r="BA40" s="377"/>
      <c r="BB40" s="750">
        <f t="shared" si="48"/>
        <v>0</v>
      </c>
      <c r="BC40" s="750"/>
      <c r="BD40" s="377"/>
      <c r="BE40" s="377"/>
      <c r="BF40" s="750">
        <f t="shared" si="49"/>
        <v>0</v>
      </c>
      <c r="BG40" s="750"/>
      <c r="BH40" s="377"/>
      <c r="BI40" s="377"/>
      <c r="BJ40" s="750">
        <f t="shared" si="50"/>
        <v>0</v>
      </c>
      <c r="BK40" s="750"/>
      <c r="BL40" s="377"/>
      <c r="BM40" s="377"/>
      <c r="BN40" s="750">
        <f t="shared" si="51"/>
        <v>0</v>
      </c>
      <c r="BO40" s="728"/>
      <c r="BP40" s="377"/>
      <c r="BQ40" s="377"/>
      <c r="BR40" s="750">
        <f t="shared" si="52"/>
        <v>0</v>
      </c>
      <c r="BS40" s="750"/>
      <c r="BT40" s="377"/>
      <c r="BU40" s="377"/>
      <c r="BV40" s="750">
        <f t="shared" si="53"/>
        <v>0</v>
      </c>
      <c r="BW40" s="750"/>
      <c r="BX40" s="377"/>
      <c r="BY40" s="377"/>
      <c r="BZ40" s="750">
        <f t="shared" si="54"/>
        <v>0</v>
      </c>
      <c r="CA40" s="750"/>
      <c r="CB40" s="377"/>
      <c r="CC40" s="377"/>
      <c r="CD40" s="750">
        <f t="shared" si="55"/>
        <v>0</v>
      </c>
      <c r="CE40" s="750"/>
      <c r="CF40" s="377"/>
      <c r="CG40" s="377"/>
      <c r="CH40" s="750">
        <f t="shared" si="56"/>
        <v>0</v>
      </c>
      <c r="CI40" s="750"/>
      <c r="CJ40" s="377"/>
      <c r="CK40" s="377"/>
      <c r="CL40" s="750">
        <f t="shared" si="57"/>
        <v>0</v>
      </c>
      <c r="CM40" s="386"/>
      <c r="CN40" s="751"/>
      <c r="CO40" s="751"/>
      <c r="CP40" s="751">
        <f t="shared" si="58"/>
        <v>0</v>
      </c>
      <c r="CQ40" s="751"/>
      <c r="CR40" s="374"/>
      <c r="CS40" s="374"/>
      <c r="CT40" s="744">
        <f t="shared" si="59"/>
        <v>0</v>
      </c>
      <c r="CU40" s="745"/>
      <c r="CV40" s="373"/>
      <c r="CW40" s="373"/>
      <c r="CX40" s="744">
        <f t="shared" si="60"/>
        <v>0</v>
      </c>
      <c r="CY40" s="745"/>
      <c r="CZ40" s="373"/>
      <c r="DA40" s="373"/>
      <c r="DB40" s="744">
        <f t="shared" si="61"/>
        <v>0</v>
      </c>
      <c r="DC40" s="745"/>
      <c r="DG40" s="746"/>
      <c r="DH40" s="746"/>
      <c r="DI40" s="746"/>
      <c r="DJ40" s="747"/>
      <c r="DK40" s="718"/>
      <c r="DL40" s="718"/>
    </row>
    <row r="41" spans="1:116" ht="13.5" hidden="1" customHeight="1">
      <c r="A41" s="738"/>
      <c r="B41" s="739"/>
      <c r="C41" s="738" t="s">
        <v>332</v>
      </c>
      <c r="D41" s="748"/>
      <c r="E41" s="377">
        <f t="shared" si="62"/>
        <v>0</v>
      </c>
      <c r="F41" s="377">
        <f t="shared" si="35"/>
        <v>0</v>
      </c>
      <c r="G41" s="749">
        <f t="shared" si="36"/>
        <v>0</v>
      </c>
      <c r="H41" s="749" t="e">
        <f t="shared" si="37"/>
        <v>#DIV/0!</v>
      </c>
      <c r="I41" s="377"/>
      <c r="J41" s="377"/>
      <c r="K41" s="750">
        <f t="shared" si="10"/>
        <v>0</v>
      </c>
      <c r="L41" s="750"/>
      <c r="M41" s="377"/>
      <c r="N41" s="377"/>
      <c r="O41" s="750">
        <f t="shared" si="38"/>
        <v>0</v>
      </c>
      <c r="P41" s="750"/>
      <c r="Q41" s="377"/>
      <c r="R41" s="377"/>
      <c r="S41" s="750">
        <f t="shared" si="39"/>
        <v>0</v>
      </c>
      <c r="T41" s="750"/>
      <c r="U41" s="377"/>
      <c r="V41" s="377"/>
      <c r="W41" s="750">
        <f t="shared" si="40"/>
        <v>0</v>
      </c>
      <c r="X41" s="750"/>
      <c r="Y41" s="377">
        <f t="shared" ref="Y41:Z66" si="63">AC41</f>
        <v>0</v>
      </c>
      <c r="Z41" s="377">
        <f t="shared" si="63"/>
        <v>0</v>
      </c>
      <c r="AA41" s="750">
        <f t="shared" si="41"/>
        <v>0</v>
      </c>
      <c r="AB41" s="750"/>
      <c r="AC41" s="377"/>
      <c r="AD41" s="377"/>
      <c r="AE41" s="750">
        <f t="shared" si="42"/>
        <v>0</v>
      </c>
      <c r="AF41" s="750" t="e">
        <f>AD41/AC41</f>
        <v>#DIV/0!</v>
      </c>
      <c r="AG41" s="377"/>
      <c r="AH41" s="377"/>
      <c r="AI41" s="750">
        <f t="shared" si="43"/>
        <v>0</v>
      </c>
      <c r="AJ41" s="377"/>
      <c r="AK41" s="377"/>
      <c r="AL41" s="750">
        <f t="shared" si="44"/>
        <v>0</v>
      </c>
      <c r="AM41" s="750"/>
      <c r="AN41" s="377"/>
      <c r="AO41" s="377"/>
      <c r="AP41" s="750">
        <f t="shared" si="45"/>
        <v>0</v>
      </c>
      <c r="AQ41" s="750"/>
      <c r="AR41" s="750"/>
      <c r="AS41" s="750"/>
      <c r="AT41" s="750">
        <f t="shared" si="46"/>
        <v>0</v>
      </c>
      <c r="AU41" s="750"/>
      <c r="AV41" s="377"/>
      <c r="AW41" s="377"/>
      <c r="AX41" s="750">
        <f t="shared" si="47"/>
        <v>0</v>
      </c>
      <c r="AY41" s="750"/>
      <c r="AZ41" s="377"/>
      <c r="BA41" s="377"/>
      <c r="BB41" s="750">
        <f t="shared" si="48"/>
        <v>0</v>
      </c>
      <c r="BC41" s="750"/>
      <c r="BD41" s="377"/>
      <c r="BE41" s="377"/>
      <c r="BF41" s="750">
        <f t="shared" si="49"/>
        <v>0</v>
      </c>
      <c r="BG41" s="750"/>
      <c r="BH41" s="377"/>
      <c r="BI41" s="377"/>
      <c r="BJ41" s="750">
        <f t="shared" si="50"/>
        <v>0</v>
      </c>
      <c r="BK41" s="750"/>
      <c r="BL41" s="377"/>
      <c r="BM41" s="377"/>
      <c r="BN41" s="750">
        <f t="shared" si="51"/>
        <v>0</v>
      </c>
      <c r="BO41" s="728"/>
      <c r="BP41" s="377"/>
      <c r="BQ41" s="377"/>
      <c r="BR41" s="750">
        <f t="shared" si="52"/>
        <v>0</v>
      </c>
      <c r="BS41" s="750"/>
      <c r="BT41" s="377"/>
      <c r="BU41" s="377"/>
      <c r="BV41" s="750">
        <f t="shared" si="53"/>
        <v>0</v>
      </c>
      <c r="BW41" s="750"/>
      <c r="BX41" s="377"/>
      <c r="BY41" s="377"/>
      <c r="BZ41" s="750">
        <f t="shared" si="54"/>
        <v>0</v>
      </c>
      <c r="CA41" s="750"/>
      <c r="CB41" s="377"/>
      <c r="CC41" s="377"/>
      <c r="CD41" s="750">
        <f t="shared" si="55"/>
        <v>0</v>
      </c>
      <c r="CE41" s="750"/>
      <c r="CF41" s="377"/>
      <c r="CG41" s="377"/>
      <c r="CH41" s="750">
        <f t="shared" si="56"/>
        <v>0</v>
      </c>
      <c r="CI41" s="750"/>
      <c r="CJ41" s="377"/>
      <c r="CK41" s="377"/>
      <c r="CL41" s="750">
        <f t="shared" si="57"/>
        <v>0</v>
      </c>
      <c r="CM41" s="386"/>
      <c r="CN41" s="751"/>
      <c r="CO41" s="751"/>
      <c r="CP41" s="751">
        <f t="shared" si="58"/>
        <v>0</v>
      </c>
      <c r="CQ41" s="751"/>
      <c r="CR41" s="374"/>
      <c r="CS41" s="374"/>
      <c r="CT41" s="744">
        <f t="shared" si="59"/>
        <v>0</v>
      </c>
      <c r="CU41" s="745"/>
      <c r="CV41" s="373"/>
      <c r="CW41" s="373"/>
      <c r="CX41" s="744">
        <f t="shared" si="60"/>
        <v>0</v>
      </c>
      <c r="CY41" s="745"/>
      <c r="CZ41" s="373"/>
      <c r="DA41" s="373"/>
      <c r="DB41" s="744">
        <f t="shared" si="61"/>
        <v>0</v>
      </c>
      <c r="DC41" s="745"/>
      <c r="DG41" s="746"/>
      <c r="DH41" s="746"/>
      <c r="DI41" s="746"/>
      <c r="DJ41" s="747"/>
      <c r="DK41" s="718"/>
      <c r="DL41" s="718"/>
    </row>
    <row r="42" spans="1:116" ht="12.75" hidden="1" customHeight="1">
      <c r="A42" s="738"/>
      <c r="B42" s="739"/>
      <c r="C42" s="738" t="s">
        <v>333</v>
      </c>
      <c r="D42" s="748">
        <v>5.7</v>
      </c>
      <c r="E42" s="377">
        <v>0</v>
      </c>
      <c r="F42" s="377">
        <f t="shared" si="35"/>
        <v>0</v>
      </c>
      <c r="G42" s="749">
        <f t="shared" si="36"/>
        <v>0</v>
      </c>
      <c r="H42" s="749">
        <v>0</v>
      </c>
      <c r="I42" s="377"/>
      <c r="J42" s="377"/>
      <c r="K42" s="750">
        <f t="shared" si="10"/>
        <v>0</v>
      </c>
      <c r="L42" s="750"/>
      <c r="M42" s="377"/>
      <c r="N42" s="377"/>
      <c r="O42" s="750">
        <f t="shared" si="38"/>
        <v>0</v>
      </c>
      <c r="P42" s="750"/>
      <c r="Q42" s="377"/>
      <c r="R42" s="377"/>
      <c r="S42" s="750">
        <f t="shared" si="39"/>
        <v>0</v>
      </c>
      <c r="T42" s="750"/>
      <c r="U42" s="377"/>
      <c r="V42" s="377"/>
      <c r="W42" s="750">
        <f t="shared" si="40"/>
        <v>0</v>
      </c>
      <c r="X42" s="750"/>
      <c r="Y42" s="377">
        <f t="shared" si="63"/>
        <v>0</v>
      </c>
      <c r="Z42" s="377">
        <f t="shared" si="63"/>
        <v>0</v>
      </c>
      <c r="AA42" s="750">
        <f t="shared" si="41"/>
        <v>0</v>
      </c>
      <c r="AB42" s="750"/>
      <c r="AC42" s="377"/>
      <c r="AD42" s="377"/>
      <c r="AE42" s="750">
        <f t="shared" si="42"/>
        <v>0</v>
      </c>
      <c r="AF42" s="750" t="e">
        <f>AD42/AC42</f>
        <v>#DIV/0!</v>
      </c>
      <c r="AG42" s="377"/>
      <c r="AH42" s="377"/>
      <c r="AI42" s="750">
        <f t="shared" si="43"/>
        <v>0</v>
      </c>
      <c r="AJ42" s="377"/>
      <c r="AK42" s="377"/>
      <c r="AL42" s="750">
        <f t="shared" si="44"/>
        <v>0</v>
      </c>
      <c r="AM42" s="750"/>
      <c r="AN42" s="377"/>
      <c r="AO42" s="377"/>
      <c r="AP42" s="750">
        <f t="shared" si="45"/>
        <v>0</v>
      </c>
      <c r="AQ42" s="750"/>
      <c r="AR42" s="750"/>
      <c r="AS42" s="750"/>
      <c r="AT42" s="750">
        <f t="shared" si="46"/>
        <v>0</v>
      </c>
      <c r="AU42" s="750"/>
      <c r="AV42" s="377"/>
      <c r="AW42" s="377"/>
      <c r="AX42" s="750">
        <f t="shared" si="47"/>
        <v>0</v>
      </c>
      <c r="AY42" s="750"/>
      <c r="AZ42" s="377"/>
      <c r="BA42" s="377"/>
      <c r="BB42" s="750">
        <f t="shared" si="48"/>
        <v>0</v>
      </c>
      <c r="BC42" s="750"/>
      <c r="BD42" s="377"/>
      <c r="BE42" s="377"/>
      <c r="BF42" s="750">
        <f t="shared" si="49"/>
        <v>0</v>
      </c>
      <c r="BG42" s="750"/>
      <c r="BH42" s="377"/>
      <c r="BI42" s="377"/>
      <c r="BJ42" s="750">
        <f t="shared" si="50"/>
        <v>0</v>
      </c>
      <c r="BK42" s="750"/>
      <c r="BL42" s="377"/>
      <c r="BM42" s="377"/>
      <c r="BN42" s="750">
        <f t="shared" si="51"/>
        <v>0</v>
      </c>
      <c r="BO42" s="728"/>
      <c r="BP42" s="377"/>
      <c r="BQ42" s="377"/>
      <c r="BR42" s="750">
        <f t="shared" si="52"/>
        <v>0</v>
      </c>
      <c r="BS42" s="750"/>
      <c r="BT42" s="377"/>
      <c r="BU42" s="377"/>
      <c r="BV42" s="750">
        <f t="shared" si="53"/>
        <v>0</v>
      </c>
      <c r="BW42" s="750"/>
      <c r="BX42" s="377"/>
      <c r="BY42" s="377"/>
      <c r="BZ42" s="750">
        <f t="shared" si="54"/>
        <v>0</v>
      </c>
      <c r="CA42" s="750"/>
      <c r="CB42" s="377"/>
      <c r="CC42" s="377"/>
      <c r="CD42" s="750">
        <f t="shared" si="55"/>
        <v>0</v>
      </c>
      <c r="CE42" s="750"/>
      <c r="CF42" s="377"/>
      <c r="CG42" s="377"/>
      <c r="CH42" s="750">
        <f t="shared" si="56"/>
        <v>0</v>
      </c>
      <c r="CI42" s="750"/>
      <c r="CJ42" s="377"/>
      <c r="CK42" s="377"/>
      <c r="CL42" s="750">
        <f t="shared" si="57"/>
        <v>0</v>
      </c>
      <c r="CM42" s="386"/>
      <c r="CN42" s="751"/>
      <c r="CO42" s="751"/>
      <c r="CP42" s="751">
        <f t="shared" si="58"/>
        <v>0</v>
      </c>
      <c r="CQ42" s="751"/>
      <c r="CR42" s="374"/>
      <c r="CS42" s="374"/>
      <c r="CT42" s="744">
        <f t="shared" si="59"/>
        <v>0</v>
      </c>
      <c r="CU42" s="745"/>
      <c r="CV42" s="373"/>
      <c r="CW42" s="373"/>
      <c r="CX42" s="744">
        <f t="shared" si="60"/>
        <v>0</v>
      </c>
      <c r="CY42" s="745"/>
      <c r="CZ42" s="373"/>
      <c r="DA42" s="373"/>
      <c r="DB42" s="744">
        <f t="shared" si="61"/>
        <v>0</v>
      </c>
      <c r="DC42" s="745"/>
      <c r="DG42" s="746"/>
      <c r="DH42" s="746"/>
      <c r="DI42" s="746"/>
      <c r="DJ42" s="747"/>
      <c r="DK42" s="718"/>
      <c r="DL42" s="718"/>
    </row>
    <row r="43" spans="1:116" ht="16.5" hidden="1" customHeight="1">
      <c r="A43" s="738"/>
      <c r="B43" s="739"/>
      <c r="C43" s="738" t="s">
        <v>334</v>
      </c>
      <c r="D43" s="748">
        <v>0</v>
      </c>
      <c r="E43" s="377">
        <f t="shared" si="62"/>
        <v>0</v>
      </c>
      <c r="F43" s="377">
        <f t="shared" si="35"/>
        <v>0</v>
      </c>
      <c r="G43" s="749">
        <f t="shared" si="36"/>
        <v>0</v>
      </c>
      <c r="H43" s="749">
        <v>0</v>
      </c>
      <c r="I43" s="377"/>
      <c r="J43" s="377"/>
      <c r="K43" s="750">
        <f t="shared" si="10"/>
        <v>0</v>
      </c>
      <c r="L43" s="750"/>
      <c r="M43" s="377"/>
      <c r="N43" s="377"/>
      <c r="O43" s="750">
        <f t="shared" si="38"/>
        <v>0</v>
      </c>
      <c r="P43" s="750"/>
      <c r="Q43" s="377"/>
      <c r="R43" s="377"/>
      <c r="S43" s="750">
        <f t="shared" si="39"/>
        <v>0</v>
      </c>
      <c r="T43" s="750"/>
      <c r="U43" s="377"/>
      <c r="V43" s="377"/>
      <c r="W43" s="750">
        <f t="shared" si="40"/>
        <v>0</v>
      </c>
      <c r="X43" s="750"/>
      <c r="Y43" s="377">
        <f t="shared" si="63"/>
        <v>0</v>
      </c>
      <c r="Z43" s="377">
        <f t="shared" si="63"/>
        <v>0</v>
      </c>
      <c r="AA43" s="750">
        <f t="shared" si="41"/>
        <v>0</v>
      </c>
      <c r="AB43" s="750"/>
      <c r="AC43" s="377"/>
      <c r="AD43" s="377"/>
      <c r="AE43" s="750">
        <f t="shared" si="42"/>
        <v>0</v>
      </c>
      <c r="AF43" s="750"/>
      <c r="AG43" s="377"/>
      <c r="AH43" s="377"/>
      <c r="AI43" s="750">
        <f t="shared" si="43"/>
        <v>0</v>
      </c>
      <c r="AJ43" s="377"/>
      <c r="AK43" s="377"/>
      <c r="AL43" s="750">
        <f t="shared" si="44"/>
        <v>0</v>
      </c>
      <c r="AM43" s="750"/>
      <c r="AN43" s="377"/>
      <c r="AO43" s="377"/>
      <c r="AP43" s="750">
        <f t="shared" si="45"/>
        <v>0</v>
      </c>
      <c r="AQ43" s="750"/>
      <c r="AR43" s="750"/>
      <c r="AS43" s="750"/>
      <c r="AT43" s="750">
        <f t="shared" si="46"/>
        <v>0</v>
      </c>
      <c r="AU43" s="750"/>
      <c r="AV43" s="377"/>
      <c r="AW43" s="377"/>
      <c r="AX43" s="750">
        <f t="shared" si="47"/>
        <v>0</v>
      </c>
      <c r="AY43" s="750"/>
      <c r="AZ43" s="377"/>
      <c r="BA43" s="377"/>
      <c r="BB43" s="750">
        <f t="shared" si="48"/>
        <v>0</v>
      </c>
      <c r="BC43" s="750"/>
      <c r="BD43" s="377"/>
      <c r="BE43" s="377"/>
      <c r="BF43" s="750">
        <f t="shared" si="49"/>
        <v>0</v>
      </c>
      <c r="BG43" s="750"/>
      <c r="BH43" s="377"/>
      <c r="BI43" s="377"/>
      <c r="BJ43" s="750">
        <f t="shared" si="50"/>
        <v>0</v>
      </c>
      <c r="BK43" s="750"/>
      <c r="BL43" s="377"/>
      <c r="BM43" s="377"/>
      <c r="BN43" s="750">
        <f t="shared" si="51"/>
        <v>0</v>
      </c>
      <c r="BO43" s="728"/>
      <c r="BP43" s="377"/>
      <c r="BQ43" s="377"/>
      <c r="BR43" s="750">
        <f t="shared" si="52"/>
        <v>0</v>
      </c>
      <c r="BS43" s="750"/>
      <c r="BT43" s="377"/>
      <c r="BU43" s="377"/>
      <c r="BV43" s="750">
        <f t="shared" si="53"/>
        <v>0</v>
      </c>
      <c r="BW43" s="750"/>
      <c r="BX43" s="377"/>
      <c r="BY43" s="377"/>
      <c r="BZ43" s="750">
        <f t="shared" si="54"/>
        <v>0</v>
      </c>
      <c r="CA43" s="750"/>
      <c r="CB43" s="377"/>
      <c r="CC43" s="377"/>
      <c r="CD43" s="750">
        <f t="shared" si="55"/>
        <v>0</v>
      </c>
      <c r="CE43" s="750"/>
      <c r="CF43" s="377"/>
      <c r="CG43" s="377"/>
      <c r="CH43" s="750">
        <f t="shared" si="56"/>
        <v>0</v>
      </c>
      <c r="CI43" s="750"/>
      <c r="CJ43" s="377"/>
      <c r="CK43" s="377"/>
      <c r="CL43" s="750">
        <f t="shared" si="57"/>
        <v>0</v>
      </c>
      <c r="CM43" s="386"/>
      <c r="CN43" s="751"/>
      <c r="CO43" s="751"/>
      <c r="CP43" s="751">
        <f t="shared" si="58"/>
        <v>0</v>
      </c>
      <c r="CQ43" s="751"/>
      <c r="CR43" s="374"/>
      <c r="CS43" s="374"/>
      <c r="CT43" s="744">
        <f t="shared" si="59"/>
        <v>0</v>
      </c>
      <c r="CU43" s="745"/>
      <c r="CV43" s="373"/>
      <c r="CW43" s="373"/>
      <c r="CX43" s="744">
        <f t="shared" si="60"/>
        <v>0</v>
      </c>
      <c r="CY43" s="745"/>
      <c r="CZ43" s="373"/>
      <c r="DA43" s="373"/>
      <c r="DB43" s="744">
        <f t="shared" si="61"/>
        <v>0</v>
      </c>
      <c r="DC43" s="745"/>
      <c r="DG43" s="746"/>
      <c r="DH43" s="746"/>
      <c r="DI43" s="746"/>
      <c r="DJ43" s="747"/>
      <c r="DK43" s="718"/>
      <c r="DL43" s="718"/>
    </row>
    <row r="44" spans="1:116" ht="12.75" hidden="1" customHeight="1">
      <c r="A44" s="738"/>
      <c r="B44" s="739"/>
      <c r="C44" s="738" t="s">
        <v>335</v>
      </c>
      <c r="D44" s="748"/>
      <c r="E44" s="377">
        <f t="shared" si="62"/>
        <v>0</v>
      </c>
      <c r="F44" s="377">
        <f t="shared" si="35"/>
        <v>0</v>
      </c>
      <c r="G44" s="749">
        <f t="shared" si="36"/>
        <v>0</v>
      </c>
      <c r="H44" s="749" t="e">
        <f t="shared" si="37"/>
        <v>#DIV/0!</v>
      </c>
      <c r="I44" s="377"/>
      <c r="J44" s="377"/>
      <c r="K44" s="750">
        <f t="shared" si="10"/>
        <v>0</v>
      </c>
      <c r="L44" s="750"/>
      <c r="M44" s="377"/>
      <c r="N44" s="377"/>
      <c r="O44" s="750">
        <f t="shared" si="38"/>
        <v>0</v>
      </c>
      <c r="P44" s="750"/>
      <c r="Q44" s="377"/>
      <c r="R44" s="377"/>
      <c r="S44" s="750">
        <f t="shared" si="39"/>
        <v>0</v>
      </c>
      <c r="T44" s="750"/>
      <c r="U44" s="377"/>
      <c r="V44" s="377"/>
      <c r="W44" s="750">
        <f t="shared" si="40"/>
        <v>0</v>
      </c>
      <c r="X44" s="750"/>
      <c r="Y44" s="377">
        <f t="shared" si="63"/>
        <v>0</v>
      </c>
      <c r="Z44" s="377">
        <f t="shared" si="63"/>
        <v>0</v>
      </c>
      <c r="AA44" s="750">
        <f t="shared" si="41"/>
        <v>0</v>
      </c>
      <c r="AB44" s="750"/>
      <c r="AC44" s="377"/>
      <c r="AD44" s="377"/>
      <c r="AE44" s="750">
        <f t="shared" si="42"/>
        <v>0</v>
      </c>
      <c r="AF44" s="750"/>
      <c r="AG44" s="377"/>
      <c r="AH44" s="377"/>
      <c r="AI44" s="750">
        <f t="shared" si="43"/>
        <v>0</v>
      </c>
      <c r="AJ44" s="377"/>
      <c r="AK44" s="377"/>
      <c r="AL44" s="750">
        <f t="shared" si="44"/>
        <v>0</v>
      </c>
      <c r="AM44" s="750"/>
      <c r="AN44" s="377"/>
      <c r="AO44" s="377"/>
      <c r="AP44" s="750">
        <f t="shared" si="45"/>
        <v>0</v>
      </c>
      <c r="AQ44" s="750"/>
      <c r="AR44" s="750"/>
      <c r="AS44" s="750"/>
      <c r="AT44" s="750">
        <f t="shared" si="46"/>
        <v>0</v>
      </c>
      <c r="AU44" s="750"/>
      <c r="AV44" s="377"/>
      <c r="AW44" s="377"/>
      <c r="AX44" s="750">
        <f t="shared" si="47"/>
        <v>0</v>
      </c>
      <c r="AY44" s="750"/>
      <c r="AZ44" s="377"/>
      <c r="BA44" s="377"/>
      <c r="BB44" s="750">
        <f t="shared" si="48"/>
        <v>0</v>
      </c>
      <c r="BC44" s="750"/>
      <c r="BD44" s="377"/>
      <c r="BE44" s="377"/>
      <c r="BF44" s="750">
        <f t="shared" si="49"/>
        <v>0</v>
      </c>
      <c r="BG44" s="750"/>
      <c r="BH44" s="377"/>
      <c r="BI44" s="377"/>
      <c r="BJ44" s="750">
        <f t="shared" si="50"/>
        <v>0</v>
      </c>
      <c r="BK44" s="750"/>
      <c r="BL44" s="377"/>
      <c r="BM44" s="377"/>
      <c r="BN44" s="750">
        <f t="shared" si="51"/>
        <v>0</v>
      </c>
      <c r="BO44" s="728"/>
      <c r="BP44" s="377"/>
      <c r="BQ44" s="377"/>
      <c r="BR44" s="750">
        <f t="shared" si="52"/>
        <v>0</v>
      </c>
      <c r="BS44" s="750"/>
      <c r="BT44" s="377"/>
      <c r="BU44" s="377"/>
      <c r="BV44" s="750">
        <f t="shared" si="53"/>
        <v>0</v>
      </c>
      <c r="BW44" s="750"/>
      <c r="BX44" s="377"/>
      <c r="BY44" s="377"/>
      <c r="BZ44" s="750">
        <f t="shared" si="54"/>
        <v>0</v>
      </c>
      <c r="CA44" s="750"/>
      <c r="CB44" s="377"/>
      <c r="CC44" s="377"/>
      <c r="CD44" s="750">
        <f t="shared" si="55"/>
        <v>0</v>
      </c>
      <c r="CE44" s="750"/>
      <c r="CF44" s="377"/>
      <c r="CG44" s="377"/>
      <c r="CH44" s="750">
        <f t="shared" si="56"/>
        <v>0</v>
      </c>
      <c r="CI44" s="750"/>
      <c r="CJ44" s="377"/>
      <c r="CK44" s="377"/>
      <c r="CL44" s="750">
        <f t="shared" si="57"/>
        <v>0</v>
      </c>
      <c r="CM44" s="386"/>
      <c r="CN44" s="751"/>
      <c r="CO44" s="751"/>
      <c r="CP44" s="751">
        <f t="shared" si="58"/>
        <v>0</v>
      </c>
      <c r="CQ44" s="751"/>
      <c r="CR44" s="374"/>
      <c r="CS44" s="374"/>
      <c r="CT44" s="744">
        <f t="shared" si="59"/>
        <v>0</v>
      </c>
      <c r="CU44" s="745"/>
      <c r="CV44" s="373"/>
      <c r="CW44" s="373"/>
      <c r="CX44" s="744">
        <f t="shared" si="60"/>
        <v>0</v>
      </c>
      <c r="CY44" s="745"/>
      <c r="CZ44" s="373"/>
      <c r="DA44" s="373"/>
      <c r="DB44" s="744">
        <f t="shared" si="61"/>
        <v>0</v>
      </c>
      <c r="DC44" s="745"/>
      <c r="DG44" s="746"/>
      <c r="DH44" s="746"/>
      <c r="DI44" s="746"/>
      <c r="DJ44" s="747"/>
      <c r="DK44" s="718"/>
      <c r="DL44" s="718"/>
    </row>
    <row r="45" spans="1:116" ht="12.75" hidden="1" customHeight="1">
      <c r="A45" s="738"/>
      <c r="B45" s="739"/>
      <c r="C45" s="738" t="s">
        <v>336</v>
      </c>
      <c r="D45" s="748">
        <v>0.3</v>
      </c>
      <c r="E45" s="377">
        <v>0</v>
      </c>
      <c r="F45" s="377">
        <f t="shared" si="35"/>
        <v>0</v>
      </c>
      <c r="G45" s="749">
        <f t="shared" si="36"/>
        <v>0</v>
      </c>
      <c r="H45" s="749">
        <v>0</v>
      </c>
      <c r="I45" s="377"/>
      <c r="J45" s="377"/>
      <c r="K45" s="750">
        <f t="shared" si="10"/>
        <v>0</v>
      </c>
      <c r="L45" s="377"/>
      <c r="M45" s="377"/>
      <c r="N45" s="377"/>
      <c r="O45" s="750">
        <f t="shared" si="38"/>
        <v>0</v>
      </c>
      <c r="P45" s="750"/>
      <c r="Q45" s="377"/>
      <c r="R45" s="377"/>
      <c r="S45" s="750">
        <f t="shared" si="39"/>
        <v>0</v>
      </c>
      <c r="T45" s="750"/>
      <c r="U45" s="377"/>
      <c r="V45" s="377"/>
      <c r="W45" s="750">
        <f t="shared" si="40"/>
        <v>0</v>
      </c>
      <c r="X45" s="750"/>
      <c r="Y45" s="377">
        <f t="shared" si="63"/>
        <v>0</v>
      </c>
      <c r="Z45" s="377">
        <f t="shared" si="63"/>
        <v>0</v>
      </c>
      <c r="AA45" s="750">
        <f t="shared" si="41"/>
        <v>0</v>
      </c>
      <c r="AB45" s="750"/>
      <c r="AC45" s="377"/>
      <c r="AD45" s="377"/>
      <c r="AE45" s="750">
        <f t="shared" si="42"/>
        <v>0</v>
      </c>
      <c r="AF45" s="750"/>
      <c r="AG45" s="377"/>
      <c r="AH45" s="377"/>
      <c r="AI45" s="750">
        <f t="shared" si="43"/>
        <v>0</v>
      </c>
      <c r="AJ45" s="377"/>
      <c r="AK45" s="377"/>
      <c r="AL45" s="750">
        <f t="shared" si="44"/>
        <v>0</v>
      </c>
      <c r="AM45" s="750"/>
      <c r="AN45" s="377"/>
      <c r="AO45" s="377"/>
      <c r="AP45" s="750">
        <f t="shared" si="45"/>
        <v>0</v>
      </c>
      <c r="AQ45" s="750"/>
      <c r="AR45" s="750"/>
      <c r="AS45" s="750"/>
      <c r="AT45" s="750">
        <f t="shared" si="46"/>
        <v>0</v>
      </c>
      <c r="AU45" s="750"/>
      <c r="AV45" s="377"/>
      <c r="AW45" s="377"/>
      <c r="AX45" s="750">
        <f t="shared" si="47"/>
        <v>0</v>
      </c>
      <c r="AY45" s="750"/>
      <c r="AZ45" s="377"/>
      <c r="BA45" s="377"/>
      <c r="BB45" s="750">
        <f t="shared" si="48"/>
        <v>0</v>
      </c>
      <c r="BC45" s="750"/>
      <c r="BD45" s="377"/>
      <c r="BE45" s="377"/>
      <c r="BF45" s="750">
        <f t="shared" si="49"/>
        <v>0</v>
      </c>
      <c r="BG45" s="750"/>
      <c r="BH45" s="377"/>
      <c r="BI45" s="377"/>
      <c r="BJ45" s="750">
        <f t="shared" si="50"/>
        <v>0</v>
      </c>
      <c r="BK45" s="750"/>
      <c r="BL45" s="377"/>
      <c r="BM45" s="377"/>
      <c r="BN45" s="750">
        <f t="shared" si="51"/>
        <v>0</v>
      </c>
      <c r="BO45" s="728"/>
      <c r="BP45" s="377"/>
      <c r="BQ45" s="377"/>
      <c r="BR45" s="750">
        <f t="shared" si="52"/>
        <v>0</v>
      </c>
      <c r="BS45" s="750"/>
      <c r="BT45" s="377"/>
      <c r="BU45" s="377"/>
      <c r="BV45" s="750">
        <f t="shared" si="53"/>
        <v>0</v>
      </c>
      <c r="BW45" s="750"/>
      <c r="BX45" s="377"/>
      <c r="BY45" s="377"/>
      <c r="BZ45" s="750">
        <f t="shared" si="54"/>
        <v>0</v>
      </c>
      <c r="CA45" s="750"/>
      <c r="CB45" s="377"/>
      <c r="CC45" s="377"/>
      <c r="CD45" s="750">
        <f t="shared" si="55"/>
        <v>0</v>
      </c>
      <c r="CE45" s="750"/>
      <c r="CF45" s="377"/>
      <c r="CG45" s="377"/>
      <c r="CH45" s="750">
        <f t="shared" si="56"/>
        <v>0</v>
      </c>
      <c r="CI45" s="750"/>
      <c r="CJ45" s="377"/>
      <c r="CK45" s="377"/>
      <c r="CL45" s="750">
        <f t="shared" si="57"/>
        <v>0</v>
      </c>
      <c r="CM45" s="386"/>
      <c r="CN45" s="751"/>
      <c r="CO45" s="751"/>
      <c r="CP45" s="751">
        <f t="shared" si="58"/>
        <v>0</v>
      </c>
      <c r="CQ45" s="751"/>
      <c r="CR45" s="374"/>
      <c r="CS45" s="374"/>
      <c r="CT45" s="744">
        <f t="shared" si="59"/>
        <v>0</v>
      </c>
      <c r="CU45" s="745"/>
      <c r="CV45" s="373"/>
      <c r="CW45" s="373"/>
      <c r="CX45" s="744">
        <f t="shared" si="60"/>
        <v>0</v>
      </c>
      <c r="CY45" s="745"/>
      <c r="CZ45" s="373"/>
      <c r="DA45" s="373"/>
      <c r="DB45" s="744">
        <f t="shared" si="61"/>
        <v>0</v>
      </c>
      <c r="DC45" s="745"/>
      <c r="DG45" s="746"/>
      <c r="DH45" s="746"/>
      <c r="DI45" s="746"/>
      <c r="DJ45" s="747"/>
      <c r="DK45" s="718"/>
      <c r="DL45" s="718"/>
    </row>
    <row r="46" spans="1:116" ht="12.75" hidden="1" customHeight="1">
      <c r="A46" s="738"/>
      <c r="B46" s="739"/>
      <c r="C46" s="738" t="s">
        <v>337</v>
      </c>
      <c r="D46" s="748"/>
      <c r="E46" s="377">
        <f t="shared" si="62"/>
        <v>0</v>
      </c>
      <c r="F46" s="377">
        <f t="shared" si="35"/>
        <v>0</v>
      </c>
      <c r="G46" s="749">
        <f t="shared" si="36"/>
        <v>0</v>
      </c>
      <c r="H46" s="749" t="e">
        <f t="shared" si="37"/>
        <v>#DIV/0!</v>
      </c>
      <c r="I46" s="377"/>
      <c r="J46" s="377"/>
      <c r="K46" s="750">
        <f t="shared" si="10"/>
        <v>0</v>
      </c>
      <c r="L46" s="750"/>
      <c r="M46" s="377"/>
      <c r="N46" s="377"/>
      <c r="O46" s="750">
        <f t="shared" si="38"/>
        <v>0</v>
      </c>
      <c r="P46" s="750"/>
      <c r="Q46" s="377"/>
      <c r="R46" s="377"/>
      <c r="S46" s="750">
        <f t="shared" si="39"/>
        <v>0</v>
      </c>
      <c r="T46" s="750"/>
      <c r="U46" s="377"/>
      <c r="V46" s="377"/>
      <c r="W46" s="750">
        <f t="shared" si="40"/>
        <v>0</v>
      </c>
      <c r="X46" s="750"/>
      <c r="Y46" s="377">
        <f t="shared" si="63"/>
        <v>0</v>
      </c>
      <c r="Z46" s="377">
        <f t="shared" si="63"/>
        <v>0</v>
      </c>
      <c r="AA46" s="750">
        <f t="shared" si="41"/>
        <v>0</v>
      </c>
      <c r="AB46" s="750"/>
      <c r="AC46" s="377"/>
      <c r="AD46" s="377"/>
      <c r="AE46" s="750">
        <f t="shared" si="42"/>
        <v>0</v>
      </c>
      <c r="AF46" s="750" t="e">
        <f>AD46/AC46</f>
        <v>#DIV/0!</v>
      </c>
      <c r="AG46" s="377"/>
      <c r="AH46" s="377"/>
      <c r="AI46" s="750">
        <f t="shared" si="43"/>
        <v>0</v>
      </c>
      <c r="AJ46" s="377"/>
      <c r="AK46" s="377"/>
      <c r="AL46" s="750">
        <f t="shared" si="44"/>
        <v>0</v>
      </c>
      <c r="AM46" s="750"/>
      <c r="AN46" s="377"/>
      <c r="AO46" s="377"/>
      <c r="AP46" s="750">
        <f t="shared" si="45"/>
        <v>0</v>
      </c>
      <c r="AQ46" s="750"/>
      <c r="AR46" s="750"/>
      <c r="AS46" s="750"/>
      <c r="AT46" s="750">
        <f t="shared" si="46"/>
        <v>0</v>
      </c>
      <c r="AU46" s="750"/>
      <c r="AV46" s="377"/>
      <c r="AW46" s="377"/>
      <c r="AX46" s="750">
        <f t="shared" si="47"/>
        <v>0</v>
      </c>
      <c r="AY46" s="750"/>
      <c r="AZ46" s="377"/>
      <c r="BA46" s="377"/>
      <c r="BB46" s="750">
        <f t="shared" si="48"/>
        <v>0</v>
      </c>
      <c r="BC46" s="750"/>
      <c r="BD46" s="377"/>
      <c r="BE46" s="377"/>
      <c r="BF46" s="750">
        <f t="shared" si="49"/>
        <v>0</v>
      </c>
      <c r="BG46" s="750"/>
      <c r="BH46" s="377"/>
      <c r="BI46" s="377"/>
      <c r="BJ46" s="750">
        <f t="shared" si="50"/>
        <v>0</v>
      </c>
      <c r="BK46" s="750"/>
      <c r="BL46" s="377"/>
      <c r="BM46" s="377"/>
      <c r="BN46" s="750">
        <f t="shared" si="51"/>
        <v>0</v>
      </c>
      <c r="BO46" s="728"/>
      <c r="BP46" s="377"/>
      <c r="BQ46" s="377"/>
      <c r="BR46" s="750">
        <f t="shared" si="52"/>
        <v>0</v>
      </c>
      <c r="BS46" s="750"/>
      <c r="BT46" s="377"/>
      <c r="BU46" s="377"/>
      <c r="BV46" s="750">
        <f t="shared" si="53"/>
        <v>0</v>
      </c>
      <c r="BW46" s="750"/>
      <c r="BX46" s="377"/>
      <c r="BY46" s="377"/>
      <c r="BZ46" s="750">
        <f t="shared" si="54"/>
        <v>0</v>
      </c>
      <c r="CA46" s="750"/>
      <c r="CB46" s="377"/>
      <c r="CC46" s="377"/>
      <c r="CD46" s="750">
        <f t="shared" si="55"/>
        <v>0</v>
      </c>
      <c r="CE46" s="750"/>
      <c r="CF46" s="377"/>
      <c r="CG46" s="377"/>
      <c r="CH46" s="750">
        <f t="shared" si="56"/>
        <v>0</v>
      </c>
      <c r="CI46" s="750"/>
      <c r="CJ46" s="377"/>
      <c r="CK46" s="377"/>
      <c r="CL46" s="750">
        <f t="shared" si="57"/>
        <v>0</v>
      </c>
      <c r="CM46" s="386"/>
      <c r="CN46" s="751"/>
      <c r="CO46" s="751"/>
      <c r="CP46" s="751">
        <f t="shared" si="58"/>
        <v>0</v>
      </c>
      <c r="CQ46" s="751"/>
      <c r="CR46" s="374"/>
      <c r="CS46" s="374"/>
      <c r="CT46" s="744">
        <f t="shared" si="59"/>
        <v>0</v>
      </c>
      <c r="CU46" s="745"/>
      <c r="CV46" s="373"/>
      <c r="CW46" s="373"/>
      <c r="CX46" s="744">
        <f t="shared" si="60"/>
        <v>0</v>
      </c>
      <c r="CY46" s="745"/>
      <c r="CZ46" s="373"/>
      <c r="DA46" s="373"/>
      <c r="DB46" s="744">
        <f t="shared" si="61"/>
        <v>0</v>
      </c>
      <c r="DC46" s="745"/>
      <c r="DG46" s="746"/>
      <c r="DH46" s="746"/>
      <c r="DI46" s="746"/>
      <c r="DJ46" s="747"/>
      <c r="DK46" s="718"/>
      <c r="DL46" s="718"/>
    </row>
    <row r="47" spans="1:116" ht="12.75" hidden="1" customHeight="1">
      <c r="A47" s="738"/>
      <c r="B47" s="739"/>
      <c r="C47" s="769" t="s">
        <v>338</v>
      </c>
      <c r="D47" s="748"/>
      <c r="E47" s="377">
        <f t="shared" si="62"/>
        <v>0</v>
      </c>
      <c r="F47" s="377">
        <f t="shared" si="35"/>
        <v>0</v>
      </c>
      <c r="G47" s="749">
        <f t="shared" si="36"/>
        <v>0</v>
      </c>
      <c r="H47" s="749" t="e">
        <f t="shared" si="37"/>
        <v>#DIV/0!</v>
      </c>
      <c r="I47" s="377"/>
      <c r="J47" s="377"/>
      <c r="K47" s="750">
        <f t="shared" si="10"/>
        <v>0</v>
      </c>
      <c r="L47" s="750"/>
      <c r="M47" s="377"/>
      <c r="N47" s="377"/>
      <c r="O47" s="750">
        <f t="shared" si="38"/>
        <v>0</v>
      </c>
      <c r="P47" s="750"/>
      <c r="Q47" s="377"/>
      <c r="R47" s="377"/>
      <c r="S47" s="750">
        <f t="shared" si="39"/>
        <v>0</v>
      </c>
      <c r="T47" s="750"/>
      <c r="U47" s="377"/>
      <c r="V47" s="377"/>
      <c r="W47" s="750">
        <f t="shared" si="40"/>
        <v>0</v>
      </c>
      <c r="X47" s="750"/>
      <c r="Y47" s="377">
        <f t="shared" si="63"/>
        <v>0</v>
      </c>
      <c r="Z47" s="377">
        <f t="shared" si="63"/>
        <v>0</v>
      </c>
      <c r="AA47" s="750">
        <f t="shared" si="41"/>
        <v>0</v>
      </c>
      <c r="AB47" s="750"/>
      <c r="AC47" s="377"/>
      <c r="AD47" s="377"/>
      <c r="AE47" s="750">
        <f t="shared" si="42"/>
        <v>0</v>
      </c>
      <c r="AF47" s="750" t="e">
        <f>AD47/AC47</f>
        <v>#DIV/0!</v>
      </c>
      <c r="AG47" s="377"/>
      <c r="AH47" s="377"/>
      <c r="AI47" s="750">
        <f t="shared" si="43"/>
        <v>0</v>
      </c>
      <c r="AJ47" s="377"/>
      <c r="AK47" s="377"/>
      <c r="AL47" s="750">
        <f t="shared" si="44"/>
        <v>0</v>
      </c>
      <c r="AM47" s="750"/>
      <c r="AN47" s="377"/>
      <c r="AO47" s="377"/>
      <c r="AP47" s="750">
        <f t="shared" si="45"/>
        <v>0</v>
      </c>
      <c r="AQ47" s="750"/>
      <c r="AR47" s="750"/>
      <c r="AS47" s="750"/>
      <c r="AT47" s="750">
        <f t="shared" si="46"/>
        <v>0</v>
      </c>
      <c r="AU47" s="750"/>
      <c r="AV47" s="377"/>
      <c r="AW47" s="377"/>
      <c r="AX47" s="750">
        <f t="shared" si="47"/>
        <v>0</v>
      </c>
      <c r="AY47" s="750"/>
      <c r="AZ47" s="377"/>
      <c r="BA47" s="377"/>
      <c r="BB47" s="750">
        <f t="shared" si="48"/>
        <v>0</v>
      </c>
      <c r="BC47" s="750"/>
      <c r="BD47" s="377"/>
      <c r="BE47" s="377"/>
      <c r="BF47" s="750">
        <f t="shared" si="49"/>
        <v>0</v>
      </c>
      <c r="BG47" s="750"/>
      <c r="BH47" s="377"/>
      <c r="BI47" s="377"/>
      <c r="BJ47" s="750">
        <f t="shared" si="50"/>
        <v>0</v>
      </c>
      <c r="BK47" s="750"/>
      <c r="BL47" s="377"/>
      <c r="BM47" s="377"/>
      <c r="BN47" s="750">
        <f t="shared" si="51"/>
        <v>0</v>
      </c>
      <c r="BO47" s="728"/>
      <c r="BP47" s="377"/>
      <c r="BQ47" s="377"/>
      <c r="BR47" s="750">
        <f t="shared" si="52"/>
        <v>0</v>
      </c>
      <c r="BS47" s="750"/>
      <c r="BT47" s="377"/>
      <c r="BU47" s="377"/>
      <c r="BV47" s="750">
        <f t="shared" si="53"/>
        <v>0</v>
      </c>
      <c r="BW47" s="750"/>
      <c r="BX47" s="377"/>
      <c r="BY47" s="377"/>
      <c r="BZ47" s="750">
        <f t="shared" si="54"/>
        <v>0</v>
      </c>
      <c r="CA47" s="750"/>
      <c r="CB47" s="377"/>
      <c r="CC47" s="377"/>
      <c r="CD47" s="750">
        <f t="shared" si="55"/>
        <v>0</v>
      </c>
      <c r="CE47" s="750"/>
      <c r="CF47" s="377"/>
      <c r="CG47" s="377"/>
      <c r="CH47" s="750">
        <f t="shared" si="56"/>
        <v>0</v>
      </c>
      <c r="CI47" s="750"/>
      <c r="CJ47" s="377"/>
      <c r="CK47" s="377"/>
      <c r="CL47" s="750">
        <f t="shared" si="57"/>
        <v>0</v>
      </c>
      <c r="CM47" s="386"/>
      <c r="CN47" s="751"/>
      <c r="CO47" s="751"/>
      <c r="CP47" s="751">
        <f t="shared" si="58"/>
        <v>0</v>
      </c>
      <c r="CQ47" s="751"/>
      <c r="CR47" s="374"/>
      <c r="CS47" s="374"/>
      <c r="CT47" s="744">
        <f t="shared" si="59"/>
        <v>0</v>
      </c>
      <c r="CU47" s="745"/>
      <c r="CV47" s="373"/>
      <c r="CW47" s="373"/>
      <c r="CX47" s="744">
        <f t="shared" si="60"/>
        <v>0</v>
      </c>
      <c r="CY47" s="745"/>
      <c r="CZ47" s="373"/>
      <c r="DA47" s="373"/>
      <c r="DB47" s="744">
        <f t="shared" si="61"/>
        <v>0</v>
      </c>
      <c r="DC47" s="745"/>
      <c r="DG47" s="746"/>
      <c r="DH47" s="746"/>
      <c r="DI47" s="746"/>
      <c r="DJ47" s="747"/>
      <c r="DK47" s="718"/>
      <c r="DL47" s="718"/>
    </row>
    <row r="48" spans="1:116" ht="12.75" customHeight="1">
      <c r="A48" s="380"/>
      <c r="B48" s="760" t="s">
        <v>898</v>
      </c>
      <c r="C48" s="380" t="s">
        <v>899</v>
      </c>
      <c r="D48" s="373"/>
      <c r="E48" s="376">
        <f t="shared" si="62"/>
        <v>0</v>
      </c>
      <c r="F48" s="783">
        <f t="shared" si="35"/>
        <v>0</v>
      </c>
      <c r="G48" s="745">
        <f t="shared" si="36"/>
        <v>0</v>
      </c>
      <c r="H48" s="745">
        <v>0</v>
      </c>
      <c r="I48" s="376"/>
      <c r="J48" s="376"/>
      <c r="K48" s="751">
        <f t="shared" si="10"/>
        <v>0</v>
      </c>
      <c r="L48" s="751"/>
      <c r="M48" s="376"/>
      <c r="N48" s="376"/>
      <c r="O48" s="751">
        <f t="shared" si="38"/>
        <v>0</v>
      </c>
      <c r="P48" s="751"/>
      <c r="Q48" s="376"/>
      <c r="R48" s="376"/>
      <c r="S48" s="751">
        <f t="shared" si="39"/>
        <v>0</v>
      </c>
      <c r="T48" s="751"/>
      <c r="U48" s="376"/>
      <c r="V48" s="376"/>
      <c r="W48" s="751">
        <f t="shared" si="40"/>
        <v>0</v>
      </c>
      <c r="X48" s="751"/>
      <c r="Y48" s="376">
        <f t="shared" si="63"/>
        <v>0</v>
      </c>
      <c r="Z48" s="376">
        <f t="shared" si="63"/>
        <v>0</v>
      </c>
      <c r="AA48" s="751">
        <f t="shared" si="41"/>
        <v>0</v>
      </c>
      <c r="AB48" s="751"/>
      <c r="AC48" s="376"/>
      <c r="AD48" s="376"/>
      <c r="AE48" s="751">
        <f t="shared" si="42"/>
        <v>0</v>
      </c>
      <c r="AF48" s="751" t="e">
        <f>AD48/AC48</f>
        <v>#DIV/0!</v>
      </c>
      <c r="AG48" s="376"/>
      <c r="AH48" s="376"/>
      <c r="AI48" s="751">
        <f t="shared" si="43"/>
        <v>0</v>
      </c>
      <c r="AJ48" s="376"/>
      <c r="AK48" s="376"/>
      <c r="AL48" s="751">
        <f t="shared" si="44"/>
        <v>0</v>
      </c>
      <c r="AM48" s="751"/>
      <c r="AN48" s="376"/>
      <c r="AO48" s="376"/>
      <c r="AP48" s="751">
        <f t="shared" si="45"/>
        <v>0</v>
      </c>
      <c r="AQ48" s="751"/>
      <c r="AR48" s="751"/>
      <c r="AS48" s="751"/>
      <c r="AT48" s="751">
        <f t="shared" si="46"/>
        <v>0</v>
      </c>
      <c r="AU48" s="751"/>
      <c r="AV48" s="376"/>
      <c r="AW48" s="376"/>
      <c r="AX48" s="751">
        <f t="shared" si="47"/>
        <v>0</v>
      </c>
      <c r="AY48" s="751"/>
      <c r="AZ48" s="376"/>
      <c r="BA48" s="376"/>
      <c r="BB48" s="751">
        <f t="shared" si="48"/>
        <v>0</v>
      </c>
      <c r="BC48" s="751"/>
      <c r="BD48" s="376"/>
      <c r="BE48" s="376"/>
      <c r="BF48" s="751">
        <f t="shared" si="49"/>
        <v>0</v>
      </c>
      <c r="BG48" s="751"/>
      <c r="BH48" s="376"/>
      <c r="BI48" s="376"/>
      <c r="BJ48" s="751">
        <f t="shared" si="50"/>
        <v>0</v>
      </c>
      <c r="BK48" s="751"/>
      <c r="BL48" s="376"/>
      <c r="BM48" s="376"/>
      <c r="BN48" s="751">
        <f t="shared" si="51"/>
        <v>0</v>
      </c>
      <c r="BO48" s="728"/>
      <c r="BP48" s="376"/>
      <c r="BQ48" s="376"/>
      <c r="BR48" s="751">
        <f t="shared" si="52"/>
        <v>0</v>
      </c>
      <c r="BS48" s="751"/>
      <c r="BT48" s="376"/>
      <c r="BU48" s="376"/>
      <c r="BV48" s="751">
        <f t="shared" si="53"/>
        <v>0</v>
      </c>
      <c r="BW48" s="751"/>
      <c r="BX48" s="376"/>
      <c r="BY48" s="376"/>
      <c r="BZ48" s="751">
        <f t="shared" si="54"/>
        <v>0</v>
      </c>
      <c r="CA48" s="751"/>
      <c r="CB48" s="376"/>
      <c r="CC48" s="376"/>
      <c r="CD48" s="751">
        <f t="shared" si="55"/>
        <v>0</v>
      </c>
      <c r="CE48" s="751"/>
      <c r="CF48" s="376"/>
      <c r="CG48" s="376"/>
      <c r="CH48" s="751">
        <f t="shared" si="56"/>
        <v>0</v>
      </c>
      <c r="CI48" s="751"/>
      <c r="CJ48" s="376"/>
      <c r="CK48" s="376"/>
      <c r="CL48" s="751">
        <f t="shared" si="57"/>
        <v>0</v>
      </c>
      <c r="CM48" s="386"/>
      <c r="CN48" s="751"/>
      <c r="CO48" s="751"/>
      <c r="CP48" s="751">
        <f t="shared" si="58"/>
        <v>0</v>
      </c>
      <c r="CQ48" s="751"/>
      <c r="CR48" s="374"/>
      <c r="CS48" s="374"/>
      <c r="CT48" s="744">
        <f t="shared" si="59"/>
        <v>0</v>
      </c>
      <c r="CU48" s="745"/>
      <c r="CV48" s="373"/>
      <c r="CW48" s="373"/>
      <c r="CX48" s="744">
        <f t="shared" si="60"/>
        <v>0</v>
      </c>
      <c r="CY48" s="745"/>
      <c r="CZ48" s="373"/>
      <c r="DA48" s="373"/>
      <c r="DB48" s="744">
        <f t="shared" si="61"/>
        <v>0</v>
      </c>
      <c r="DC48" s="745"/>
      <c r="DG48" s="746"/>
      <c r="DH48" s="746"/>
      <c r="DI48" s="746"/>
      <c r="DJ48" s="747"/>
      <c r="DK48" s="718"/>
      <c r="DL48" s="718"/>
    </row>
    <row r="49" spans="1:116" ht="12.75" hidden="1" customHeight="1">
      <c r="A49" s="738"/>
      <c r="B49" s="739"/>
      <c r="C49" s="738" t="s">
        <v>339</v>
      </c>
      <c r="D49" s="748">
        <v>2</v>
      </c>
      <c r="E49" s="377">
        <v>0</v>
      </c>
      <c r="F49" s="826">
        <f t="shared" si="35"/>
        <v>0</v>
      </c>
      <c r="G49" s="749">
        <f t="shared" si="36"/>
        <v>0</v>
      </c>
      <c r="H49" s="749">
        <v>0</v>
      </c>
      <c r="I49" s="377"/>
      <c r="J49" s="377"/>
      <c r="K49" s="750">
        <f t="shared" si="10"/>
        <v>0</v>
      </c>
      <c r="L49" s="750"/>
      <c r="M49" s="377"/>
      <c r="N49" s="377"/>
      <c r="O49" s="750">
        <f t="shared" si="38"/>
        <v>0</v>
      </c>
      <c r="P49" s="750"/>
      <c r="Q49" s="377"/>
      <c r="R49" s="377"/>
      <c r="S49" s="750">
        <f t="shared" si="39"/>
        <v>0</v>
      </c>
      <c r="T49" s="750"/>
      <c r="U49" s="377"/>
      <c r="V49" s="377"/>
      <c r="W49" s="750">
        <f t="shared" si="40"/>
        <v>0</v>
      </c>
      <c r="X49" s="750"/>
      <c r="Y49" s="377">
        <f t="shared" si="63"/>
        <v>0</v>
      </c>
      <c r="Z49" s="377">
        <f t="shared" si="63"/>
        <v>0</v>
      </c>
      <c r="AA49" s="750">
        <f t="shared" si="41"/>
        <v>0</v>
      </c>
      <c r="AB49" s="750"/>
      <c r="AC49" s="377"/>
      <c r="AD49" s="377"/>
      <c r="AE49" s="750">
        <f t="shared" si="42"/>
        <v>0</v>
      </c>
      <c r="AF49" s="750"/>
      <c r="AG49" s="377"/>
      <c r="AH49" s="377"/>
      <c r="AI49" s="750">
        <f t="shared" si="43"/>
        <v>0</v>
      </c>
      <c r="AJ49" s="377"/>
      <c r="AK49" s="377"/>
      <c r="AL49" s="750">
        <f t="shared" si="44"/>
        <v>0</v>
      </c>
      <c r="AM49" s="750"/>
      <c r="AN49" s="377"/>
      <c r="AO49" s="377"/>
      <c r="AP49" s="750">
        <f t="shared" si="45"/>
        <v>0</v>
      </c>
      <c r="AQ49" s="750"/>
      <c r="AR49" s="750"/>
      <c r="AS49" s="750"/>
      <c r="AT49" s="750">
        <f t="shared" si="46"/>
        <v>0</v>
      </c>
      <c r="AU49" s="750"/>
      <c r="AV49" s="377"/>
      <c r="AW49" s="377"/>
      <c r="AX49" s="750">
        <f t="shared" si="47"/>
        <v>0</v>
      </c>
      <c r="AY49" s="750"/>
      <c r="AZ49" s="377"/>
      <c r="BA49" s="377"/>
      <c r="BB49" s="750">
        <f t="shared" si="48"/>
        <v>0</v>
      </c>
      <c r="BC49" s="750"/>
      <c r="BD49" s="377"/>
      <c r="BE49" s="377"/>
      <c r="BF49" s="750">
        <f t="shared" si="49"/>
        <v>0</v>
      </c>
      <c r="BG49" s="750"/>
      <c r="BH49" s="377"/>
      <c r="BI49" s="377"/>
      <c r="BJ49" s="750">
        <f t="shared" si="50"/>
        <v>0</v>
      </c>
      <c r="BK49" s="750"/>
      <c r="BL49" s="377"/>
      <c r="BM49" s="377"/>
      <c r="BN49" s="750">
        <f t="shared" si="51"/>
        <v>0</v>
      </c>
      <c r="BO49" s="728"/>
      <c r="BP49" s="377"/>
      <c r="BQ49" s="377"/>
      <c r="BR49" s="750">
        <f t="shared" si="52"/>
        <v>0</v>
      </c>
      <c r="BS49" s="750"/>
      <c r="BT49" s="377"/>
      <c r="BU49" s="377"/>
      <c r="BV49" s="750">
        <f t="shared" si="53"/>
        <v>0</v>
      </c>
      <c r="BW49" s="750"/>
      <c r="BX49" s="377"/>
      <c r="BY49" s="377"/>
      <c r="BZ49" s="750">
        <f t="shared" si="54"/>
        <v>0</v>
      </c>
      <c r="CA49" s="750"/>
      <c r="CB49" s="377"/>
      <c r="CC49" s="377"/>
      <c r="CD49" s="750">
        <f t="shared" si="55"/>
        <v>0</v>
      </c>
      <c r="CE49" s="750"/>
      <c r="CF49" s="377"/>
      <c r="CG49" s="377"/>
      <c r="CH49" s="750">
        <f t="shared" si="56"/>
        <v>0</v>
      </c>
      <c r="CI49" s="750"/>
      <c r="CJ49" s="377"/>
      <c r="CK49" s="377"/>
      <c r="CL49" s="750">
        <f t="shared" si="57"/>
        <v>0</v>
      </c>
      <c r="CM49" s="386"/>
      <c r="CN49" s="751"/>
      <c r="CO49" s="751"/>
      <c r="CP49" s="751">
        <f t="shared" si="58"/>
        <v>0</v>
      </c>
      <c r="CQ49" s="751"/>
      <c r="CR49" s="374"/>
      <c r="CS49" s="374"/>
      <c r="CT49" s="744">
        <f t="shared" si="59"/>
        <v>0</v>
      </c>
      <c r="CU49" s="745"/>
      <c r="CV49" s="373"/>
      <c r="CW49" s="373"/>
      <c r="CX49" s="744">
        <f t="shared" si="60"/>
        <v>0</v>
      </c>
      <c r="CY49" s="745"/>
      <c r="CZ49" s="373"/>
      <c r="DA49" s="373"/>
      <c r="DB49" s="744">
        <f t="shared" si="61"/>
        <v>0</v>
      </c>
      <c r="DC49" s="745"/>
      <c r="DG49" s="746"/>
      <c r="DH49" s="746"/>
      <c r="DI49" s="746"/>
      <c r="DJ49" s="747"/>
      <c r="DK49" s="718"/>
      <c r="DL49" s="718"/>
    </row>
    <row r="50" spans="1:116" ht="12.75" hidden="1" customHeight="1">
      <c r="A50" s="738"/>
      <c r="B50" s="739"/>
      <c r="C50" s="738" t="s">
        <v>340</v>
      </c>
      <c r="D50" s="748"/>
      <c r="E50" s="377">
        <f t="shared" si="62"/>
        <v>0</v>
      </c>
      <c r="F50" s="826">
        <f t="shared" si="35"/>
        <v>0</v>
      </c>
      <c r="G50" s="749">
        <f t="shared" si="36"/>
        <v>0</v>
      </c>
      <c r="H50" s="749" t="e">
        <f t="shared" si="37"/>
        <v>#DIV/0!</v>
      </c>
      <c r="I50" s="377"/>
      <c r="J50" s="377"/>
      <c r="K50" s="750">
        <f t="shared" si="10"/>
        <v>0</v>
      </c>
      <c r="L50" s="750"/>
      <c r="M50" s="377"/>
      <c r="N50" s="377"/>
      <c r="O50" s="750">
        <f t="shared" si="38"/>
        <v>0</v>
      </c>
      <c r="P50" s="750"/>
      <c r="Q50" s="377"/>
      <c r="R50" s="377"/>
      <c r="S50" s="750">
        <f t="shared" si="39"/>
        <v>0</v>
      </c>
      <c r="T50" s="750"/>
      <c r="U50" s="377"/>
      <c r="V50" s="377"/>
      <c r="W50" s="750">
        <f t="shared" si="40"/>
        <v>0</v>
      </c>
      <c r="X50" s="750"/>
      <c r="Y50" s="377">
        <f t="shared" si="63"/>
        <v>0</v>
      </c>
      <c r="Z50" s="377">
        <f t="shared" si="63"/>
        <v>0</v>
      </c>
      <c r="AA50" s="750">
        <f t="shared" si="41"/>
        <v>0</v>
      </c>
      <c r="AB50" s="750"/>
      <c r="AC50" s="377"/>
      <c r="AD50" s="377"/>
      <c r="AE50" s="750">
        <f t="shared" si="42"/>
        <v>0</v>
      </c>
      <c r="AF50" s="750" t="e">
        <f>AD50/AC50</f>
        <v>#DIV/0!</v>
      </c>
      <c r="AG50" s="377"/>
      <c r="AH50" s="377"/>
      <c r="AI50" s="750">
        <f t="shared" si="43"/>
        <v>0</v>
      </c>
      <c r="AJ50" s="377"/>
      <c r="AK50" s="377"/>
      <c r="AL50" s="750">
        <f t="shared" si="44"/>
        <v>0</v>
      </c>
      <c r="AM50" s="750"/>
      <c r="AN50" s="377"/>
      <c r="AO50" s="377"/>
      <c r="AP50" s="750">
        <f t="shared" si="45"/>
        <v>0</v>
      </c>
      <c r="AQ50" s="750"/>
      <c r="AR50" s="750"/>
      <c r="AS50" s="750"/>
      <c r="AT50" s="750">
        <f t="shared" si="46"/>
        <v>0</v>
      </c>
      <c r="AU50" s="750"/>
      <c r="AV50" s="377"/>
      <c r="AW50" s="377"/>
      <c r="AX50" s="750">
        <f t="shared" si="47"/>
        <v>0</v>
      </c>
      <c r="AY50" s="750"/>
      <c r="AZ50" s="377"/>
      <c r="BA50" s="377"/>
      <c r="BB50" s="750">
        <f t="shared" si="48"/>
        <v>0</v>
      </c>
      <c r="BC50" s="750"/>
      <c r="BD50" s="377"/>
      <c r="BE50" s="377"/>
      <c r="BF50" s="750">
        <f t="shared" si="49"/>
        <v>0</v>
      </c>
      <c r="BG50" s="750"/>
      <c r="BH50" s="377"/>
      <c r="BI50" s="377"/>
      <c r="BJ50" s="750">
        <f t="shared" si="50"/>
        <v>0</v>
      </c>
      <c r="BK50" s="750"/>
      <c r="BL50" s="377"/>
      <c r="BM50" s="377"/>
      <c r="BN50" s="750">
        <f t="shared" si="51"/>
        <v>0</v>
      </c>
      <c r="BO50" s="728"/>
      <c r="BP50" s="377"/>
      <c r="BQ50" s="377"/>
      <c r="BR50" s="750">
        <f t="shared" si="52"/>
        <v>0</v>
      </c>
      <c r="BS50" s="750"/>
      <c r="BT50" s="377"/>
      <c r="BU50" s="377"/>
      <c r="BV50" s="750">
        <f t="shared" si="53"/>
        <v>0</v>
      </c>
      <c r="BW50" s="750"/>
      <c r="BX50" s="377"/>
      <c r="BY50" s="377"/>
      <c r="BZ50" s="750">
        <f t="shared" si="54"/>
        <v>0</v>
      </c>
      <c r="CA50" s="750"/>
      <c r="CB50" s="377"/>
      <c r="CC50" s="377"/>
      <c r="CD50" s="750">
        <f t="shared" si="55"/>
        <v>0</v>
      </c>
      <c r="CE50" s="750"/>
      <c r="CF50" s="377"/>
      <c r="CG50" s="377"/>
      <c r="CH50" s="750">
        <f t="shared" si="56"/>
        <v>0</v>
      </c>
      <c r="CI50" s="750"/>
      <c r="CJ50" s="377"/>
      <c r="CK50" s="377"/>
      <c r="CL50" s="750">
        <f t="shared" si="57"/>
        <v>0</v>
      </c>
      <c r="CM50" s="386"/>
      <c r="CN50" s="751"/>
      <c r="CO50" s="751"/>
      <c r="CP50" s="751">
        <f t="shared" si="58"/>
        <v>0</v>
      </c>
      <c r="CQ50" s="751"/>
      <c r="CR50" s="374"/>
      <c r="CS50" s="374"/>
      <c r="CT50" s="744">
        <f t="shared" si="59"/>
        <v>0</v>
      </c>
      <c r="CU50" s="745"/>
      <c r="CV50" s="373"/>
      <c r="CW50" s="373"/>
      <c r="CX50" s="744">
        <f t="shared" si="60"/>
        <v>0</v>
      </c>
      <c r="CY50" s="745"/>
      <c r="CZ50" s="373"/>
      <c r="DA50" s="373"/>
      <c r="DB50" s="744">
        <f t="shared" si="61"/>
        <v>0</v>
      </c>
      <c r="DC50" s="745"/>
      <c r="DG50" s="746"/>
      <c r="DH50" s="746"/>
      <c r="DI50" s="746"/>
      <c r="DJ50" s="747"/>
      <c r="DK50" s="718"/>
      <c r="DL50" s="718"/>
    </row>
    <row r="51" spans="1:116" ht="12.75" hidden="1" customHeight="1">
      <c r="A51" s="738"/>
      <c r="B51" s="739"/>
      <c r="C51" s="738" t="s">
        <v>696</v>
      </c>
      <c r="D51" s="748">
        <v>0</v>
      </c>
      <c r="E51" s="377">
        <f t="shared" si="62"/>
        <v>0</v>
      </c>
      <c r="F51" s="826">
        <f t="shared" si="35"/>
        <v>0</v>
      </c>
      <c r="G51" s="749">
        <f t="shared" si="36"/>
        <v>0</v>
      </c>
      <c r="H51" s="749">
        <v>0</v>
      </c>
      <c r="I51" s="377"/>
      <c r="J51" s="377"/>
      <c r="K51" s="750">
        <f t="shared" si="10"/>
        <v>0</v>
      </c>
      <c r="L51" s="750"/>
      <c r="M51" s="377"/>
      <c r="N51" s="377"/>
      <c r="O51" s="750">
        <f t="shared" si="38"/>
        <v>0</v>
      </c>
      <c r="P51" s="750"/>
      <c r="Q51" s="377"/>
      <c r="R51" s="377"/>
      <c r="S51" s="750">
        <f t="shared" si="39"/>
        <v>0</v>
      </c>
      <c r="T51" s="750"/>
      <c r="U51" s="377"/>
      <c r="V51" s="377"/>
      <c r="W51" s="750">
        <f t="shared" si="40"/>
        <v>0</v>
      </c>
      <c r="X51" s="750"/>
      <c r="Y51" s="377">
        <f t="shared" si="63"/>
        <v>0</v>
      </c>
      <c r="Z51" s="377">
        <f t="shared" si="63"/>
        <v>0</v>
      </c>
      <c r="AA51" s="750">
        <f t="shared" si="41"/>
        <v>0</v>
      </c>
      <c r="AB51" s="750"/>
      <c r="AC51" s="377"/>
      <c r="AD51" s="377"/>
      <c r="AE51" s="750">
        <f t="shared" si="42"/>
        <v>0</v>
      </c>
      <c r="AF51" s="750" t="e">
        <f>AD51/AC51</f>
        <v>#DIV/0!</v>
      </c>
      <c r="AG51" s="377"/>
      <c r="AH51" s="377"/>
      <c r="AI51" s="750">
        <f t="shared" si="43"/>
        <v>0</v>
      </c>
      <c r="AJ51" s="377"/>
      <c r="AK51" s="377"/>
      <c r="AL51" s="750">
        <f t="shared" si="44"/>
        <v>0</v>
      </c>
      <c r="AM51" s="750"/>
      <c r="AN51" s="377"/>
      <c r="AO51" s="377"/>
      <c r="AP51" s="750">
        <f t="shared" si="45"/>
        <v>0</v>
      </c>
      <c r="AQ51" s="750"/>
      <c r="AR51" s="750"/>
      <c r="AS51" s="750"/>
      <c r="AT51" s="750">
        <f t="shared" si="46"/>
        <v>0</v>
      </c>
      <c r="AU51" s="750"/>
      <c r="AV51" s="377"/>
      <c r="AW51" s="377"/>
      <c r="AX51" s="750">
        <f t="shared" si="47"/>
        <v>0</v>
      </c>
      <c r="AY51" s="750"/>
      <c r="AZ51" s="377"/>
      <c r="BA51" s="377"/>
      <c r="BB51" s="750">
        <f t="shared" si="48"/>
        <v>0</v>
      </c>
      <c r="BC51" s="750"/>
      <c r="BD51" s="377"/>
      <c r="BE51" s="377"/>
      <c r="BF51" s="750">
        <f t="shared" si="49"/>
        <v>0</v>
      </c>
      <c r="BG51" s="750"/>
      <c r="BH51" s="377"/>
      <c r="BI51" s="377"/>
      <c r="BJ51" s="750">
        <f t="shared" si="50"/>
        <v>0</v>
      </c>
      <c r="BK51" s="750"/>
      <c r="BL51" s="377"/>
      <c r="BM51" s="377"/>
      <c r="BN51" s="750">
        <f t="shared" si="51"/>
        <v>0</v>
      </c>
      <c r="BO51" s="728"/>
      <c r="BP51" s="377"/>
      <c r="BQ51" s="377"/>
      <c r="BR51" s="750">
        <f t="shared" si="52"/>
        <v>0</v>
      </c>
      <c r="BS51" s="750"/>
      <c r="BT51" s="377"/>
      <c r="BU51" s="377"/>
      <c r="BV51" s="750">
        <f t="shared" si="53"/>
        <v>0</v>
      </c>
      <c r="BW51" s="750"/>
      <c r="BX51" s="377"/>
      <c r="BY51" s="377"/>
      <c r="BZ51" s="750">
        <f t="shared" si="54"/>
        <v>0</v>
      </c>
      <c r="CA51" s="750"/>
      <c r="CB51" s="377"/>
      <c r="CC51" s="377"/>
      <c r="CD51" s="750">
        <f t="shared" si="55"/>
        <v>0</v>
      </c>
      <c r="CE51" s="750"/>
      <c r="CF51" s="377"/>
      <c r="CG51" s="377"/>
      <c r="CH51" s="750">
        <f t="shared" si="56"/>
        <v>0</v>
      </c>
      <c r="CI51" s="750"/>
      <c r="CJ51" s="377"/>
      <c r="CK51" s="377"/>
      <c r="CL51" s="750">
        <f t="shared" si="57"/>
        <v>0</v>
      </c>
      <c r="CM51" s="386"/>
      <c r="CN51" s="751"/>
      <c r="CO51" s="751"/>
      <c r="CP51" s="751">
        <f t="shared" si="58"/>
        <v>0</v>
      </c>
      <c r="CQ51" s="751"/>
      <c r="CR51" s="374"/>
      <c r="CS51" s="374"/>
      <c r="CT51" s="744">
        <f t="shared" si="59"/>
        <v>0</v>
      </c>
      <c r="CU51" s="745"/>
      <c r="CV51" s="373"/>
      <c r="CW51" s="373"/>
      <c r="CX51" s="744">
        <f t="shared" si="60"/>
        <v>0</v>
      </c>
      <c r="CY51" s="745"/>
      <c r="CZ51" s="373"/>
      <c r="DA51" s="373"/>
      <c r="DB51" s="744">
        <f t="shared" si="61"/>
        <v>0</v>
      </c>
      <c r="DC51" s="745"/>
      <c r="DG51" s="746"/>
      <c r="DH51" s="746"/>
      <c r="DI51" s="746"/>
      <c r="DJ51" s="747"/>
      <c r="DK51" s="718"/>
      <c r="DL51" s="718"/>
    </row>
    <row r="52" spans="1:116" ht="12.75" hidden="1" customHeight="1">
      <c r="A52" s="738"/>
      <c r="B52" s="739"/>
      <c r="C52" s="738" t="s">
        <v>697</v>
      </c>
      <c r="D52" s="748"/>
      <c r="E52" s="377">
        <f t="shared" si="62"/>
        <v>0</v>
      </c>
      <c r="F52" s="826">
        <f t="shared" si="35"/>
        <v>0</v>
      </c>
      <c r="G52" s="749">
        <f t="shared" si="36"/>
        <v>0</v>
      </c>
      <c r="H52" s="749" t="e">
        <f t="shared" si="37"/>
        <v>#DIV/0!</v>
      </c>
      <c r="I52" s="377"/>
      <c r="J52" s="377"/>
      <c r="K52" s="750">
        <f t="shared" si="10"/>
        <v>0</v>
      </c>
      <c r="L52" s="750"/>
      <c r="M52" s="377"/>
      <c r="N52" s="377"/>
      <c r="O52" s="750">
        <f t="shared" si="38"/>
        <v>0</v>
      </c>
      <c r="P52" s="750"/>
      <c r="Q52" s="377"/>
      <c r="R52" s="377"/>
      <c r="S52" s="750">
        <f t="shared" si="39"/>
        <v>0</v>
      </c>
      <c r="T52" s="750"/>
      <c r="U52" s="377"/>
      <c r="V52" s="377"/>
      <c r="W52" s="750">
        <f t="shared" si="40"/>
        <v>0</v>
      </c>
      <c r="X52" s="750"/>
      <c r="Y52" s="377">
        <f t="shared" si="63"/>
        <v>0</v>
      </c>
      <c r="Z52" s="377">
        <f t="shared" si="63"/>
        <v>0</v>
      </c>
      <c r="AA52" s="750">
        <f t="shared" si="41"/>
        <v>0</v>
      </c>
      <c r="AB52" s="750"/>
      <c r="AC52" s="377"/>
      <c r="AD52" s="377"/>
      <c r="AE52" s="750">
        <f t="shared" si="42"/>
        <v>0</v>
      </c>
      <c r="AF52" s="750" t="e">
        <f>AD52/AC52</f>
        <v>#DIV/0!</v>
      </c>
      <c r="AG52" s="377"/>
      <c r="AH52" s="377"/>
      <c r="AI52" s="750">
        <f t="shared" si="43"/>
        <v>0</v>
      </c>
      <c r="AJ52" s="377"/>
      <c r="AK52" s="377"/>
      <c r="AL52" s="750">
        <f t="shared" si="44"/>
        <v>0</v>
      </c>
      <c r="AM52" s="750"/>
      <c r="AN52" s="377"/>
      <c r="AO52" s="377"/>
      <c r="AP52" s="750">
        <f t="shared" si="45"/>
        <v>0</v>
      </c>
      <c r="AQ52" s="750"/>
      <c r="AR52" s="750"/>
      <c r="AS52" s="750"/>
      <c r="AT52" s="750">
        <f t="shared" si="46"/>
        <v>0</v>
      </c>
      <c r="AU52" s="750"/>
      <c r="AV52" s="377"/>
      <c r="AW52" s="377"/>
      <c r="AX52" s="750">
        <f t="shared" si="47"/>
        <v>0</v>
      </c>
      <c r="AY52" s="750"/>
      <c r="AZ52" s="377"/>
      <c r="BA52" s="377"/>
      <c r="BB52" s="750">
        <f t="shared" si="48"/>
        <v>0</v>
      </c>
      <c r="BC52" s="750"/>
      <c r="BD52" s="377"/>
      <c r="BE52" s="377"/>
      <c r="BF52" s="750">
        <f t="shared" si="49"/>
        <v>0</v>
      </c>
      <c r="BG52" s="750"/>
      <c r="BH52" s="377"/>
      <c r="BI52" s="377"/>
      <c r="BJ52" s="750">
        <f t="shared" si="50"/>
        <v>0</v>
      </c>
      <c r="BK52" s="750"/>
      <c r="BL52" s="377"/>
      <c r="BM52" s="377"/>
      <c r="BN52" s="750">
        <f t="shared" si="51"/>
        <v>0</v>
      </c>
      <c r="BO52" s="728"/>
      <c r="BP52" s="377"/>
      <c r="BQ52" s="377"/>
      <c r="BR52" s="750">
        <f t="shared" si="52"/>
        <v>0</v>
      </c>
      <c r="BS52" s="750"/>
      <c r="BT52" s="377"/>
      <c r="BU52" s="377"/>
      <c r="BV52" s="750">
        <f t="shared" si="53"/>
        <v>0</v>
      </c>
      <c r="BW52" s="750"/>
      <c r="BX52" s="377"/>
      <c r="BY52" s="377"/>
      <c r="BZ52" s="750">
        <f t="shared" si="54"/>
        <v>0</v>
      </c>
      <c r="CA52" s="750"/>
      <c r="CB52" s="377"/>
      <c r="CC52" s="377"/>
      <c r="CD52" s="750">
        <f t="shared" si="55"/>
        <v>0</v>
      </c>
      <c r="CE52" s="750"/>
      <c r="CF52" s="377"/>
      <c r="CG52" s="377"/>
      <c r="CH52" s="750">
        <f t="shared" si="56"/>
        <v>0</v>
      </c>
      <c r="CI52" s="750"/>
      <c r="CJ52" s="377"/>
      <c r="CK52" s="377"/>
      <c r="CL52" s="750">
        <f t="shared" si="57"/>
        <v>0</v>
      </c>
      <c r="CM52" s="386"/>
      <c r="CN52" s="751"/>
      <c r="CO52" s="751"/>
      <c r="CP52" s="751">
        <f t="shared" si="58"/>
        <v>0</v>
      </c>
      <c r="CQ52" s="751"/>
      <c r="CR52" s="374"/>
      <c r="CS52" s="374"/>
      <c r="CT52" s="744">
        <f t="shared" si="59"/>
        <v>0</v>
      </c>
      <c r="CU52" s="745"/>
      <c r="CV52" s="373"/>
      <c r="CW52" s="373"/>
      <c r="CX52" s="744">
        <f t="shared" si="60"/>
        <v>0</v>
      </c>
      <c r="CY52" s="745"/>
      <c r="CZ52" s="373"/>
      <c r="DA52" s="373"/>
      <c r="DB52" s="744">
        <f t="shared" si="61"/>
        <v>0</v>
      </c>
      <c r="DC52" s="745"/>
      <c r="DG52" s="746"/>
      <c r="DH52" s="746"/>
      <c r="DI52" s="746"/>
      <c r="DJ52" s="747"/>
      <c r="DK52" s="718"/>
      <c r="DL52" s="718"/>
    </row>
    <row r="53" spans="1:116" ht="12.75" hidden="1" customHeight="1">
      <c r="A53" s="738"/>
      <c r="B53" s="739"/>
      <c r="C53" s="769" t="s">
        <v>341</v>
      </c>
      <c r="D53" s="748"/>
      <c r="E53" s="377">
        <f t="shared" si="62"/>
        <v>0</v>
      </c>
      <c r="F53" s="826">
        <f t="shared" si="35"/>
        <v>0</v>
      </c>
      <c r="G53" s="749">
        <f t="shared" si="36"/>
        <v>0</v>
      </c>
      <c r="H53" s="749" t="e">
        <f t="shared" si="37"/>
        <v>#DIV/0!</v>
      </c>
      <c r="I53" s="377"/>
      <c r="J53" s="377"/>
      <c r="K53" s="750">
        <f t="shared" si="10"/>
        <v>0</v>
      </c>
      <c r="L53" s="750"/>
      <c r="M53" s="377"/>
      <c r="N53" s="377"/>
      <c r="O53" s="750">
        <f t="shared" si="38"/>
        <v>0</v>
      </c>
      <c r="P53" s="750"/>
      <c r="Q53" s="377"/>
      <c r="R53" s="377"/>
      <c r="S53" s="750">
        <f t="shared" si="39"/>
        <v>0</v>
      </c>
      <c r="T53" s="750"/>
      <c r="U53" s="377"/>
      <c r="V53" s="377"/>
      <c r="W53" s="750">
        <f t="shared" si="40"/>
        <v>0</v>
      </c>
      <c r="X53" s="750"/>
      <c r="Y53" s="377">
        <f t="shared" si="63"/>
        <v>0</v>
      </c>
      <c r="Z53" s="377">
        <f t="shared" si="63"/>
        <v>0</v>
      </c>
      <c r="AA53" s="750">
        <f t="shared" si="41"/>
        <v>0</v>
      </c>
      <c r="AB53" s="750"/>
      <c r="AC53" s="377"/>
      <c r="AD53" s="377"/>
      <c r="AE53" s="750">
        <f t="shared" si="42"/>
        <v>0</v>
      </c>
      <c r="AF53" s="750"/>
      <c r="AG53" s="377"/>
      <c r="AH53" s="377"/>
      <c r="AI53" s="750">
        <f t="shared" si="43"/>
        <v>0</v>
      </c>
      <c r="AJ53" s="377"/>
      <c r="AK53" s="377"/>
      <c r="AL53" s="750">
        <f t="shared" si="44"/>
        <v>0</v>
      </c>
      <c r="AM53" s="750"/>
      <c r="AN53" s="377"/>
      <c r="AO53" s="377"/>
      <c r="AP53" s="750">
        <f t="shared" si="45"/>
        <v>0</v>
      </c>
      <c r="AQ53" s="750"/>
      <c r="AR53" s="750"/>
      <c r="AS53" s="750"/>
      <c r="AT53" s="750">
        <f t="shared" si="46"/>
        <v>0</v>
      </c>
      <c r="AU53" s="750"/>
      <c r="AV53" s="377"/>
      <c r="AW53" s="377"/>
      <c r="AX53" s="750">
        <f t="shared" si="47"/>
        <v>0</v>
      </c>
      <c r="AY53" s="750"/>
      <c r="AZ53" s="377"/>
      <c r="BA53" s="377"/>
      <c r="BB53" s="750">
        <f t="shared" si="48"/>
        <v>0</v>
      </c>
      <c r="BC53" s="750"/>
      <c r="BD53" s="377"/>
      <c r="BE53" s="377"/>
      <c r="BF53" s="750">
        <f t="shared" si="49"/>
        <v>0</v>
      </c>
      <c r="BG53" s="750"/>
      <c r="BH53" s="377"/>
      <c r="BI53" s="377"/>
      <c r="BJ53" s="750">
        <f t="shared" si="50"/>
        <v>0</v>
      </c>
      <c r="BK53" s="750"/>
      <c r="BL53" s="377"/>
      <c r="BM53" s="377"/>
      <c r="BN53" s="750">
        <f t="shared" si="51"/>
        <v>0</v>
      </c>
      <c r="BO53" s="728"/>
      <c r="BP53" s="377"/>
      <c r="BQ53" s="377"/>
      <c r="BR53" s="750">
        <f t="shared" si="52"/>
        <v>0</v>
      </c>
      <c r="BS53" s="750"/>
      <c r="BT53" s="377"/>
      <c r="BU53" s="377"/>
      <c r="BV53" s="750">
        <f t="shared" si="53"/>
        <v>0</v>
      </c>
      <c r="BW53" s="750"/>
      <c r="BX53" s="377"/>
      <c r="BY53" s="377"/>
      <c r="BZ53" s="750">
        <f t="shared" si="54"/>
        <v>0</v>
      </c>
      <c r="CA53" s="750"/>
      <c r="CB53" s="377"/>
      <c r="CC53" s="377"/>
      <c r="CD53" s="750">
        <f t="shared" si="55"/>
        <v>0</v>
      </c>
      <c r="CE53" s="750"/>
      <c r="CF53" s="377"/>
      <c r="CG53" s="377"/>
      <c r="CH53" s="750">
        <f t="shared" si="56"/>
        <v>0</v>
      </c>
      <c r="CI53" s="750"/>
      <c r="CJ53" s="377"/>
      <c r="CK53" s="377"/>
      <c r="CL53" s="750">
        <f t="shared" si="57"/>
        <v>0</v>
      </c>
      <c r="CM53" s="386"/>
      <c r="CN53" s="751"/>
      <c r="CO53" s="751"/>
      <c r="CP53" s="751">
        <f t="shared" si="58"/>
        <v>0</v>
      </c>
      <c r="CQ53" s="751"/>
      <c r="CR53" s="374"/>
      <c r="CS53" s="374"/>
      <c r="CT53" s="744">
        <f t="shared" si="59"/>
        <v>0</v>
      </c>
      <c r="CU53" s="745"/>
      <c r="CV53" s="373"/>
      <c r="CW53" s="373"/>
      <c r="CX53" s="744">
        <f t="shared" si="60"/>
        <v>0</v>
      </c>
      <c r="CY53" s="745"/>
      <c r="CZ53" s="373"/>
      <c r="DA53" s="373"/>
      <c r="DB53" s="744">
        <f t="shared" si="61"/>
        <v>0</v>
      </c>
      <c r="DC53" s="745"/>
      <c r="DG53" s="746"/>
      <c r="DH53" s="746"/>
      <c r="DI53" s="746"/>
      <c r="DJ53" s="747"/>
      <c r="DK53" s="718"/>
      <c r="DL53" s="718"/>
    </row>
    <row r="54" spans="1:116" ht="12.75" hidden="1" customHeight="1">
      <c r="A54" s="738"/>
      <c r="B54" s="739"/>
      <c r="C54" s="738" t="s">
        <v>342</v>
      </c>
      <c r="D54" s="748">
        <v>0</v>
      </c>
      <c r="E54" s="377">
        <f t="shared" si="62"/>
        <v>0</v>
      </c>
      <c r="F54" s="826">
        <f>J54+N54+R54+V54+Z54+AK54+AO54+AS54+AW54+BE54+BI54+BY54+CG54+CK54+CO54+CS54+CW54+DA54+BA54+BM54+BU54</f>
        <v>0</v>
      </c>
      <c r="G54" s="749">
        <f t="shared" si="36"/>
        <v>0</v>
      </c>
      <c r="H54" s="749"/>
      <c r="I54" s="377"/>
      <c r="J54" s="377"/>
      <c r="K54" s="750">
        <f t="shared" si="10"/>
        <v>0</v>
      </c>
      <c r="L54" s="750"/>
      <c r="M54" s="377"/>
      <c r="N54" s="377"/>
      <c r="O54" s="750">
        <f t="shared" si="38"/>
        <v>0</v>
      </c>
      <c r="P54" s="750"/>
      <c r="Q54" s="377"/>
      <c r="R54" s="377"/>
      <c r="S54" s="750">
        <f t="shared" si="39"/>
        <v>0</v>
      </c>
      <c r="T54" s="750"/>
      <c r="U54" s="377"/>
      <c r="V54" s="377"/>
      <c r="W54" s="750">
        <f t="shared" si="40"/>
        <v>0</v>
      </c>
      <c r="X54" s="750"/>
      <c r="Y54" s="377">
        <f t="shared" si="63"/>
        <v>0</v>
      </c>
      <c r="Z54" s="377">
        <f t="shared" si="63"/>
        <v>0</v>
      </c>
      <c r="AA54" s="750">
        <f t="shared" si="41"/>
        <v>0</v>
      </c>
      <c r="AB54" s="750"/>
      <c r="AC54" s="377"/>
      <c r="AD54" s="377"/>
      <c r="AE54" s="750">
        <f t="shared" si="42"/>
        <v>0</v>
      </c>
      <c r="AF54" s="750"/>
      <c r="AG54" s="377"/>
      <c r="AH54" s="377"/>
      <c r="AI54" s="750">
        <f t="shared" si="43"/>
        <v>0</v>
      </c>
      <c r="AJ54" s="377"/>
      <c r="AK54" s="377"/>
      <c r="AL54" s="750">
        <f t="shared" si="44"/>
        <v>0</v>
      </c>
      <c r="AM54" s="750"/>
      <c r="AN54" s="377"/>
      <c r="AO54" s="377"/>
      <c r="AP54" s="750">
        <f t="shared" si="45"/>
        <v>0</v>
      </c>
      <c r="AQ54" s="750"/>
      <c r="AR54" s="750"/>
      <c r="AS54" s="750"/>
      <c r="AT54" s="750">
        <f t="shared" si="46"/>
        <v>0</v>
      </c>
      <c r="AU54" s="750"/>
      <c r="AV54" s="377"/>
      <c r="AW54" s="377"/>
      <c r="AX54" s="750">
        <f t="shared" si="47"/>
        <v>0</v>
      </c>
      <c r="AY54" s="750"/>
      <c r="AZ54" s="377"/>
      <c r="BA54" s="377"/>
      <c r="BB54" s="750">
        <f t="shared" si="48"/>
        <v>0</v>
      </c>
      <c r="BC54" s="750"/>
      <c r="BD54" s="377"/>
      <c r="BE54" s="377"/>
      <c r="BF54" s="750">
        <f t="shared" si="49"/>
        <v>0</v>
      </c>
      <c r="BG54" s="750"/>
      <c r="BH54" s="377"/>
      <c r="BI54" s="377"/>
      <c r="BJ54" s="750">
        <f t="shared" si="50"/>
        <v>0</v>
      </c>
      <c r="BK54" s="750"/>
      <c r="BL54" s="377"/>
      <c r="BM54" s="377"/>
      <c r="BN54" s="750">
        <f t="shared" si="51"/>
        <v>0</v>
      </c>
      <c r="BO54" s="728"/>
      <c r="BP54" s="377"/>
      <c r="BQ54" s="377"/>
      <c r="BR54" s="750">
        <f t="shared" si="52"/>
        <v>0</v>
      </c>
      <c r="BS54" s="750"/>
      <c r="BT54" s="377"/>
      <c r="BU54" s="377"/>
      <c r="BV54" s="750">
        <f t="shared" si="53"/>
        <v>0</v>
      </c>
      <c r="BW54" s="750"/>
      <c r="BX54" s="377"/>
      <c r="BY54" s="377"/>
      <c r="BZ54" s="750">
        <f t="shared" si="54"/>
        <v>0</v>
      </c>
      <c r="CA54" s="750"/>
      <c r="CB54" s="377"/>
      <c r="CC54" s="377"/>
      <c r="CD54" s="750">
        <f t="shared" si="55"/>
        <v>0</v>
      </c>
      <c r="CE54" s="750"/>
      <c r="CF54" s="377"/>
      <c r="CG54" s="377"/>
      <c r="CH54" s="750">
        <f t="shared" si="56"/>
        <v>0</v>
      </c>
      <c r="CI54" s="750"/>
      <c r="CJ54" s="377"/>
      <c r="CK54" s="377"/>
      <c r="CL54" s="750">
        <f t="shared" si="57"/>
        <v>0</v>
      </c>
      <c r="CM54" s="386"/>
      <c r="CN54" s="751"/>
      <c r="CO54" s="751"/>
      <c r="CP54" s="751">
        <f t="shared" si="58"/>
        <v>0</v>
      </c>
      <c r="CQ54" s="751"/>
      <c r="CR54" s="374"/>
      <c r="CS54" s="374"/>
      <c r="CT54" s="744">
        <f t="shared" si="59"/>
        <v>0</v>
      </c>
      <c r="CU54" s="745"/>
      <c r="CV54" s="373"/>
      <c r="CW54" s="373"/>
      <c r="CX54" s="744">
        <f t="shared" si="60"/>
        <v>0</v>
      </c>
      <c r="CY54" s="745"/>
      <c r="CZ54" s="373"/>
      <c r="DA54" s="373"/>
      <c r="DB54" s="744">
        <f t="shared" si="61"/>
        <v>0</v>
      </c>
      <c r="DC54" s="745"/>
      <c r="DG54" s="746"/>
      <c r="DH54" s="746"/>
      <c r="DI54" s="746"/>
      <c r="DJ54" s="747"/>
      <c r="DK54" s="718"/>
      <c r="DL54" s="718"/>
    </row>
    <row r="55" spans="1:116" ht="12" hidden="1" customHeight="1">
      <c r="A55" s="738"/>
      <c r="B55" s="739"/>
      <c r="C55" s="738" t="s">
        <v>343</v>
      </c>
      <c r="D55" s="748"/>
      <c r="E55" s="377">
        <f t="shared" si="62"/>
        <v>0</v>
      </c>
      <c r="F55" s="826">
        <f t="shared" ref="F55:F70" si="64">J55+N55+R55+V55+Z55+AK55+AO55+AS55+AW55+BE55+BI55+BY55+CG55+CK55+CO55+CS55+CW55+DA55+BM55+BU55</f>
        <v>0</v>
      </c>
      <c r="G55" s="749">
        <f t="shared" si="36"/>
        <v>0</v>
      </c>
      <c r="H55" s="749"/>
      <c r="I55" s="377"/>
      <c r="J55" s="377"/>
      <c r="K55" s="750">
        <f t="shared" si="10"/>
        <v>0</v>
      </c>
      <c r="L55" s="750"/>
      <c r="M55" s="377"/>
      <c r="N55" s="377"/>
      <c r="O55" s="750">
        <f t="shared" si="38"/>
        <v>0</v>
      </c>
      <c r="P55" s="750"/>
      <c r="Q55" s="377"/>
      <c r="R55" s="377"/>
      <c r="S55" s="750">
        <f t="shared" si="39"/>
        <v>0</v>
      </c>
      <c r="T55" s="750"/>
      <c r="U55" s="377"/>
      <c r="V55" s="377"/>
      <c r="W55" s="750">
        <f t="shared" si="40"/>
        <v>0</v>
      </c>
      <c r="X55" s="750"/>
      <c r="Y55" s="377">
        <f t="shared" si="63"/>
        <v>0</v>
      </c>
      <c r="Z55" s="377">
        <f t="shared" si="63"/>
        <v>0</v>
      </c>
      <c r="AA55" s="750">
        <f t="shared" si="41"/>
        <v>0</v>
      </c>
      <c r="AB55" s="750"/>
      <c r="AC55" s="377"/>
      <c r="AD55" s="377"/>
      <c r="AE55" s="750">
        <f t="shared" si="42"/>
        <v>0</v>
      </c>
      <c r="AF55" s="750"/>
      <c r="AG55" s="377"/>
      <c r="AH55" s="377"/>
      <c r="AI55" s="750">
        <f t="shared" si="43"/>
        <v>0</v>
      </c>
      <c r="AJ55" s="377"/>
      <c r="AK55" s="377"/>
      <c r="AL55" s="750">
        <f t="shared" si="44"/>
        <v>0</v>
      </c>
      <c r="AM55" s="750"/>
      <c r="AN55" s="377"/>
      <c r="AO55" s="377"/>
      <c r="AP55" s="750">
        <f t="shared" si="45"/>
        <v>0</v>
      </c>
      <c r="AQ55" s="750"/>
      <c r="AR55" s="750"/>
      <c r="AS55" s="750"/>
      <c r="AT55" s="750">
        <f t="shared" si="46"/>
        <v>0</v>
      </c>
      <c r="AU55" s="750"/>
      <c r="AV55" s="377"/>
      <c r="AW55" s="377"/>
      <c r="AX55" s="750">
        <f t="shared" si="47"/>
        <v>0</v>
      </c>
      <c r="AY55" s="750"/>
      <c r="AZ55" s="377"/>
      <c r="BA55" s="377"/>
      <c r="BB55" s="750">
        <f t="shared" si="48"/>
        <v>0</v>
      </c>
      <c r="BC55" s="750"/>
      <c r="BD55" s="377"/>
      <c r="BE55" s="377"/>
      <c r="BF55" s="750">
        <f t="shared" si="49"/>
        <v>0</v>
      </c>
      <c r="BG55" s="750"/>
      <c r="BH55" s="377"/>
      <c r="BI55" s="377"/>
      <c r="BJ55" s="750">
        <f t="shared" si="50"/>
        <v>0</v>
      </c>
      <c r="BK55" s="750"/>
      <c r="BL55" s="377"/>
      <c r="BM55" s="377"/>
      <c r="BN55" s="750">
        <f t="shared" si="51"/>
        <v>0</v>
      </c>
      <c r="BO55" s="728"/>
      <c r="BP55" s="377"/>
      <c r="BQ55" s="377"/>
      <c r="BR55" s="750">
        <f t="shared" si="52"/>
        <v>0</v>
      </c>
      <c r="BS55" s="750"/>
      <c r="BT55" s="377"/>
      <c r="BU55" s="377"/>
      <c r="BV55" s="750">
        <f t="shared" si="53"/>
        <v>0</v>
      </c>
      <c r="BW55" s="750"/>
      <c r="BX55" s="377"/>
      <c r="BY55" s="377"/>
      <c r="BZ55" s="750">
        <f t="shared" si="54"/>
        <v>0</v>
      </c>
      <c r="CA55" s="750"/>
      <c r="CB55" s="377"/>
      <c r="CC55" s="377"/>
      <c r="CD55" s="750">
        <f t="shared" si="55"/>
        <v>0</v>
      </c>
      <c r="CE55" s="750"/>
      <c r="CF55" s="377"/>
      <c r="CG55" s="377"/>
      <c r="CH55" s="750">
        <f t="shared" si="56"/>
        <v>0</v>
      </c>
      <c r="CI55" s="750"/>
      <c r="CJ55" s="377"/>
      <c r="CK55" s="377"/>
      <c r="CL55" s="750">
        <f t="shared" si="57"/>
        <v>0</v>
      </c>
      <c r="CM55" s="386"/>
      <c r="CN55" s="751"/>
      <c r="CO55" s="751"/>
      <c r="CP55" s="751">
        <f t="shared" si="58"/>
        <v>0</v>
      </c>
      <c r="CQ55" s="751"/>
      <c r="CR55" s="374"/>
      <c r="CS55" s="374"/>
      <c r="CT55" s="744">
        <f t="shared" si="59"/>
        <v>0</v>
      </c>
      <c r="CU55" s="745"/>
      <c r="CV55" s="373"/>
      <c r="CW55" s="373"/>
      <c r="CX55" s="744">
        <f t="shared" si="60"/>
        <v>0</v>
      </c>
      <c r="CY55" s="745"/>
      <c r="CZ55" s="373"/>
      <c r="DA55" s="373"/>
      <c r="DB55" s="744">
        <f t="shared" si="61"/>
        <v>0</v>
      </c>
      <c r="DC55" s="745"/>
      <c r="DG55" s="746"/>
      <c r="DH55" s="746"/>
      <c r="DI55" s="746"/>
      <c r="DJ55" s="747"/>
      <c r="DK55" s="718"/>
      <c r="DL55" s="718"/>
    </row>
    <row r="56" spans="1:116" ht="12.75" hidden="1" customHeight="1">
      <c r="A56" s="738"/>
      <c r="B56" s="739"/>
      <c r="C56" s="769" t="s">
        <v>344</v>
      </c>
      <c r="D56" s="748">
        <v>0</v>
      </c>
      <c r="E56" s="377">
        <f t="shared" si="62"/>
        <v>0</v>
      </c>
      <c r="F56" s="783">
        <f t="shared" si="64"/>
        <v>0</v>
      </c>
      <c r="G56" s="749">
        <f t="shared" si="36"/>
        <v>0</v>
      </c>
      <c r="H56" s="749" t="e">
        <f t="shared" ref="H56:H67" si="65">F56/E56</f>
        <v>#DIV/0!</v>
      </c>
      <c r="I56" s="377"/>
      <c r="J56" s="377"/>
      <c r="K56" s="750">
        <f t="shared" si="10"/>
        <v>0</v>
      </c>
      <c r="L56" s="750"/>
      <c r="M56" s="377"/>
      <c r="N56" s="377"/>
      <c r="O56" s="750">
        <f t="shared" si="38"/>
        <v>0</v>
      </c>
      <c r="P56" s="750"/>
      <c r="Q56" s="377"/>
      <c r="R56" s="377"/>
      <c r="S56" s="750">
        <f t="shared" si="39"/>
        <v>0</v>
      </c>
      <c r="T56" s="750"/>
      <c r="U56" s="377"/>
      <c r="V56" s="377"/>
      <c r="W56" s="750">
        <f t="shared" si="40"/>
        <v>0</v>
      </c>
      <c r="X56" s="750"/>
      <c r="Y56" s="377">
        <f t="shared" si="63"/>
        <v>0</v>
      </c>
      <c r="Z56" s="377">
        <f t="shared" si="63"/>
        <v>0</v>
      </c>
      <c r="AA56" s="750">
        <f t="shared" si="41"/>
        <v>0</v>
      </c>
      <c r="AB56" s="750"/>
      <c r="AC56" s="377"/>
      <c r="AD56" s="377"/>
      <c r="AE56" s="750">
        <f t="shared" si="42"/>
        <v>0</v>
      </c>
      <c r="AF56" s="750"/>
      <c r="AG56" s="377"/>
      <c r="AH56" s="377"/>
      <c r="AI56" s="750">
        <f t="shared" si="43"/>
        <v>0</v>
      </c>
      <c r="AJ56" s="377"/>
      <c r="AK56" s="377"/>
      <c r="AL56" s="750">
        <f t="shared" si="44"/>
        <v>0</v>
      </c>
      <c r="AM56" s="750"/>
      <c r="AN56" s="377"/>
      <c r="AO56" s="377"/>
      <c r="AP56" s="750">
        <f t="shared" si="45"/>
        <v>0</v>
      </c>
      <c r="AQ56" s="750"/>
      <c r="AR56" s="750"/>
      <c r="AS56" s="750"/>
      <c r="AT56" s="750">
        <f t="shared" si="46"/>
        <v>0</v>
      </c>
      <c r="AU56" s="750"/>
      <c r="AV56" s="377"/>
      <c r="AW56" s="377"/>
      <c r="AX56" s="750">
        <f t="shared" si="47"/>
        <v>0</v>
      </c>
      <c r="AY56" s="750"/>
      <c r="AZ56" s="377"/>
      <c r="BA56" s="377"/>
      <c r="BB56" s="750">
        <f t="shared" si="48"/>
        <v>0</v>
      </c>
      <c r="BC56" s="750"/>
      <c r="BD56" s="377"/>
      <c r="BE56" s="377"/>
      <c r="BF56" s="750">
        <f t="shared" si="49"/>
        <v>0</v>
      </c>
      <c r="BG56" s="750"/>
      <c r="BH56" s="377"/>
      <c r="BI56" s="377"/>
      <c r="BJ56" s="750">
        <f t="shared" si="50"/>
        <v>0</v>
      </c>
      <c r="BK56" s="750"/>
      <c r="BL56" s="377"/>
      <c r="BM56" s="377"/>
      <c r="BN56" s="750">
        <f t="shared" si="51"/>
        <v>0</v>
      </c>
      <c r="BO56" s="728"/>
      <c r="BP56" s="377"/>
      <c r="BQ56" s="377"/>
      <c r="BR56" s="750">
        <f t="shared" si="52"/>
        <v>0</v>
      </c>
      <c r="BS56" s="750"/>
      <c r="BT56" s="377"/>
      <c r="BU56" s="377"/>
      <c r="BV56" s="750">
        <f t="shared" si="53"/>
        <v>0</v>
      </c>
      <c r="BW56" s="750"/>
      <c r="BX56" s="377"/>
      <c r="BY56" s="377"/>
      <c r="BZ56" s="750">
        <f t="shared" si="54"/>
        <v>0</v>
      </c>
      <c r="CA56" s="750"/>
      <c r="CB56" s="377"/>
      <c r="CC56" s="377"/>
      <c r="CD56" s="750">
        <f t="shared" si="55"/>
        <v>0</v>
      </c>
      <c r="CE56" s="750"/>
      <c r="CF56" s="377"/>
      <c r="CG56" s="377"/>
      <c r="CH56" s="750">
        <f t="shared" si="56"/>
        <v>0</v>
      </c>
      <c r="CI56" s="750"/>
      <c r="CJ56" s="377"/>
      <c r="CK56" s="377"/>
      <c r="CL56" s="750">
        <f t="shared" si="57"/>
        <v>0</v>
      </c>
      <c r="CM56" s="386"/>
      <c r="CN56" s="751"/>
      <c r="CO56" s="751"/>
      <c r="CP56" s="751">
        <f t="shared" si="58"/>
        <v>0</v>
      </c>
      <c r="CQ56" s="751"/>
      <c r="CR56" s="374"/>
      <c r="CS56" s="374"/>
      <c r="CT56" s="744">
        <f t="shared" si="59"/>
        <v>0</v>
      </c>
      <c r="CU56" s="745"/>
      <c r="CV56" s="373"/>
      <c r="CW56" s="373"/>
      <c r="CX56" s="744">
        <f t="shared" si="60"/>
        <v>0</v>
      </c>
      <c r="CY56" s="745"/>
      <c r="CZ56" s="373"/>
      <c r="DA56" s="373"/>
      <c r="DB56" s="744">
        <f t="shared" si="61"/>
        <v>0</v>
      </c>
      <c r="DC56" s="745"/>
      <c r="DG56" s="746"/>
      <c r="DH56" s="746"/>
      <c r="DI56" s="746"/>
      <c r="DJ56" s="747"/>
      <c r="DK56" s="718"/>
      <c r="DL56" s="718"/>
    </row>
    <row r="57" spans="1:116" ht="12.75" hidden="1" customHeight="1">
      <c r="A57" s="738"/>
      <c r="B57" s="739"/>
      <c r="C57" s="738" t="s">
        <v>72</v>
      </c>
      <c r="D57" s="748"/>
      <c r="E57" s="377"/>
      <c r="F57" s="783">
        <f t="shared" si="64"/>
        <v>0</v>
      </c>
      <c r="G57" s="749">
        <f t="shared" si="36"/>
        <v>0</v>
      </c>
      <c r="H57" s="749" t="e">
        <f t="shared" si="65"/>
        <v>#DIV/0!</v>
      </c>
      <c r="I57" s="377"/>
      <c r="J57" s="377"/>
      <c r="K57" s="750">
        <f t="shared" si="10"/>
        <v>0</v>
      </c>
      <c r="L57" s="750"/>
      <c r="M57" s="377"/>
      <c r="N57" s="377"/>
      <c r="O57" s="750">
        <f t="shared" si="38"/>
        <v>0</v>
      </c>
      <c r="P57" s="750"/>
      <c r="Q57" s="377"/>
      <c r="R57" s="377"/>
      <c r="S57" s="750">
        <f t="shared" si="39"/>
        <v>0</v>
      </c>
      <c r="T57" s="750"/>
      <c r="U57" s="377"/>
      <c r="V57" s="377"/>
      <c r="W57" s="750">
        <f t="shared" si="40"/>
        <v>0</v>
      </c>
      <c r="X57" s="750"/>
      <c r="Y57" s="377">
        <f t="shared" si="63"/>
        <v>0</v>
      </c>
      <c r="Z57" s="377">
        <f t="shared" si="63"/>
        <v>0</v>
      </c>
      <c r="AA57" s="750">
        <f t="shared" si="41"/>
        <v>0</v>
      </c>
      <c r="AB57" s="750"/>
      <c r="AC57" s="377"/>
      <c r="AD57" s="377"/>
      <c r="AE57" s="750">
        <f t="shared" si="42"/>
        <v>0</v>
      </c>
      <c r="AF57" s="750"/>
      <c r="AG57" s="377"/>
      <c r="AH57" s="377"/>
      <c r="AI57" s="750">
        <f t="shared" si="43"/>
        <v>0</v>
      </c>
      <c r="AJ57" s="377"/>
      <c r="AK57" s="377"/>
      <c r="AL57" s="750">
        <f t="shared" si="44"/>
        <v>0</v>
      </c>
      <c r="AM57" s="750"/>
      <c r="AN57" s="377"/>
      <c r="AO57" s="377"/>
      <c r="AP57" s="750">
        <f t="shared" si="45"/>
        <v>0</v>
      </c>
      <c r="AQ57" s="750"/>
      <c r="AR57" s="750"/>
      <c r="AS57" s="750"/>
      <c r="AT57" s="750">
        <f t="shared" si="46"/>
        <v>0</v>
      </c>
      <c r="AU57" s="750"/>
      <c r="AV57" s="377"/>
      <c r="AW57" s="377"/>
      <c r="AX57" s="750">
        <f t="shared" si="47"/>
        <v>0</v>
      </c>
      <c r="AY57" s="750"/>
      <c r="AZ57" s="377"/>
      <c r="BA57" s="377"/>
      <c r="BB57" s="750">
        <f t="shared" si="48"/>
        <v>0</v>
      </c>
      <c r="BC57" s="750"/>
      <c r="BD57" s="377"/>
      <c r="BE57" s="377"/>
      <c r="BF57" s="750">
        <f t="shared" si="49"/>
        <v>0</v>
      </c>
      <c r="BG57" s="750"/>
      <c r="BH57" s="377"/>
      <c r="BI57" s="377"/>
      <c r="BJ57" s="750">
        <f t="shared" si="50"/>
        <v>0</v>
      </c>
      <c r="BK57" s="750"/>
      <c r="BL57" s="377"/>
      <c r="BM57" s="377"/>
      <c r="BN57" s="750">
        <f t="shared" si="51"/>
        <v>0</v>
      </c>
      <c r="BO57" s="728"/>
      <c r="BP57" s="377"/>
      <c r="BQ57" s="377"/>
      <c r="BR57" s="750">
        <f t="shared" si="52"/>
        <v>0</v>
      </c>
      <c r="BS57" s="750"/>
      <c r="BT57" s="377"/>
      <c r="BU57" s="377"/>
      <c r="BV57" s="750">
        <f t="shared" si="53"/>
        <v>0</v>
      </c>
      <c r="BW57" s="750"/>
      <c r="BX57" s="377"/>
      <c r="BY57" s="377"/>
      <c r="BZ57" s="750">
        <f t="shared" si="54"/>
        <v>0</v>
      </c>
      <c r="CA57" s="750"/>
      <c r="CB57" s="377"/>
      <c r="CC57" s="377"/>
      <c r="CD57" s="750">
        <f t="shared" si="55"/>
        <v>0</v>
      </c>
      <c r="CE57" s="750"/>
      <c r="CF57" s="377"/>
      <c r="CG57" s="377"/>
      <c r="CH57" s="750">
        <f t="shared" si="56"/>
        <v>0</v>
      </c>
      <c r="CI57" s="750"/>
      <c r="CJ57" s="377"/>
      <c r="CK57" s="377"/>
      <c r="CL57" s="750">
        <f t="shared" si="57"/>
        <v>0</v>
      </c>
      <c r="CM57" s="386"/>
      <c r="CN57" s="751"/>
      <c r="CO57" s="751"/>
      <c r="CP57" s="751">
        <f t="shared" si="58"/>
        <v>0</v>
      </c>
      <c r="CQ57" s="751"/>
      <c r="CR57" s="374"/>
      <c r="CS57" s="374"/>
      <c r="CT57" s="744">
        <f t="shared" si="59"/>
        <v>0</v>
      </c>
      <c r="CU57" s="745"/>
      <c r="CV57" s="373"/>
      <c r="CW57" s="373"/>
      <c r="CX57" s="744">
        <f t="shared" si="60"/>
        <v>0</v>
      </c>
      <c r="CY57" s="745"/>
      <c r="CZ57" s="373"/>
      <c r="DA57" s="373"/>
      <c r="DB57" s="744">
        <f t="shared" si="61"/>
        <v>0</v>
      </c>
      <c r="DC57" s="745"/>
      <c r="DG57" s="746"/>
      <c r="DH57" s="746"/>
      <c r="DI57" s="746"/>
      <c r="DJ57" s="747"/>
      <c r="DK57" s="718"/>
      <c r="DL57" s="718"/>
    </row>
    <row r="58" spans="1:116" ht="14.25" hidden="1" customHeight="1">
      <c r="A58" s="738"/>
      <c r="B58" s="739"/>
      <c r="C58" s="738" t="s">
        <v>544</v>
      </c>
      <c r="D58" s="748"/>
      <c r="E58" s="377"/>
      <c r="F58" s="783">
        <f t="shared" si="64"/>
        <v>0</v>
      </c>
      <c r="G58" s="749">
        <f t="shared" si="36"/>
        <v>0</v>
      </c>
      <c r="H58" s="749" t="e">
        <f t="shared" si="65"/>
        <v>#DIV/0!</v>
      </c>
      <c r="I58" s="377"/>
      <c r="J58" s="377"/>
      <c r="K58" s="750">
        <f t="shared" si="10"/>
        <v>0</v>
      </c>
      <c r="L58" s="750"/>
      <c r="M58" s="377"/>
      <c r="N58" s="377"/>
      <c r="O58" s="750">
        <f t="shared" si="38"/>
        <v>0</v>
      </c>
      <c r="P58" s="750"/>
      <c r="Q58" s="377"/>
      <c r="R58" s="377"/>
      <c r="S58" s="750">
        <f t="shared" si="39"/>
        <v>0</v>
      </c>
      <c r="T58" s="750"/>
      <c r="U58" s="377"/>
      <c r="V58" s="377"/>
      <c r="W58" s="750">
        <f t="shared" si="40"/>
        <v>0</v>
      </c>
      <c r="X58" s="750"/>
      <c r="Y58" s="377">
        <f t="shared" si="63"/>
        <v>0</v>
      </c>
      <c r="Z58" s="377">
        <f t="shared" si="63"/>
        <v>0</v>
      </c>
      <c r="AA58" s="750">
        <f t="shared" si="41"/>
        <v>0</v>
      </c>
      <c r="AB58" s="750"/>
      <c r="AC58" s="377"/>
      <c r="AD58" s="377"/>
      <c r="AE58" s="750">
        <f t="shared" si="42"/>
        <v>0</v>
      </c>
      <c r="AF58" s="750"/>
      <c r="AG58" s="377"/>
      <c r="AH58" s="377"/>
      <c r="AI58" s="750">
        <f t="shared" si="43"/>
        <v>0</v>
      </c>
      <c r="AJ58" s="377"/>
      <c r="AK58" s="377"/>
      <c r="AL58" s="750">
        <f t="shared" si="44"/>
        <v>0</v>
      </c>
      <c r="AM58" s="750"/>
      <c r="AN58" s="377"/>
      <c r="AO58" s="377"/>
      <c r="AP58" s="750">
        <f t="shared" si="45"/>
        <v>0</v>
      </c>
      <c r="AQ58" s="750"/>
      <c r="AR58" s="750"/>
      <c r="AS58" s="750"/>
      <c r="AT58" s="750">
        <f t="shared" si="46"/>
        <v>0</v>
      </c>
      <c r="AU58" s="750"/>
      <c r="AV58" s="377"/>
      <c r="AW58" s="377"/>
      <c r="AX58" s="750">
        <f t="shared" si="47"/>
        <v>0</v>
      </c>
      <c r="AY58" s="750"/>
      <c r="AZ58" s="377"/>
      <c r="BA58" s="377"/>
      <c r="BB58" s="750">
        <f t="shared" si="48"/>
        <v>0</v>
      </c>
      <c r="BC58" s="750"/>
      <c r="BD58" s="377"/>
      <c r="BE58" s="377"/>
      <c r="BF58" s="750">
        <f t="shared" si="49"/>
        <v>0</v>
      </c>
      <c r="BG58" s="750"/>
      <c r="BH58" s="377"/>
      <c r="BI58" s="377"/>
      <c r="BJ58" s="750">
        <f t="shared" si="50"/>
        <v>0</v>
      </c>
      <c r="BK58" s="750"/>
      <c r="BL58" s="377"/>
      <c r="BM58" s="377"/>
      <c r="BN58" s="750">
        <f t="shared" si="51"/>
        <v>0</v>
      </c>
      <c r="BO58" s="728"/>
      <c r="BP58" s="377"/>
      <c r="BQ58" s="377"/>
      <c r="BR58" s="750">
        <f t="shared" si="52"/>
        <v>0</v>
      </c>
      <c r="BS58" s="750"/>
      <c r="BT58" s="377"/>
      <c r="BU58" s="377"/>
      <c r="BV58" s="750">
        <f t="shared" si="53"/>
        <v>0</v>
      </c>
      <c r="BW58" s="750"/>
      <c r="BX58" s="377"/>
      <c r="BY58" s="377"/>
      <c r="BZ58" s="750">
        <f t="shared" si="54"/>
        <v>0</v>
      </c>
      <c r="CA58" s="750"/>
      <c r="CB58" s="377"/>
      <c r="CC58" s="377"/>
      <c r="CD58" s="750">
        <f t="shared" si="55"/>
        <v>0</v>
      </c>
      <c r="CE58" s="750"/>
      <c r="CF58" s="377"/>
      <c r="CG58" s="377"/>
      <c r="CH58" s="750">
        <f t="shared" si="56"/>
        <v>0</v>
      </c>
      <c r="CI58" s="750"/>
      <c r="CJ58" s="377"/>
      <c r="CK58" s="377"/>
      <c r="CL58" s="750">
        <f t="shared" si="57"/>
        <v>0</v>
      </c>
      <c r="CM58" s="386"/>
      <c r="CN58" s="751"/>
      <c r="CO58" s="751"/>
      <c r="CP58" s="751">
        <f t="shared" si="58"/>
        <v>0</v>
      </c>
      <c r="CQ58" s="751"/>
      <c r="CR58" s="374"/>
      <c r="CS58" s="374"/>
      <c r="CT58" s="744">
        <f t="shared" si="59"/>
        <v>0</v>
      </c>
      <c r="CU58" s="745"/>
      <c r="CV58" s="373"/>
      <c r="CW58" s="373"/>
      <c r="CX58" s="744">
        <f t="shared" si="60"/>
        <v>0</v>
      </c>
      <c r="CY58" s="745"/>
      <c r="CZ58" s="373"/>
      <c r="DA58" s="373"/>
      <c r="DB58" s="744">
        <f t="shared" si="61"/>
        <v>0</v>
      </c>
      <c r="DC58" s="745"/>
      <c r="DG58" s="746"/>
      <c r="DH58" s="746"/>
      <c r="DI58" s="746"/>
      <c r="DJ58" s="747"/>
      <c r="DK58" s="718"/>
      <c r="DL58" s="718"/>
    </row>
    <row r="59" spans="1:116" ht="15.75" customHeight="1">
      <c r="A59" s="738"/>
      <c r="B59" s="739">
        <v>1718002447</v>
      </c>
      <c r="C59" s="738" t="s">
        <v>545</v>
      </c>
      <c r="D59" s="377">
        <v>0</v>
      </c>
      <c r="E59" s="377">
        <v>262.89999999999998</v>
      </c>
      <c r="F59" s="783">
        <f>J59+N59+R59+V59+Z59+AK59+AO59+AS59+AW59+BE59+BI59+BY59+CG59+CK59+CO59+CS59+CW59+DA59+BM59+BU59+BQ59</f>
        <v>3.456</v>
      </c>
      <c r="G59" s="749">
        <f t="shared" si="36"/>
        <v>-259.44399999999996</v>
      </c>
      <c r="H59" s="749">
        <f t="shared" si="65"/>
        <v>1.3145682769113732E-2</v>
      </c>
      <c r="I59" s="376">
        <v>262.85199999999998</v>
      </c>
      <c r="J59" s="376"/>
      <c r="K59" s="750">
        <f t="shared" si="10"/>
        <v>-262.85199999999998</v>
      </c>
      <c r="L59" s="750"/>
      <c r="M59" s="377"/>
      <c r="N59" s="377"/>
      <c r="O59" s="750">
        <f t="shared" si="38"/>
        <v>0</v>
      </c>
      <c r="P59" s="750"/>
      <c r="Q59" s="377"/>
      <c r="R59" s="377"/>
      <c r="S59" s="750">
        <f t="shared" si="39"/>
        <v>0</v>
      </c>
      <c r="T59" s="750"/>
      <c r="U59" s="377"/>
      <c r="V59" s="377"/>
      <c r="W59" s="750">
        <f t="shared" si="40"/>
        <v>0</v>
      </c>
      <c r="X59" s="750"/>
      <c r="Y59" s="377">
        <f t="shared" si="63"/>
        <v>0</v>
      </c>
      <c r="Z59" s="377">
        <f t="shared" si="63"/>
        <v>0</v>
      </c>
      <c r="AA59" s="750">
        <f t="shared" si="41"/>
        <v>0</v>
      </c>
      <c r="AB59" s="750"/>
      <c r="AC59" s="377"/>
      <c r="AD59" s="377"/>
      <c r="AE59" s="750">
        <f t="shared" si="42"/>
        <v>0</v>
      </c>
      <c r="AF59" s="750"/>
      <c r="AG59" s="377"/>
      <c r="AH59" s="377"/>
      <c r="AI59" s="750">
        <f t="shared" si="43"/>
        <v>0</v>
      </c>
      <c r="AJ59" s="377"/>
      <c r="AK59" s="377"/>
      <c r="AL59" s="750">
        <f t="shared" si="44"/>
        <v>0</v>
      </c>
      <c r="AM59" s="750"/>
      <c r="AN59" s="377"/>
      <c r="AO59" s="377"/>
      <c r="AP59" s="750">
        <f t="shared" si="45"/>
        <v>0</v>
      </c>
      <c r="AQ59" s="750"/>
      <c r="AR59" s="750"/>
      <c r="AS59" s="750"/>
      <c r="AT59" s="750">
        <f t="shared" si="46"/>
        <v>0</v>
      </c>
      <c r="AU59" s="750"/>
      <c r="AV59" s="377"/>
      <c r="AW59" s="377"/>
      <c r="AX59" s="750">
        <f t="shared" si="47"/>
        <v>0</v>
      </c>
      <c r="AY59" s="750"/>
      <c r="AZ59" s="377"/>
      <c r="BA59" s="377"/>
      <c r="BB59" s="750">
        <f t="shared" si="48"/>
        <v>0</v>
      </c>
      <c r="BC59" s="750"/>
      <c r="BD59" s="377"/>
      <c r="BE59" s="377"/>
      <c r="BF59" s="750">
        <f t="shared" si="49"/>
        <v>0</v>
      </c>
      <c r="BG59" s="750"/>
      <c r="BH59" s="377"/>
      <c r="BI59" s="377"/>
      <c r="BJ59" s="750">
        <f t="shared" si="50"/>
        <v>0</v>
      </c>
      <c r="BK59" s="750"/>
      <c r="BL59" s="377"/>
      <c r="BM59" s="377"/>
      <c r="BN59" s="750">
        <f t="shared" si="51"/>
        <v>0</v>
      </c>
      <c r="BO59" s="728"/>
      <c r="BP59" s="377"/>
      <c r="BQ59" s="377">
        <v>3.456</v>
      </c>
      <c r="BR59" s="750">
        <f t="shared" si="52"/>
        <v>3.456</v>
      </c>
      <c r="BS59" s="750"/>
      <c r="BT59" s="377"/>
      <c r="BU59" s="377"/>
      <c r="BV59" s="750">
        <f t="shared" si="53"/>
        <v>0</v>
      </c>
      <c r="BW59" s="750"/>
      <c r="BX59" s="377"/>
      <c r="BY59" s="377"/>
      <c r="BZ59" s="750">
        <f t="shared" si="54"/>
        <v>0</v>
      </c>
      <c r="CA59" s="750"/>
      <c r="CB59" s="377"/>
      <c r="CC59" s="377"/>
      <c r="CD59" s="750">
        <f t="shared" si="55"/>
        <v>0</v>
      </c>
      <c r="CE59" s="750"/>
      <c r="CF59" s="377"/>
      <c r="CG59" s="377"/>
      <c r="CH59" s="750">
        <f t="shared" si="56"/>
        <v>0</v>
      </c>
      <c r="CI59" s="750"/>
      <c r="CJ59" s="377"/>
      <c r="CK59" s="377"/>
      <c r="CL59" s="750">
        <f t="shared" si="57"/>
        <v>0</v>
      </c>
      <c r="CM59" s="386"/>
      <c r="CN59" s="751"/>
      <c r="CO59" s="751"/>
      <c r="CP59" s="751">
        <f t="shared" si="58"/>
        <v>0</v>
      </c>
      <c r="CQ59" s="751"/>
      <c r="CR59" s="374"/>
      <c r="CS59" s="374"/>
      <c r="CT59" s="744">
        <f t="shared" si="59"/>
        <v>0</v>
      </c>
      <c r="CU59" s="745"/>
      <c r="CV59" s="373"/>
      <c r="CW59" s="373"/>
      <c r="CX59" s="744">
        <f t="shared" si="60"/>
        <v>0</v>
      </c>
      <c r="CY59" s="745"/>
      <c r="CZ59" s="373"/>
      <c r="DA59" s="373"/>
      <c r="DB59" s="744">
        <f t="shared" si="61"/>
        <v>0</v>
      </c>
      <c r="DC59" s="745"/>
      <c r="DG59" s="746"/>
      <c r="DH59" s="746"/>
      <c r="DI59" s="746"/>
      <c r="DJ59" s="747"/>
      <c r="DK59" s="718"/>
      <c r="DL59" s="718"/>
    </row>
    <row r="60" spans="1:116">
      <c r="A60" s="738"/>
      <c r="B60" s="739">
        <v>1718002479</v>
      </c>
      <c r="C60" s="752" t="s">
        <v>698</v>
      </c>
      <c r="D60" s="753">
        <v>9.4</v>
      </c>
      <c r="E60" s="377">
        <v>45.6</v>
      </c>
      <c r="F60" s="783">
        <f>J60+N60+R60+V60+Z60+AK60+AO60+AS60+AW60+BE60+BI60+BY60+CG60+CK60+CO60+CS60+CW60+DA60+BM60+BU60</f>
        <v>9.4090000000000007</v>
      </c>
      <c r="G60" s="749"/>
      <c r="H60" s="749">
        <v>0</v>
      </c>
      <c r="I60" s="377">
        <v>0</v>
      </c>
      <c r="J60" s="377"/>
      <c r="K60" s="750">
        <v>0</v>
      </c>
      <c r="L60" s="750"/>
      <c r="M60" s="377">
        <v>45.582000000000001</v>
      </c>
      <c r="N60" s="377"/>
      <c r="O60" s="750">
        <v>0</v>
      </c>
      <c r="P60" s="750"/>
      <c r="Q60" s="377"/>
      <c r="R60" s="377"/>
      <c r="S60" s="750">
        <v>0</v>
      </c>
      <c r="T60" s="750"/>
      <c r="U60" s="377"/>
      <c r="V60" s="377"/>
      <c r="W60" s="750">
        <v>0</v>
      </c>
      <c r="X60" s="750"/>
      <c r="Y60" s="377"/>
      <c r="Z60" s="377"/>
      <c r="AA60" s="750">
        <f t="shared" si="41"/>
        <v>0</v>
      </c>
      <c r="AB60" s="750"/>
      <c r="AC60" s="377"/>
      <c r="AD60" s="377"/>
      <c r="AE60" s="750">
        <f t="shared" si="42"/>
        <v>0</v>
      </c>
      <c r="AF60" s="750"/>
      <c r="AG60" s="377"/>
      <c r="AH60" s="377"/>
      <c r="AI60" s="750"/>
      <c r="AJ60" s="377"/>
      <c r="AK60" s="377"/>
      <c r="AL60" s="750">
        <v>0</v>
      </c>
      <c r="AM60" s="750"/>
      <c r="AN60" s="377"/>
      <c r="AO60" s="377"/>
      <c r="AP60" s="750">
        <v>0</v>
      </c>
      <c r="AQ60" s="750"/>
      <c r="AR60" s="750"/>
      <c r="AS60" s="750"/>
      <c r="AT60" s="750"/>
      <c r="AU60" s="750"/>
      <c r="AV60" s="377"/>
      <c r="AW60" s="377"/>
      <c r="AX60" s="750">
        <v>0</v>
      </c>
      <c r="AY60" s="750"/>
      <c r="AZ60" s="377"/>
      <c r="BA60" s="377"/>
      <c r="BB60" s="750">
        <v>0</v>
      </c>
      <c r="BC60" s="750"/>
      <c r="BD60" s="377"/>
      <c r="BE60" s="377"/>
      <c r="BF60" s="750">
        <v>0</v>
      </c>
      <c r="BG60" s="750"/>
      <c r="BH60" s="377"/>
      <c r="BI60" s="377"/>
      <c r="BJ60" s="750">
        <v>0</v>
      </c>
      <c r="BK60" s="750"/>
      <c r="BL60" s="377"/>
      <c r="BM60" s="376">
        <v>9.4090000000000007</v>
      </c>
      <c r="BN60" s="750">
        <f t="shared" si="51"/>
        <v>9.4090000000000007</v>
      </c>
      <c r="BO60" s="728"/>
      <c r="BP60" s="377"/>
      <c r="BQ60" s="377"/>
      <c r="BR60" s="750">
        <f t="shared" si="52"/>
        <v>0</v>
      </c>
      <c r="BS60" s="750"/>
      <c r="BT60" s="377"/>
      <c r="BU60" s="377"/>
      <c r="BV60" s="750"/>
      <c r="BW60" s="750"/>
      <c r="BX60" s="377"/>
      <c r="BY60" s="377"/>
      <c r="BZ60" s="750">
        <v>0</v>
      </c>
      <c r="CA60" s="750"/>
      <c r="CB60" s="377"/>
      <c r="CC60" s="377"/>
      <c r="CD60" s="750"/>
      <c r="CE60" s="750"/>
      <c r="CF60" s="377"/>
      <c r="CG60" s="377"/>
      <c r="CH60" s="750">
        <v>0</v>
      </c>
      <c r="CI60" s="750"/>
      <c r="CJ60" s="377"/>
      <c r="CK60" s="377"/>
      <c r="CL60" s="750">
        <v>0</v>
      </c>
      <c r="CM60" s="386"/>
      <c r="CN60" s="751"/>
      <c r="CO60" s="751"/>
      <c r="CP60" s="751">
        <v>0</v>
      </c>
      <c r="CQ60" s="751"/>
      <c r="CR60" s="374"/>
      <c r="CS60" s="374"/>
      <c r="CT60" s="744"/>
      <c r="CU60" s="745"/>
      <c r="CV60" s="373"/>
      <c r="CW60" s="373"/>
      <c r="CX60" s="744"/>
      <c r="CY60" s="745"/>
      <c r="CZ60" s="373"/>
      <c r="DA60" s="373"/>
      <c r="DB60" s="744">
        <v>0</v>
      </c>
      <c r="DC60" s="745"/>
      <c r="DG60" s="746"/>
      <c r="DH60" s="746"/>
      <c r="DI60" s="746"/>
      <c r="DJ60" s="747"/>
      <c r="DK60" s="718"/>
      <c r="DL60" s="718"/>
    </row>
    <row r="61" spans="1:116" ht="15.75" customHeight="1">
      <c r="A61" s="738"/>
      <c r="B61" s="770" t="s">
        <v>828</v>
      </c>
      <c r="C61" s="738" t="s">
        <v>546</v>
      </c>
      <c r="D61" s="748">
        <v>23.4</v>
      </c>
      <c r="E61" s="377">
        <v>22.8</v>
      </c>
      <c r="F61" s="783">
        <f>J61+N61+R61+V61+Z61+AK61+AO61+AS61+AW61+BE61+BI61+BY61+CG61+CK61+CO61+CS61+CW61+DA61+BM61+BU61</f>
        <v>31.576000000000001</v>
      </c>
      <c r="G61" s="749">
        <f t="shared" si="36"/>
        <v>8.7759999999999998</v>
      </c>
      <c r="H61" s="749">
        <f t="shared" si="65"/>
        <v>1.3849122807017544</v>
      </c>
      <c r="I61" s="377"/>
      <c r="J61" s="376"/>
      <c r="K61" s="750">
        <f t="shared" si="10"/>
        <v>0</v>
      </c>
      <c r="L61" s="750"/>
      <c r="M61" s="377">
        <v>1.835</v>
      </c>
      <c r="N61" s="377"/>
      <c r="O61" s="750">
        <f t="shared" si="38"/>
        <v>-1.835</v>
      </c>
      <c r="P61" s="750"/>
      <c r="Q61" s="377"/>
      <c r="R61" s="377"/>
      <c r="S61" s="750">
        <f t="shared" si="39"/>
        <v>0</v>
      </c>
      <c r="T61" s="750"/>
      <c r="U61" s="377"/>
      <c r="V61" s="377"/>
      <c r="W61" s="750">
        <f t="shared" si="40"/>
        <v>0</v>
      </c>
      <c r="X61" s="750"/>
      <c r="Y61" s="377">
        <f t="shared" si="63"/>
        <v>0</v>
      </c>
      <c r="Z61" s="377">
        <f t="shared" si="63"/>
        <v>0</v>
      </c>
      <c r="AA61" s="750">
        <f t="shared" si="41"/>
        <v>0</v>
      </c>
      <c r="AB61" s="750"/>
      <c r="AC61" s="377"/>
      <c r="AD61" s="377"/>
      <c r="AE61" s="750">
        <f t="shared" si="42"/>
        <v>0</v>
      </c>
      <c r="AF61" s="750"/>
      <c r="AG61" s="377"/>
      <c r="AH61" s="377"/>
      <c r="AI61" s="750">
        <f t="shared" si="43"/>
        <v>0</v>
      </c>
      <c r="AJ61" s="377"/>
      <c r="AK61" s="377"/>
      <c r="AL61" s="750">
        <f t="shared" si="44"/>
        <v>0</v>
      </c>
      <c r="AM61" s="750"/>
      <c r="AN61" s="377"/>
      <c r="AO61" s="377"/>
      <c r="AP61" s="750">
        <f t="shared" si="45"/>
        <v>0</v>
      </c>
      <c r="AQ61" s="750"/>
      <c r="AR61" s="750"/>
      <c r="AS61" s="750"/>
      <c r="AT61" s="750">
        <f t="shared" si="46"/>
        <v>0</v>
      </c>
      <c r="AU61" s="750"/>
      <c r="AV61" s="377"/>
      <c r="AW61" s="377"/>
      <c r="AX61" s="750">
        <f t="shared" si="47"/>
        <v>0</v>
      </c>
      <c r="AY61" s="750"/>
      <c r="AZ61" s="377"/>
      <c r="BA61" s="377"/>
      <c r="BB61" s="750">
        <f t="shared" si="48"/>
        <v>0</v>
      </c>
      <c r="BC61" s="750"/>
      <c r="BD61" s="377"/>
      <c r="BE61" s="377"/>
      <c r="BF61" s="750">
        <f t="shared" si="49"/>
        <v>0</v>
      </c>
      <c r="BG61" s="750"/>
      <c r="BH61" s="377"/>
      <c r="BI61" s="377"/>
      <c r="BJ61" s="750">
        <f t="shared" si="50"/>
        <v>0</v>
      </c>
      <c r="BK61" s="750"/>
      <c r="BL61" s="376">
        <v>20.954000000000001</v>
      </c>
      <c r="BM61" s="376">
        <v>31.576000000000001</v>
      </c>
      <c r="BN61" s="750">
        <f>BM61-BL61</f>
        <v>10.622</v>
      </c>
      <c r="BO61" s="728"/>
      <c r="BP61" s="377"/>
      <c r="BQ61" s="377"/>
      <c r="BR61" s="750">
        <f t="shared" si="52"/>
        <v>0</v>
      </c>
      <c r="BS61" s="750"/>
      <c r="BT61" s="377"/>
      <c r="BU61" s="377"/>
      <c r="BV61" s="750">
        <f t="shared" si="53"/>
        <v>0</v>
      </c>
      <c r="BW61" s="750"/>
      <c r="BX61" s="377"/>
      <c r="BY61" s="377"/>
      <c r="BZ61" s="750">
        <f t="shared" si="54"/>
        <v>0</v>
      </c>
      <c r="CA61" s="750"/>
      <c r="CB61" s="377"/>
      <c r="CC61" s="377"/>
      <c r="CD61" s="750">
        <f t="shared" si="55"/>
        <v>0</v>
      </c>
      <c r="CE61" s="750"/>
      <c r="CF61" s="377"/>
      <c r="CG61" s="377"/>
      <c r="CH61" s="750">
        <f t="shared" si="56"/>
        <v>0</v>
      </c>
      <c r="CI61" s="750"/>
      <c r="CJ61" s="377"/>
      <c r="CK61" s="377"/>
      <c r="CL61" s="750">
        <f t="shared" si="57"/>
        <v>0</v>
      </c>
      <c r="CM61" s="386"/>
      <c r="CN61" s="751"/>
      <c r="CO61" s="751"/>
      <c r="CP61" s="751">
        <f t="shared" si="58"/>
        <v>0</v>
      </c>
      <c r="CQ61" s="751"/>
      <c r="CR61" s="374"/>
      <c r="CS61" s="374"/>
      <c r="CT61" s="744">
        <f t="shared" si="59"/>
        <v>0</v>
      </c>
      <c r="CU61" s="745"/>
      <c r="CV61" s="373"/>
      <c r="CW61" s="373"/>
      <c r="CX61" s="744">
        <f t="shared" si="60"/>
        <v>0</v>
      </c>
      <c r="CY61" s="745"/>
      <c r="CZ61" s="373"/>
      <c r="DA61" s="373"/>
      <c r="DB61" s="744">
        <f t="shared" si="61"/>
        <v>0</v>
      </c>
      <c r="DC61" s="745"/>
      <c r="DG61" s="746"/>
      <c r="DH61" s="746"/>
      <c r="DI61" s="746"/>
      <c r="DJ61" s="747"/>
      <c r="DK61" s="718"/>
      <c r="DL61" s="718"/>
    </row>
    <row r="62" spans="1:116" ht="13.5" customHeight="1">
      <c r="A62" s="738"/>
      <c r="B62" s="739"/>
      <c r="C62" s="752" t="s">
        <v>699</v>
      </c>
      <c r="D62" s="753">
        <v>4.0999999999999996</v>
      </c>
      <c r="E62" s="377">
        <v>0</v>
      </c>
      <c r="F62" s="783">
        <f>J62+N62+R62+V62+Z62+AK62+AO62+AS62+AW62+BE62+BI62+BY62+CG62+CK62+CO62+CS62+CW62+DA62+BM62+BU62</f>
        <v>0</v>
      </c>
      <c r="G62" s="749">
        <f>F62-E62</f>
        <v>0</v>
      </c>
      <c r="H62" s="749">
        <v>0</v>
      </c>
      <c r="I62" s="377"/>
      <c r="J62" s="376"/>
      <c r="K62" s="750">
        <f>J62-I62</f>
        <v>0</v>
      </c>
      <c r="L62" s="750"/>
      <c r="M62" s="377"/>
      <c r="N62" s="377"/>
      <c r="O62" s="750">
        <f>N62-M62</f>
        <v>0</v>
      </c>
      <c r="P62" s="750"/>
      <c r="Q62" s="377"/>
      <c r="R62" s="377"/>
      <c r="S62" s="750">
        <f>R62-Q62</f>
        <v>0</v>
      </c>
      <c r="T62" s="750"/>
      <c r="U62" s="377"/>
      <c r="V62" s="377"/>
      <c r="W62" s="750">
        <f>V62-U62</f>
        <v>0</v>
      </c>
      <c r="X62" s="750"/>
      <c r="Y62" s="377">
        <f>AC62</f>
        <v>0</v>
      </c>
      <c r="Z62" s="377">
        <f>AD62</f>
        <v>0</v>
      </c>
      <c r="AA62" s="750">
        <f>Z62-Y62</f>
        <v>0</v>
      </c>
      <c r="AB62" s="750"/>
      <c r="AC62" s="377"/>
      <c r="AD62" s="377"/>
      <c r="AE62" s="750">
        <f>AD62-AC62</f>
        <v>0</v>
      </c>
      <c r="AF62" s="750"/>
      <c r="AG62" s="377"/>
      <c r="AH62" s="377"/>
      <c r="AI62" s="750">
        <f>AH62-AG62</f>
        <v>0</v>
      </c>
      <c r="AJ62" s="377"/>
      <c r="AK62" s="377"/>
      <c r="AL62" s="750">
        <f>AK62-AJ62</f>
        <v>0</v>
      </c>
      <c r="AM62" s="750"/>
      <c r="AN62" s="377"/>
      <c r="AO62" s="377"/>
      <c r="AP62" s="750">
        <f>AO62-AN62</f>
        <v>0</v>
      </c>
      <c r="AQ62" s="750"/>
      <c r="AR62" s="750"/>
      <c r="AS62" s="750"/>
      <c r="AT62" s="750">
        <f>AS62-AR62</f>
        <v>0</v>
      </c>
      <c r="AU62" s="750"/>
      <c r="AV62" s="377"/>
      <c r="AW62" s="377"/>
      <c r="AX62" s="750">
        <f>AW62-AV62</f>
        <v>0</v>
      </c>
      <c r="AY62" s="750"/>
      <c r="AZ62" s="377"/>
      <c r="BA62" s="377"/>
      <c r="BB62" s="750">
        <f>BA62-AZ62</f>
        <v>0</v>
      </c>
      <c r="BC62" s="750"/>
      <c r="BD62" s="377"/>
      <c r="BE62" s="377"/>
      <c r="BF62" s="750">
        <f>BE62-BD62</f>
        <v>0</v>
      </c>
      <c r="BG62" s="750"/>
      <c r="BH62" s="377"/>
      <c r="BI62" s="377"/>
      <c r="BJ62" s="750">
        <f>BI62-BH62</f>
        <v>0</v>
      </c>
      <c r="BK62" s="750"/>
      <c r="BL62" s="377"/>
      <c r="BM62" s="376"/>
      <c r="BN62" s="750">
        <f>BM62-BL62</f>
        <v>0</v>
      </c>
      <c r="BO62" s="728"/>
      <c r="BP62" s="377"/>
      <c r="BQ62" s="377"/>
      <c r="BR62" s="750">
        <f>BQ62-BP62</f>
        <v>0</v>
      </c>
      <c r="BS62" s="750"/>
      <c r="BT62" s="377"/>
      <c r="BU62" s="377"/>
      <c r="BV62" s="750">
        <f>BU62-BT62</f>
        <v>0</v>
      </c>
      <c r="BW62" s="750"/>
      <c r="BX62" s="377"/>
      <c r="BY62" s="377"/>
      <c r="BZ62" s="750">
        <f>BY62-BX62</f>
        <v>0</v>
      </c>
      <c r="CA62" s="750"/>
      <c r="CB62" s="377"/>
      <c r="CC62" s="377"/>
      <c r="CD62" s="750">
        <f>CC62-CB62</f>
        <v>0</v>
      </c>
      <c r="CE62" s="750"/>
      <c r="CF62" s="377"/>
      <c r="CG62" s="377"/>
      <c r="CH62" s="750">
        <f>CG62-CF62</f>
        <v>0</v>
      </c>
      <c r="CI62" s="750"/>
      <c r="CJ62" s="377"/>
      <c r="CK62" s="377"/>
      <c r="CL62" s="750">
        <f>CK62-CJ62</f>
        <v>0</v>
      </c>
      <c r="CM62" s="386"/>
      <c r="CN62" s="751"/>
      <c r="CO62" s="751"/>
      <c r="CP62" s="751">
        <f>CO62-CN62</f>
        <v>0</v>
      </c>
      <c r="CQ62" s="751"/>
      <c r="CR62" s="374"/>
      <c r="CS62" s="374"/>
      <c r="CT62" s="744">
        <f>CS62-CR62</f>
        <v>0</v>
      </c>
      <c r="CU62" s="745"/>
      <c r="CV62" s="373"/>
      <c r="CW62" s="373"/>
      <c r="CX62" s="744">
        <f>CW62-CV62</f>
        <v>0</v>
      </c>
      <c r="CY62" s="745"/>
      <c r="CZ62" s="373"/>
      <c r="DA62" s="373"/>
      <c r="DB62" s="744">
        <f>DA62-CZ62</f>
        <v>0</v>
      </c>
      <c r="DC62" s="745"/>
      <c r="DG62" s="746"/>
      <c r="DH62" s="746"/>
      <c r="DI62" s="746"/>
      <c r="DJ62" s="747"/>
      <c r="DK62" s="718"/>
      <c r="DL62" s="718"/>
    </row>
    <row r="63" spans="1:116" ht="13.5" hidden="1" customHeight="1">
      <c r="A63" s="738"/>
      <c r="B63" s="739"/>
      <c r="C63" s="752" t="s">
        <v>547</v>
      </c>
      <c r="D63" s="753">
        <v>0</v>
      </c>
      <c r="E63" s="377"/>
      <c r="F63" s="783">
        <f t="shared" si="64"/>
        <v>0</v>
      </c>
      <c r="G63" s="749">
        <f t="shared" si="36"/>
        <v>0</v>
      </c>
      <c r="H63" s="749" t="e">
        <f t="shared" si="65"/>
        <v>#DIV/0!</v>
      </c>
      <c r="I63" s="377"/>
      <c r="J63" s="376"/>
      <c r="K63" s="750">
        <f t="shared" si="10"/>
        <v>0</v>
      </c>
      <c r="L63" s="750"/>
      <c r="M63" s="377"/>
      <c r="N63" s="377"/>
      <c r="O63" s="750">
        <f t="shared" si="38"/>
        <v>0</v>
      </c>
      <c r="P63" s="750"/>
      <c r="Q63" s="377"/>
      <c r="R63" s="377"/>
      <c r="S63" s="750">
        <f t="shared" si="39"/>
        <v>0</v>
      </c>
      <c r="T63" s="750"/>
      <c r="U63" s="377"/>
      <c r="V63" s="377"/>
      <c r="W63" s="750">
        <f t="shared" si="40"/>
        <v>0</v>
      </c>
      <c r="X63" s="750"/>
      <c r="Y63" s="377">
        <f t="shared" si="63"/>
        <v>0</v>
      </c>
      <c r="Z63" s="377">
        <f t="shared" si="63"/>
        <v>0</v>
      </c>
      <c r="AA63" s="750">
        <f t="shared" si="41"/>
        <v>0</v>
      </c>
      <c r="AB63" s="750"/>
      <c r="AC63" s="377"/>
      <c r="AD63" s="377"/>
      <c r="AE63" s="750">
        <f t="shared" si="42"/>
        <v>0</v>
      </c>
      <c r="AF63" s="750"/>
      <c r="AG63" s="377"/>
      <c r="AH63" s="377"/>
      <c r="AI63" s="750">
        <f t="shared" si="43"/>
        <v>0</v>
      </c>
      <c r="AJ63" s="377"/>
      <c r="AK63" s="377"/>
      <c r="AL63" s="750">
        <f>AK63-AJ63</f>
        <v>0</v>
      </c>
      <c r="AM63" s="750"/>
      <c r="AN63" s="377"/>
      <c r="AO63" s="377"/>
      <c r="AP63" s="750">
        <f>AO63-AN63</f>
        <v>0</v>
      </c>
      <c r="AQ63" s="750"/>
      <c r="AR63" s="750"/>
      <c r="AS63" s="750"/>
      <c r="AT63" s="750">
        <f t="shared" si="46"/>
        <v>0</v>
      </c>
      <c r="AU63" s="750"/>
      <c r="AV63" s="377"/>
      <c r="AW63" s="377"/>
      <c r="AX63" s="750">
        <f>AW63-AV63</f>
        <v>0</v>
      </c>
      <c r="AY63" s="750"/>
      <c r="AZ63" s="377"/>
      <c r="BA63" s="377"/>
      <c r="BB63" s="750">
        <f t="shared" si="48"/>
        <v>0</v>
      </c>
      <c r="BC63" s="750"/>
      <c r="BD63" s="377"/>
      <c r="BE63" s="377"/>
      <c r="BF63" s="750">
        <f t="shared" si="49"/>
        <v>0</v>
      </c>
      <c r="BG63" s="750"/>
      <c r="BH63" s="377"/>
      <c r="BI63" s="377"/>
      <c r="BJ63" s="750">
        <f t="shared" si="50"/>
        <v>0</v>
      </c>
      <c r="BK63" s="750"/>
      <c r="BL63" s="377"/>
      <c r="BM63" s="376"/>
      <c r="BN63" s="750">
        <f t="shared" si="51"/>
        <v>0</v>
      </c>
      <c r="BO63" s="728"/>
      <c r="BP63" s="377"/>
      <c r="BQ63" s="377"/>
      <c r="BR63" s="750">
        <f t="shared" si="52"/>
        <v>0</v>
      </c>
      <c r="BS63" s="750"/>
      <c r="BT63" s="377"/>
      <c r="BU63" s="377"/>
      <c r="BV63" s="750">
        <f t="shared" si="53"/>
        <v>0</v>
      </c>
      <c r="BW63" s="750"/>
      <c r="BX63" s="377"/>
      <c r="BY63" s="377"/>
      <c r="BZ63" s="750">
        <f t="shared" si="54"/>
        <v>0</v>
      </c>
      <c r="CA63" s="750"/>
      <c r="CB63" s="377"/>
      <c r="CC63" s="377"/>
      <c r="CD63" s="750">
        <f t="shared" si="55"/>
        <v>0</v>
      </c>
      <c r="CE63" s="750"/>
      <c r="CF63" s="377"/>
      <c r="CG63" s="377"/>
      <c r="CH63" s="750">
        <f t="shared" si="56"/>
        <v>0</v>
      </c>
      <c r="CI63" s="750"/>
      <c r="CJ63" s="377"/>
      <c r="CK63" s="377"/>
      <c r="CL63" s="750">
        <f t="shared" si="57"/>
        <v>0</v>
      </c>
      <c r="CM63" s="386" t="e">
        <f t="shared" ref="CM63" si="66">CK63/CJ63</f>
        <v>#DIV/0!</v>
      </c>
      <c r="CN63" s="751"/>
      <c r="CO63" s="751"/>
      <c r="CP63" s="751">
        <f t="shared" si="58"/>
        <v>0</v>
      </c>
      <c r="CQ63" s="751"/>
      <c r="CR63" s="374"/>
      <c r="CS63" s="374"/>
      <c r="CT63" s="744">
        <f t="shared" si="59"/>
        <v>0</v>
      </c>
      <c r="CU63" s="745"/>
      <c r="CV63" s="373"/>
      <c r="CW63" s="373"/>
      <c r="CX63" s="744">
        <f t="shared" si="60"/>
        <v>0</v>
      </c>
      <c r="CY63" s="745"/>
      <c r="CZ63" s="373"/>
      <c r="DA63" s="373"/>
      <c r="DB63" s="744">
        <f t="shared" si="61"/>
        <v>0</v>
      </c>
      <c r="DC63" s="745"/>
      <c r="DG63" s="746"/>
      <c r="DH63" s="746"/>
      <c r="DI63" s="746"/>
      <c r="DJ63" s="747"/>
      <c r="DK63" s="718"/>
      <c r="DL63" s="718"/>
    </row>
    <row r="64" spans="1:116" ht="13.5" customHeight="1">
      <c r="A64" s="738"/>
      <c r="B64" s="739">
        <v>1718001877</v>
      </c>
      <c r="C64" s="752" t="s">
        <v>700</v>
      </c>
      <c r="D64" s="753">
        <v>5.7</v>
      </c>
      <c r="E64" s="377">
        <v>42.9</v>
      </c>
      <c r="F64" s="783">
        <f>J64+N64+R64+V64+Z64+AK64+AO64+AS64+AW64+BE64+BI64+BY64+CG64+CK64+CO64+CS64+CW64+DA64+BM64+BU64</f>
        <v>5.7290000000000001</v>
      </c>
      <c r="G64" s="749">
        <f>F64-E64</f>
        <v>-37.170999999999999</v>
      </c>
      <c r="H64" s="749">
        <f>F64/E64</f>
        <v>0.13354312354312356</v>
      </c>
      <c r="I64" s="377"/>
      <c r="J64" s="376"/>
      <c r="K64" s="750">
        <f>J64-I64</f>
        <v>0</v>
      </c>
      <c r="L64" s="750"/>
      <c r="M64" s="377"/>
      <c r="N64" s="377"/>
      <c r="O64" s="750"/>
      <c r="P64" s="750"/>
      <c r="Q64" s="377"/>
      <c r="R64" s="377"/>
      <c r="S64" s="750"/>
      <c r="T64" s="750"/>
      <c r="U64" s="377">
        <v>42.87</v>
      </c>
      <c r="V64" s="377"/>
      <c r="W64" s="750"/>
      <c r="X64" s="750"/>
      <c r="Y64" s="377">
        <f>AC64</f>
        <v>0</v>
      </c>
      <c r="Z64" s="377">
        <f>AD64</f>
        <v>0</v>
      </c>
      <c r="AA64" s="750">
        <f>Z64-Y64</f>
        <v>0</v>
      </c>
      <c r="AB64" s="750"/>
      <c r="AC64" s="377"/>
      <c r="AD64" s="377"/>
      <c r="AE64" s="750">
        <f>AD64-AC64</f>
        <v>0</v>
      </c>
      <c r="AF64" s="750"/>
      <c r="AG64" s="377"/>
      <c r="AH64" s="377"/>
      <c r="AI64" s="750"/>
      <c r="AJ64" s="377"/>
      <c r="AK64" s="377"/>
      <c r="AL64" s="750">
        <f>AK64-AJ64</f>
        <v>0</v>
      </c>
      <c r="AM64" s="750"/>
      <c r="AN64" s="377"/>
      <c r="AO64" s="377"/>
      <c r="AP64" s="750">
        <f>AO64-AN64</f>
        <v>0</v>
      </c>
      <c r="AQ64" s="750"/>
      <c r="AR64" s="750"/>
      <c r="AS64" s="750"/>
      <c r="AT64" s="750"/>
      <c r="AU64" s="750"/>
      <c r="AV64" s="377"/>
      <c r="AW64" s="377"/>
      <c r="AX64" s="750">
        <f>AW64-AV64</f>
        <v>0</v>
      </c>
      <c r="AY64" s="750"/>
      <c r="AZ64" s="377"/>
      <c r="BA64" s="377"/>
      <c r="BB64" s="750"/>
      <c r="BC64" s="750"/>
      <c r="BD64" s="377"/>
      <c r="BE64" s="377"/>
      <c r="BF64" s="750"/>
      <c r="BG64" s="750"/>
      <c r="BH64" s="377"/>
      <c r="BI64" s="377"/>
      <c r="BJ64" s="750"/>
      <c r="BK64" s="750"/>
      <c r="BL64" s="377"/>
      <c r="BM64" s="376">
        <v>5.7290000000000001</v>
      </c>
      <c r="BN64" s="750">
        <f>BM64-BL64</f>
        <v>5.7290000000000001</v>
      </c>
      <c r="BO64" s="728"/>
      <c r="BP64" s="377"/>
      <c r="BQ64" s="377"/>
      <c r="BR64" s="750">
        <f>BQ64-BP64</f>
        <v>0</v>
      </c>
      <c r="BS64" s="750"/>
      <c r="BT64" s="377"/>
      <c r="BU64" s="377"/>
      <c r="BV64" s="750"/>
      <c r="BW64" s="750"/>
      <c r="BX64" s="377"/>
      <c r="BY64" s="377"/>
      <c r="BZ64" s="750"/>
      <c r="CA64" s="750"/>
      <c r="CB64" s="377"/>
      <c r="CC64" s="377"/>
      <c r="CD64" s="750"/>
      <c r="CE64" s="750"/>
      <c r="CF64" s="377"/>
      <c r="CG64" s="377"/>
      <c r="CH64" s="750"/>
      <c r="CI64" s="750"/>
      <c r="CJ64" s="377"/>
      <c r="CK64" s="377"/>
      <c r="CL64" s="750"/>
      <c r="CM64" s="386"/>
      <c r="CN64" s="751"/>
      <c r="CO64" s="751"/>
      <c r="CP64" s="751"/>
      <c r="CQ64" s="751"/>
      <c r="CR64" s="374"/>
      <c r="CS64" s="374"/>
      <c r="CT64" s="744"/>
      <c r="CU64" s="745"/>
      <c r="CV64" s="373"/>
      <c r="CW64" s="373"/>
      <c r="CX64" s="744"/>
      <c r="CY64" s="745"/>
      <c r="CZ64" s="373"/>
      <c r="DA64" s="373"/>
      <c r="DB64" s="744"/>
      <c r="DC64" s="745"/>
      <c r="DG64" s="746"/>
      <c r="DH64" s="746"/>
      <c r="DI64" s="746"/>
      <c r="DJ64" s="747"/>
      <c r="DK64" s="718"/>
      <c r="DL64" s="718"/>
    </row>
    <row r="65" spans="1:116" ht="13.5" customHeight="1">
      <c r="A65" s="738"/>
      <c r="B65" s="739">
        <v>1718001901</v>
      </c>
      <c r="C65" s="752" t="s">
        <v>345</v>
      </c>
      <c r="D65" s="753">
        <v>30.9</v>
      </c>
      <c r="E65" s="377">
        <v>14</v>
      </c>
      <c r="F65" s="783">
        <f t="shared" si="64"/>
        <v>0</v>
      </c>
      <c r="G65" s="749">
        <f t="shared" si="36"/>
        <v>-14</v>
      </c>
      <c r="H65" s="749">
        <f t="shared" si="65"/>
        <v>0</v>
      </c>
      <c r="I65" s="377">
        <v>2.5</v>
      </c>
      <c r="J65" s="376"/>
      <c r="K65" s="750">
        <f t="shared" si="10"/>
        <v>-2.5</v>
      </c>
      <c r="L65" s="750"/>
      <c r="M65" s="377"/>
      <c r="N65" s="377"/>
      <c r="O65" s="750"/>
      <c r="P65" s="750"/>
      <c r="Q65" s="377"/>
      <c r="R65" s="377"/>
      <c r="S65" s="750"/>
      <c r="T65" s="750"/>
      <c r="U65" s="377"/>
      <c r="V65" s="377"/>
      <c r="W65" s="750"/>
      <c r="X65" s="750"/>
      <c r="Y65" s="377">
        <f t="shared" si="63"/>
        <v>0</v>
      </c>
      <c r="Z65" s="377">
        <f t="shared" si="63"/>
        <v>0</v>
      </c>
      <c r="AA65" s="750">
        <f t="shared" si="41"/>
        <v>0</v>
      </c>
      <c r="AB65" s="750"/>
      <c r="AC65" s="377"/>
      <c r="AD65" s="377"/>
      <c r="AE65" s="750">
        <f t="shared" si="42"/>
        <v>0</v>
      </c>
      <c r="AF65" s="750"/>
      <c r="AG65" s="377"/>
      <c r="AH65" s="377"/>
      <c r="AI65" s="750"/>
      <c r="AJ65" s="377"/>
      <c r="AK65" s="377"/>
      <c r="AL65" s="750">
        <f>AK65-AJ65</f>
        <v>0</v>
      </c>
      <c r="AM65" s="750"/>
      <c r="AN65" s="377"/>
      <c r="AO65" s="377"/>
      <c r="AP65" s="750">
        <f>AO65-AN65</f>
        <v>0</v>
      </c>
      <c r="AQ65" s="750"/>
      <c r="AR65" s="750"/>
      <c r="AS65" s="750"/>
      <c r="AT65" s="750"/>
      <c r="AU65" s="750"/>
      <c r="AV65" s="377"/>
      <c r="AW65" s="377"/>
      <c r="AX65" s="750">
        <f>AW65-AV65</f>
        <v>0</v>
      </c>
      <c r="AY65" s="750"/>
      <c r="AZ65" s="377"/>
      <c r="BA65" s="377"/>
      <c r="BB65" s="750"/>
      <c r="BC65" s="750"/>
      <c r="BD65" s="377"/>
      <c r="BE65" s="377"/>
      <c r="BF65" s="750"/>
      <c r="BG65" s="750"/>
      <c r="BH65" s="377"/>
      <c r="BI65" s="377"/>
      <c r="BJ65" s="750"/>
      <c r="BK65" s="750"/>
      <c r="BL65" s="377">
        <v>0</v>
      </c>
      <c r="BM65" s="376"/>
      <c r="BN65" s="750">
        <f t="shared" si="51"/>
        <v>0</v>
      </c>
      <c r="BO65" s="728"/>
      <c r="BP65" s="377"/>
      <c r="BQ65" s="377"/>
      <c r="BR65" s="750">
        <f t="shared" si="52"/>
        <v>0</v>
      </c>
      <c r="BS65" s="750"/>
      <c r="BT65" s="377"/>
      <c r="BU65" s="377"/>
      <c r="BV65" s="750"/>
      <c r="BW65" s="750"/>
      <c r="BX65" s="377"/>
      <c r="BY65" s="377"/>
      <c r="BZ65" s="750"/>
      <c r="CA65" s="750"/>
      <c r="CB65" s="377"/>
      <c r="CC65" s="377"/>
      <c r="CD65" s="750"/>
      <c r="CE65" s="750"/>
      <c r="CF65" s="377">
        <v>11.51</v>
      </c>
      <c r="CG65" s="377"/>
      <c r="CH65" s="750"/>
      <c r="CI65" s="750"/>
      <c r="CJ65" s="377"/>
      <c r="CK65" s="377"/>
      <c r="CL65" s="750"/>
      <c r="CM65" s="386"/>
      <c r="CN65" s="751"/>
      <c r="CO65" s="751"/>
      <c r="CP65" s="751"/>
      <c r="CQ65" s="751"/>
      <c r="CR65" s="374"/>
      <c r="CS65" s="374"/>
      <c r="CT65" s="744"/>
      <c r="CU65" s="745"/>
      <c r="CV65" s="373"/>
      <c r="CW65" s="373"/>
      <c r="CX65" s="744"/>
      <c r="CY65" s="745"/>
      <c r="CZ65" s="373"/>
      <c r="DA65" s="373"/>
      <c r="DB65" s="744"/>
      <c r="DC65" s="745"/>
      <c r="DG65" s="746"/>
      <c r="DH65" s="746"/>
      <c r="DI65" s="746"/>
      <c r="DJ65" s="747"/>
      <c r="DK65" s="718"/>
      <c r="DL65" s="718"/>
    </row>
    <row r="66" spans="1:116" ht="12.75" customHeight="1">
      <c r="A66" s="738"/>
      <c r="B66" s="771" t="s">
        <v>836</v>
      </c>
      <c r="C66" s="752" t="s">
        <v>548</v>
      </c>
      <c r="D66" s="753">
        <v>19.3</v>
      </c>
      <c r="E66" s="377">
        <v>40</v>
      </c>
      <c r="F66" s="783">
        <f t="shared" si="64"/>
        <v>0</v>
      </c>
      <c r="G66" s="749">
        <f t="shared" si="36"/>
        <v>-40</v>
      </c>
      <c r="H66" s="749">
        <f t="shared" si="65"/>
        <v>0</v>
      </c>
      <c r="I66" s="376">
        <v>11.478999999999999</v>
      </c>
      <c r="J66" s="376"/>
      <c r="K66" s="750">
        <f t="shared" si="10"/>
        <v>-11.478999999999999</v>
      </c>
      <c r="L66" s="750"/>
      <c r="M66" s="377"/>
      <c r="N66" s="377"/>
      <c r="O66" s="750">
        <v>0</v>
      </c>
      <c r="P66" s="750"/>
      <c r="Q66" s="377"/>
      <c r="R66" s="377"/>
      <c r="S66" s="750">
        <v>0</v>
      </c>
      <c r="T66" s="750"/>
      <c r="U66" s="377"/>
      <c r="V66" s="377"/>
      <c r="W66" s="750"/>
      <c r="X66" s="750"/>
      <c r="Y66" s="377">
        <f t="shared" si="63"/>
        <v>0</v>
      </c>
      <c r="Z66" s="377">
        <f t="shared" si="63"/>
        <v>0</v>
      </c>
      <c r="AA66" s="750">
        <f t="shared" si="41"/>
        <v>0</v>
      </c>
      <c r="AB66" s="750"/>
      <c r="AC66" s="377"/>
      <c r="AD66" s="377"/>
      <c r="AE66" s="750">
        <f t="shared" si="42"/>
        <v>0</v>
      </c>
      <c r="AF66" s="750"/>
      <c r="AG66" s="377"/>
      <c r="AH66" s="377"/>
      <c r="AI66" s="750"/>
      <c r="AJ66" s="377"/>
      <c r="AK66" s="377"/>
      <c r="AL66" s="750">
        <v>0</v>
      </c>
      <c r="AM66" s="750"/>
      <c r="AN66" s="377"/>
      <c r="AO66" s="377"/>
      <c r="AP66" s="750">
        <v>0</v>
      </c>
      <c r="AQ66" s="750"/>
      <c r="AR66" s="750"/>
      <c r="AS66" s="750"/>
      <c r="AT66" s="750"/>
      <c r="AU66" s="750"/>
      <c r="AV66" s="377"/>
      <c r="AW66" s="377"/>
      <c r="AX66" s="750">
        <f>AW66-AV66</f>
        <v>0</v>
      </c>
      <c r="AY66" s="750"/>
      <c r="AZ66" s="377"/>
      <c r="BA66" s="377"/>
      <c r="BB66" s="750"/>
      <c r="BC66" s="750"/>
      <c r="BD66" s="377"/>
      <c r="BE66" s="377"/>
      <c r="BF66" s="750">
        <v>0</v>
      </c>
      <c r="BG66" s="750"/>
      <c r="BH66" s="377"/>
      <c r="BI66" s="377"/>
      <c r="BJ66" s="750">
        <v>0</v>
      </c>
      <c r="BK66" s="750"/>
      <c r="BL66" s="376">
        <v>28.041</v>
      </c>
      <c r="BM66" s="376"/>
      <c r="BN66" s="750">
        <f t="shared" si="51"/>
        <v>-28.041</v>
      </c>
      <c r="BO66" s="728"/>
      <c r="BP66" s="377"/>
      <c r="BQ66" s="377"/>
      <c r="BR66" s="750">
        <f t="shared" si="52"/>
        <v>0</v>
      </c>
      <c r="BS66" s="750"/>
      <c r="BT66" s="377"/>
      <c r="BU66" s="377"/>
      <c r="BV66" s="750"/>
      <c r="BW66" s="750"/>
      <c r="BX66" s="377"/>
      <c r="BY66" s="377"/>
      <c r="BZ66" s="750">
        <v>0</v>
      </c>
      <c r="CA66" s="750"/>
      <c r="CB66" s="377"/>
      <c r="CC66" s="377"/>
      <c r="CD66" s="750"/>
      <c r="CE66" s="750"/>
      <c r="CF66" s="377"/>
      <c r="CG66" s="377"/>
      <c r="CH66" s="750">
        <v>0</v>
      </c>
      <c r="CI66" s="750"/>
      <c r="CJ66" s="377"/>
      <c r="CK66" s="377"/>
      <c r="CL66" s="750">
        <v>0</v>
      </c>
      <c r="CM66" s="386"/>
      <c r="CN66" s="751"/>
      <c r="CO66" s="751"/>
      <c r="CP66" s="751">
        <v>0</v>
      </c>
      <c r="CQ66" s="751"/>
      <c r="CR66" s="374"/>
      <c r="CS66" s="374"/>
      <c r="CT66" s="744"/>
      <c r="CU66" s="745"/>
      <c r="CV66" s="373"/>
      <c r="CW66" s="373"/>
      <c r="CX66" s="744"/>
      <c r="CY66" s="745"/>
      <c r="CZ66" s="373"/>
      <c r="DA66" s="373"/>
      <c r="DB66" s="744">
        <v>0</v>
      </c>
      <c r="DC66" s="745"/>
      <c r="DG66" s="746"/>
      <c r="DH66" s="746"/>
      <c r="DI66" s="746"/>
      <c r="DJ66" s="747"/>
      <c r="DK66" s="718"/>
      <c r="DL66" s="718"/>
    </row>
    <row r="67" spans="1:116" ht="12.75" customHeight="1">
      <c r="A67" s="738"/>
      <c r="B67" s="739">
        <v>1718001884</v>
      </c>
      <c r="C67" s="752" t="s">
        <v>346</v>
      </c>
      <c r="D67" s="753">
        <v>0</v>
      </c>
      <c r="E67" s="377">
        <v>1</v>
      </c>
      <c r="F67" s="783">
        <f t="shared" si="64"/>
        <v>7.0739999999999998</v>
      </c>
      <c r="G67" s="749">
        <f t="shared" si="36"/>
        <v>6.0739999999999998</v>
      </c>
      <c r="H67" s="749">
        <f t="shared" si="65"/>
        <v>7.0739999999999998</v>
      </c>
      <c r="I67" s="377">
        <v>1</v>
      </c>
      <c r="J67" s="376"/>
      <c r="K67" s="750"/>
      <c r="L67" s="750"/>
      <c r="M67" s="377"/>
      <c r="N67" s="377"/>
      <c r="O67" s="750"/>
      <c r="P67" s="750"/>
      <c r="Q67" s="377"/>
      <c r="R67" s="377"/>
      <c r="S67" s="750"/>
      <c r="T67" s="750"/>
      <c r="U67" s="377"/>
      <c r="V67" s="377"/>
      <c r="W67" s="750"/>
      <c r="X67" s="750"/>
      <c r="Y67" s="377"/>
      <c r="Z67" s="377"/>
      <c r="AA67" s="750"/>
      <c r="AB67" s="750"/>
      <c r="AC67" s="377"/>
      <c r="AD67" s="377"/>
      <c r="AE67" s="750"/>
      <c r="AF67" s="750"/>
      <c r="AG67" s="377"/>
      <c r="AH67" s="377"/>
      <c r="AI67" s="750"/>
      <c r="AJ67" s="377"/>
      <c r="AK67" s="377"/>
      <c r="AL67" s="750"/>
      <c r="AM67" s="750"/>
      <c r="AN67" s="377"/>
      <c r="AO67" s="377"/>
      <c r="AP67" s="750"/>
      <c r="AQ67" s="750"/>
      <c r="AR67" s="750"/>
      <c r="AS67" s="750"/>
      <c r="AT67" s="750"/>
      <c r="AU67" s="750"/>
      <c r="AV67" s="377"/>
      <c r="AW67" s="377"/>
      <c r="AX67" s="750"/>
      <c r="AY67" s="750"/>
      <c r="AZ67" s="377"/>
      <c r="BA67" s="377"/>
      <c r="BB67" s="750"/>
      <c r="BC67" s="750"/>
      <c r="BD67" s="377"/>
      <c r="BE67" s="377"/>
      <c r="BF67" s="750"/>
      <c r="BG67" s="750"/>
      <c r="BH67" s="377"/>
      <c r="BI67" s="377"/>
      <c r="BJ67" s="750"/>
      <c r="BK67" s="750"/>
      <c r="BL67" s="377"/>
      <c r="BM67" s="376">
        <v>7.0739999999999998</v>
      </c>
      <c r="BN67" s="750">
        <f t="shared" si="51"/>
        <v>7.0739999999999998</v>
      </c>
      <c r="BO67" s="728"/>
      <c r="BP67" s="377"/>
      <c r="BQ67" s="377"/>
      <c r="BR67" s="750"/>
      <c r="BS67" s="750"/>
      <c r="BT67" s="377"/>
      <c r="BU67" s="377"/>
      <c r="BV67" s="750"/>
      <c r="BW67" s="750"/>
      <c r="BX67" s="377"/>
      <c r="BY67" s="377"/>
      <c r="BZ67" s="750"/>
      <c r="CA67" s="750"/>
      <c r="CB67" s="377"/>
      <c r="CC67" s="377"/>
      <c r="CD67" s="750"/>
      <c r="CE67" s="750"/>
      <c r="CF67" s="377"/>
      <c r="CG67" s="377"/>
      <c r="CH67" s="750"/>
      <c r="CI67" s="750"/>
      <c r="CJ67" s="377"/>
      <c r="CK67" s="377"/>
      <c r="CL67" s="750"/>
      <c r="CM67" s="386"/>
      <c r="CN67" s="751"/>
      <c r="CO67" s="751"/>
      <c r="CP67" s="751"/>
      <c r="CQ67" s="751"/>
      <c r="CR67" s="374"/>
      <c r="CS67" s="374"/>
      <c r="CT67" s="744"/>
      <c r="CU67" s="745"/>
      <c r="CV67" s="373"/>
      <c r="CW67" s="373"/>
      <c r="CX67" s="744"/>
      <c r="CY67" s="745"/>
      <c r="CZ67" s="373"/>
      <c r="DA67" s="373"/>
      <c r="DB67" s="744"/>
      <c r="DC67" s="745"/>
      <c r="DG67" s="746"/>
      <c r="DH67" s="746"/>
      <c r="DI67" s="746"/>
      <c r="DJ67" s="747"/>
      <c r="DK67" s="718"/>
      <c r="DL67" s="718"/>
    </row>
    <row r="68" spans="1:116" ht="12.75" hidden="1" customHeight="1">
      <c r="A68" s="738"/>
      <c r="B68" s="739"/>
      <c r="C68" s="752" t="s">
        <v>549</v>
      </c>
      <c r="D68" s="753">
        <v>0</v>
      </c>
      <c r="E68" s="377"/>
      <c r="F68" s="783">
        <f t="shared" si="64"/>
        <v>0</v>
      </c>
      <c r="G68" s="749">
        <f t="shared" si="36"/>
        <v>0</v>
      </c>
      <c r="H68" s="749">
        <v>0</v>
      </c>
      <c r="I68" s="377"/>
      <c r="J68" s="376"/>
      <c r="K68" s="750">
        <v>0</v>
      </c>
      <c r="L68" s="750"/>
      <c r="M68" s="377"/>
      <c r="N68" s="377"/>
      <c r="O68" s="750">
        <v>0</v>
      </c>
      <c r="P68" s="750"/>
      <c r="Q68" s="377"/>
      <c r="R68" s="377"/>
      <c r="S68" s="750">
        <v>0</v>
      </c>
      <c r="T68" s="750"/>
      <c r="U68" s="377"/>
      <c r="V68" s="377"/>
      <c r="W68" s="750"/>
      <c r="X68" s="750"/>
      <c r="Y68" s="377"/>
      <c r="Z68" s="377"/>
      <c r="AA68" s="750">
        <f t="shared" ref="AA68:AA80" si="67">Z68-Y68</f>
        <v>0</v>
      </c>
      <c r="AB68" s="750"/>
      <c r="AC68" s="377"/>
      <c r="AD68" s="377"/>
      <c r="AE68" s="750">
        <v>0</v>
      </c>
      <c r="AF68" s="750"/>
      <c r="AG68" s="377"/>
      <c r="AH68" s="377"/>
      <c r="AI68" s="750"/>
      <c r="AJ68" s="377"/>
      <c r="AK68" s="377"/>
      <c r="AL68" s="750">
        <v>0</v>
      </c>
      <c r="AM68" s="750"/>
      <c r="AN68" s="377"/>
      <c r="AO68" s="377"/>
      <c r="AP68" s="750">
        <v>0</v>
      </c>
      <c r="AQ68" s="750"/>
      <c r="AR68" s="750"/>
      <c r="AS68" s="750"/>
      <c r="AT68" s="750"/>
      <c r="AU68" s="750"/>
      <c r="AV68" s="377"/>
      <c r="AW68" s="377"/>
      <c r="AX68" s="750"/>
      <c r="AY68" s="750"/>
      <c r="AZ68" s="377"/>
      <c r="BA68" s="377"/>
      <c r="BB68" s="750"/>
      <c r="BC68" s="750"/>
      <c r="BD68" s="377"/>
      <c r="BE68" s="377"/>
      <c r="BF68" s="750">
        <v>0</v>
      </c>
      <c r="BG68" s="750"/>
      <c r="BH68" s="377"/>
      <c r="BI68" s="377"/>
      <c r="BJ68" s="750">
        <v>0</v>
      </c>
      <c r="BK68" s="750"/>
      <c r="BL68" s="377"/>
      <c r="BM68" s="376"/>
      <c r="BN68" s="750">
        <f t="shared" si="51"/>
        <v>0</v>
      </c>
      <c r="BO68" s="728"/>
      <c r="BP68" s="377"/>
      <c r="BQ68" s="377"/>
      <c r="BR68" s="750">
        <f t="shared" ref="BR68:BR91" si="68">BQ68-BP68</f>
        <v>0</v>
      </c>
      <c r="BS68" s="750"/>
      <c r="BT68" s="377"/>
      <c r="BU68" s="377"/>
      <c r="BV68" s="750"/>
      <c r="BW68" s="750"/>
      <c r="BX68" s="377"/>
      <c r="BY68" s="377"/>
      <c r="BZ68" s="750">
        <v>0</v>
      </c>
      <c r="CA68" s="750"/>
      <c r="CB68" s="377"/>
      <c r="CC68" s="377"/>
      <c r="CD68" s="750"/>
      <c r="CE68" s="750"/>
      <c r="CF68" s="377"/>
      <c r="CG68" s="377"/>
      <c r="CH68" s="750">
        <v>0</v>
      </c>
      <c r="CI68" s="750"/>
      <c r="CJ68" s="377"/>
      <c r="CK68" s="377"/>
      <c r="CL68" s="750">
        <v>0</v>
      </c>
      <c r="CM68" s="386"/>
      <c r="CN68" s="751"/>
      <c r="CO68" s="751"/>
      <c r="CP68" s="751">
        <v>0</v>
      </c>
      <c r="CQ68" s="751"/>
      <c r="CR68" s="374"/>
      <c r="CS68" s="374"/>
      <c r="CT68" s="744"/>
      <c r="CU68" s="745"/>
      <c r="CV68" s="373"/>
      <c r="CW68" s="373"/>
      <c r="CX68" s="744"/>
      <c r="CY68" s="745"/>
      <c r="CZ68" s="373"/>
      <c r="DA68" s="373"/>
      <c r="DB68" s="744">
        <v>0</v>
      </c>
      <c r="DC68" s="745"/>
      <c r="DG68" s="746"/>
      <c r="DH68" s="746"/>
      <c r="DI68" s="746"/>
      <c r="DJ68" s="747"/>
      <c r="DK68" s="718"/>
      <c r="DL68" s="718"/>
    </row>
    <row r="69" spans="1:116">
      <c r="A69" s="738"/>
      <c r="B69" s="739">
        <v>1718002084</v>
      </c>
      <c r="C69" s="752" t="s">
        <v>390</v>
      </c>
      <c r="D69" s="753">
        <v>38.9</v>
      </c>
      <c r="E69" s="377">
        <v>39.299999999999997</v>
      </c>
      <c r="F69" s="783">
        <f t="shared" si="64"/>
        <v>0</v>
      </c>
      <c r="G69" s="749"/>
      <c r="H69" s="749">
        <v>0</v>
      </c>
      <c r="I69" s="376">
        <v>11.125</v>
      </c>
      <c r="J69" s="376"/>
      <c r="K69" s="750">
        <v>0</v>
      </c>
      <c r="L69" s="750"/>
      <c r="M69" s="377"/>
      <c r="N69" s="377"/>
      <c r="O69" s="750">
        <v>0</v>
      </c>
      <c r="P69" s="750"/>
      <c r="Q69" s="377">
        <v>28.192</v>
      </c>
      <c r="R69" s="377"/>
      <c r="S69" s="750">
        <v>0</v>
      </c>
      <c r="T69" s="750"/>
      <c r="U69" s="377"/>
      <c r="V69" s="377"/>
      <c r="W69" s="750">
        <v>0</v>
      </c>
      <c r="X69" s="750"/>
      <c r="Y69" s="377"/>
      <c r="Z69" s="377"/>
      <c r="AA69" s="750">
        <f t="shared" si="67"/>
        <v>0</v>
      </c>
      <c r="AB69" s="750"/>
      <c r="AC69" s="377"/>
      <c r="AD69" s="377"/>
      <c r="AE69" s="750">
        <f t="shared" ref="AE69:AE83" si="69">AD69-AC69</f>
        <v>0</v>
      </c>
      <c r="AF69" s="750"/>
      <c r="AG69" s="377"/>
      <c r="AH69" s="377"/>
      <c r="AI69" s="750"/>
      <c r="AJ69" s="377"/>
      <c r="AK69" s="377"/>
      <c r="AL69" s="750">
        <v>0</v>
      </c>
      <c r="AM69" s="750"/>
      <c r="AN69" s="377"/>
      <c r="AO69" s="377"/>
      <c r="AP69" s="750">
        <v>0</v>
      </c>
      <c r="AQ69" s="750"/>
      <c r="AR69" s="750"/>
      <c r="AS69" s="750"/>
      <c r="AT69" s="750"/>
      <c r="AU69" s="750"/>
      <c r="AV69" s="377"/>
      <c r="AW69" s="377"/>
      <c r="AX69" s="750">
        <v>0</v>
      </c>
      <c r="AY69" s="750"/>
      <c r="AZ69" s="377"/>
      <c r="BA69" s="377"/>
      <c r="BB69" s="750">
        <v>0</v>
      </c>
      <c r="BC69" s="750"/>
      <c r="BD69" s="377"/>
      <c r="BE69" s="377"/>
      <c r="BF69" s="750">
        <v>0</v>
      </c>
      <c r="BG69" s="750"/>
      <c r="BH69" s="377"/>
      <c r="BI69" s="377"/>
      <c r="BJ69" s="750">
        <v>0</v>
      </c>
      <c r="BK69" s="750"/>
      <c r="BL69" s="377"/>
      <c r="BM69" s="376"/>
      <c r="BN69" s="750">
        <f t="shared" si="51"/>
        <v>0</v>
      </c>
      <c r="BO69" s="728"/>
      <c r="BP69" s="377"/>
      <c r="BQ69" s="377"/>
      <c r="BR69" s="750">
        <f t="shared" si="68"/>
        <v>0</v>
      </c>
      <c r="BS69" s="750"/>
      <c r="BT69" s="377"/>
      <c r="BU69" s="377"/>
      <c r="BV69" s="750"/>
      <c r="BW69" s="750"/>
      <c r="BX69" s="377"/>
      <c r="BY69" s="377"/>
      <c r="BZ69" s="750">
        <v>0</v>
      </c>
      <c r="CA69" s="750"/>
      <c r="CB69" s="377"/>
      <c r="CC69" s="377"/>
      <c r="CD69" s="750"/>
      <c r="CE69" s="750"/>
      <c r="CF69" s="377"/>
      <c r="CG69" s="377"/>
      <c r="CH69" s="750">
        <v>0</v>
      </c>
      <c r="CI69" s="750"/>
      <c r="CJ69" s="377"/>
      <c r="CK69" s="377"/>
      <c r="CL69" s="750">
        <v>0</v>
      </c>
      <c r="CM69" s="386"/>
      <c r="CN69" s="751"/>
      <c r="CO69" s="751"/>
      <c r="CP69" s="751">
        <v>0</v>
      </c>
      <c r="CQ69" s="751"/>
      <c r="CR69" s="374"/>
      <c r="CS69" s="374"/>
      <c r="CT69" s="744"/>
      <c r="CU69" s="745"/>
      <c r="CV69" s="373"/>
      <c r="CW69" s="373"/>
      <c r="CX69" s="744"/>
      <c r="CY69" s="745"/>
      <c r="CZ69" s="373"/>
      <c r="DA69" s="373"/>
      <c r="DB69" s="744">
        <v>0</v>
      </c>
      <c r="DC69" s="745"/>
      <c r="DG69" s="746"/>
      <c r="DH69" s="746"/>
      <c r="DI69" s="746"/>
      <c r="DJ69" s="747"/>
      <c r="DK69" s="718"/>
      <c r="DL69" s="718"/>
    </row>
    <row r="70" spans="1:116" ht="12" customHeight="1">
      <c r="A70" s="738"/>
      <c r="B70" s="739">
        <v>1718002060</v>
      </c>
      <c r="C70" s="752" t="s">
        <v>909</v>
      </c>
      <c r="D70" s="753">
        <v>8.1</v>
      </c>
      <c r="E70" s="377">
        <v>0</v>
      </c>
      <c r="F70" s="783">
        <f t="shared" si="64"/>
        <v>8.0850000000000009</v>
      </c>
      <c r="G70" s="749">
        <f t="shared" ref="G70:G130" si="70">F70-E70</f>
        <v>8.0850000000000009</v>
      </c>
      <c r="H70" s="749">
        <v>0</v>
      </c>
      <c r="I70" s="377"/>
      <c r="J70" s="377"/>
      <c r="K70" s="750">
        <f t="shared" ref="K70:K89" si="71">J70-I70</f>
        <v>0</v>
      </c>
      <c r="L70" s="750"/>
      <c r="M70" s="377"/>
      <c r="N70" s="377"/>
      <c r="O70" s="750">
        <f t="shared" ref="O70:O83" si="72">N70-M70</f>
        <v>0</v>
      </c>
      <c r="P70" s="750"/>
      <c r="Q70" s="377"/>
      <c r="R70" s="377"/>
      <c r="S70" s="750">
        <f t="shared" ref="S70:S83" si="73">R70-Q70</f>
        <v>0</v>
      </c>
      <c r="T70" s="750"/>
      <c r="U70" s="377"/>
      <c r="V70" s="377"/>
      <c r="W70" s="750">
        <f t="shared" ref="W70:W80" si="74">V70-U70</f>
        <v>0</v>
      </c>
      <c r="X70" s="750"/>
      <c r="Y70" s="377">
        <f t="shared" ref="Y70:Z89" si="75">AC70</f>
        <v>0</v>
      </c>
      <c r="Z70" s="377">
        <f t="shared" si="75"/>
        <v>0</v>
      </c>
      <c r="AA70" s="750">
        <f t="shared" si="67"/>
        <v>0</v>
      </c>
      <c r="AB70" s="750"/>
      <c r="AC70" s="377"/>
      <c r="AD70" s="377"/>
      <c r="AE70" s="750">
        <f t="shared" si="69"/>
        <v>0</v>
      </c>
      <c r="AF70" s="750"/>
      <c r="AG70" s="377"/>
      <c r="AH70" s="377"/>
      <c r="AI70" s="750">
        <f t="shared" ref="AI70:AI80" si="76">AH70-AG70</f>
        <v>0</v>
      </c>
      <c r="AJ70" s="377"/>
      <c r="AK70" s="377"/>
      <c r="AL70" s="750">
        <f t="shared" ref="AL70:AL80" si="77">AK70-AJ70</f>
        <v>0</v>
      </c>
      <c r="AM70" s="750"/>
      <c r="AN70" s="377"/>
      <c r="AO70" s="377"/>
      <c r="AP70" s="750">
        <f t="shared" ref="AP70:AP83" si="78">AO70-AN70</f>
        <v>0</v>
      </c>
      <c r="AQ70" s="750"/>
      <c r="AR70" s="750"/>
      <c r="AS70" s="750"/>
      <c r="AT70" s="750">
        <f t="shared" ref="AT70:AT80" si="79">AS70-AR70</f>
        <v>0</v>
      </c>
      <c r="AU70" s="750"/>
      <c r="AV70" s="376">
        <v>1.4999999999999999E-2</v>
      </c>
      <c r="AW70" s="376">
        <v>1.4999999999999999E-2</v>
      </c>
      <c r="AX70" s="750">
        <f t="shared" ref="AX70:AX80" si="80">AW70-AV70</f>
        <v>0</v>
      </c>
      <c r="AY70" s="750"/>
      <c r="AZ70" s="377"/>
      <c r="BA70" s="377"/>
      <c r="BB70" s="750">
        <f t="shared" ref="BB70:BB80" si="81">BA70-AZ70</f>
        <v>0</v>
      </c>
      <c r="BC70" s="750"/>
      <c r="BD70" s="377"/>
      <c r="BE70" s="377"/>
      <c r="BF70" s="750">
        <f t="shared" ref="BF70:BF80" si="82">BE70-BD70</f>
        <v>0</v>
      </c>
      <c r="BG70" s="750"/>
      <c r="BH70" s="377"/>
      <c r="BI70" s="377"/>
      <c r="BJ70" s="750">
        <f t="shared" ref="BJ70:BJ83" si="83">BI70-BH70</f>
        <v>0</v>
      </c>
      <c r="BK70" s="750"/>
      <c r="BL70" s="377"/>
      <c r="BM70" s="376">
        <v>8.07</v>
      </c>
      <c r="BN70" s="750">
        <f t="shared" si="51"/>
        <v>8.07</v>
      </c>
      <c r="BO70" s="728"/>
      <c r="BP70" s="377"/>
      <c r="BQ70" s="377"/>
      <c r="BR70" s="750">
        <f t="shared" si="68"/>
        <v>0</v>
      </c>
      <c r="BS70" s="750"/>
      <c r="BT70" s="377"/>
      <c r="BU70" s="377"/>
      <c r="BV70" s="750">
        <f t="shared" ref="BV70:BV80" si="84">BU70-BT70</f>
        <v>0</v>
      </c>
      <c r="BW70" s="750"/>
      <c r="BX70" s="377"/>
      <c r="BY70" s="377"/>
      <c r="BZ70" s="750">
        <f t="shared" ref="BZ70:BZ80" si="85">BY70-BX70</f>
        <v>0</v>
      </c>
      <c r="CA70" s="750"/>
      <c r="CB70" s="377"/>
      <c r="CC70" s="377"/>
      <c r="CD70" s="750">
        <f t="shared" ref="CD70:CD80" si="86">CC70-CB70</f>
        <v>0</v>
      </c>
      <c r="CE70" s="750"/>
      <c r="CF70" s="377"/>
      <c r="CG70" s="377"/>
      <c r="CH70" s="750">
        <f t="shared" ref="CH70:CH83" si="87">CG70-CF70</f>
        <v>0</v>
      </c>
      <c r="CI70" s="750"/>
      <c r="CJ70" s="377"/>
      <c r="CK70" s="377"/>
      <c r="CL70" s="750">
        <f t="shared" ref="CL70:CL80" si="88">CK70-CJ70</f>
        <v>0</v>
      </c>
      <c r="CM70" s="386"/>
      <c r="CN70" s="751"/>
      <c r="CO70" s="751"/>
      <c r="CP70" s="751">
        <f t="shared" ref="CP70:CP80" si="89">CO70-CN70</f>
        <v>0</v>
      </c>
      <c r="CQ70" s="751"/>
      <c r="CR70" s="374"/>
      <c r="CS70" s="374"/>
      <c r="CT70" s="744">
        <f t="shared" ref="CT70:CT80" si="90">CS70-CR70</f>
        <v>0</v>
      </c>
      <c r="CU70" s="745"/>
      <c r="CV70" s="373"/>
      <c r="CW70" s="373"/>
      <c r="CX70" s="744">
        <f t="shared" ref="CX70:CX80" si="91">CW70-CV70</f>
        <v>0</v>
      </c>
      <c r="CY70" s="745"/>
      <c r="CZ70" s="373"/>
      <c r="DA70" s="373"/>
      <c r="DB70" s="744">
        <f t="shared" ref="DB70:DB80" si="92">DA70-CZ70</f>
        <v>0</v>
      </c>
      <c r="DC70" s="745"/>
      <c r="DG70" s="746"/>
      <c r="DH70" s="746"/>
      <c r="DI70" s="746"/>
      <c r="DJ70" s="747"/>
      <c r="DK70" s="718"/>
      <c r="DL70" s="718"/>
    </row>
    <row r="71" spans="1:116" s="734" customFormat="1">
      <c r="A71" s="772"/>
      <c r="B71" s="724"/>
      <c r="C71" s="773" t="s">
        <v>348</v>
      </c>
      <c r="D71" s="774">
        <f>SUM(D72:D78)</f>
        <v>0</v>
      </c>
      <c r="E71" s="775">
        <f>SUM(E72:E78)</f>
        <v>0</v>
      </c>
      <c r="F71" s="776">
        <f>SUM(F72:F78)</f>
        <v>0</v>
      </c>
      <c r="G71" s="757">
        <f t="shared" si="70"/>
        <v>0</v>
      </c>
      <c r="H71" s="756">
        <v>0</v>
      </c>
      <c r="I71" s="755">
        <f>SUM(I72:I78)</f>
        <v>0</v>
      </c>
      <c r="J71" s="755">
        <f>SUM(J72:J78)</f>
        <v>0</v>
      </c>
      <c r="K71" s="750">
        <f t="shared" si="71"/>
        <v>0</v>
      </c>
      <c r="L71" s="750"/>
      <c r="M71" s="755">
        <f>SUM(M72:M78)</f>
        <v>0</v>
      </c>
      <c r="N71" s="755">
        <f>SUM(N72:N78)</f>
        <v>0</v>
      </c>
      <c r="O71" s="757">
        <f t="shared" si="72"/>
        <v>0</v>
      </c>
      <c r="P71" s="757"/>
      <c r="Q71" s="755">
        <f>SUM(Q72:Q78)</f>
        <v>0</v>
      </c>
      <c r="R71" s="755">
        <f>SUM(R72:R78)</f>
        <v>0</v>
      </c>
      <c r="S71" s="757">
        <f t="shared" si="73"/>
        <v>0</v>
      </c>
      <c r="T71" s="757">
        <v>0</v>
      </c>
      <c r="U71" s="755">
        <f>SUM(U72:U78)</f>
        <v>0</v>
      </c>
      <c r="V71" s="755">
        <f>SUM(V72:V78)</f>
        <v>0</v>
      </c>
      <c r="W71" s="757">
        <f t="shared" si="74"/>
        <v>0</v>
      </c>
      <c r="X71" s="757"/>
      <c r="Y71" s="755">
        <f t="shared" si="75"/>
        <v>0</v>
      </c>
      <c r="Z71" s="755">
        <f t="shared" si="75"/>
        <v>0</v>
      </c>
      <c r="AA71" s="757">
        <f t="shared" si="67"/>
        <v>0</v>
      </c>
      <c r="AB71" s="757"/>
      <c r="AC71" s="755">
        <f>SUM(AC72:AC78)</f>
        <v>0</v>
      </c>
      <c r="AD71" s="755">
        <f>SUM(AD72:AD78)</f>
        <v>0</v>
      </c>
      <c r="AE71" s="757">
        <f t="shared" si="69"/>
        <v>0</v>
      </c>
      <c r="AF71" s="757"/>
      <c r="AG71" s="755">
        <f>SUM(AG72:AG78)</f>
        <v>0</v>
      </c>
      <c r="AH71" s="755">
        <f>SUM(AH72:AH78)</f>
        <v>0</v>
      </c>
      <c r="AI71" s="757">
        <f t="shared" si="76"/>
        <v>0</v>
      </c>
      <c r="AJ71" s="755">
        <f>SUM(AJ72:AJ78)</f>
        <v>0</v>
      </c>
      <c r="AK71" s="755">
        <f>SUM(AK72:AK78)</f>
        <v>0</v>
      </c>
      <c r="AL71" s="757">
        <f t="shared" si="77"/>
        <v>0</v>
      </c>
      <c r="AM71" s="757"/>
      <c r="AN71" s="755">
        <f>SUM(AN72:AN78)</f>
        <v>0</v>
      </c>
      <c r="AO71" s="755">
        <f>SUM(AO72:AO78)</f>
        <v>0</v>
      </c>
      <c r="AP71" s="757">
        <f t="shared" si="78"/>
        <v>0</v>
      </c>
      <c r="AQ71" s="757"/>
      <c r="AR71" s="755">
        <f>SUM(AR72:AR78)</f>
        <v>0</v>
      </c>
      <c r="AS71" s="755">
        <f>SUM(AS72:AS78)</f>
        <v>0</v>
      </c>
      <c r="AT71" s="757">
        <f t="shared" si="79"/>
        <v>0</v>
      </c>
      <c r="AU71" s="757"/>
      <c r="AV71" s="755">
        <f>SUM(AV72:AV78)</f>
        <v>0</v>
      </c>
      <c r="AW71" s="755">
        <f>SUM(AW72:AW78)</f>
        <v>0</v>
      </c>
      <c r="AX71" s="757">
        <f t="shared" si="80"/>
        <v>0</v>
      </c>
      <c r="AY71" s="757"/>
      <c r="AZ71" s="755">
        <f>SUM(AZ72:AZ78)</f>
        <v>0</v>
      </c>
      <c r="BA71" s="755">
        <f>SUM(BA72:BA78)</f>
        <v>0</v>
      </c>
      <c r="BB71" s="757">
        <f t="shared" si="81"/>
        <v>0</v>
      </c>
      <c r="BC71" s="757"/>
      <c r="BD71" s="755">
        <f>SUM(BD72:BD78)</f>
        <v>0</v>
      </c>
      <c r="BE71" s="755">
        <f>SUM(BE72:BE78)</f>
        <v>0</v>
      </c>
      <c r="BF71" s="757">
        <f t="shared" si="82"/>
        <v>0</v>
      </c>
      <c r="BG71" s="757"/>
      <c r="BH71" s="755">
        <f>SUM(BH72:BH78)</f>
        <v>0</v>
      </c>
      <c r="BI71" s="755">
        <f>SUM(BI72:BI78)</f>
        <v>0</v>
      </c>
      <c r="BJ71" s="757">
        <f t="shared" si="83"/>
        <v>0</v>
      </c>
      <c r="BK71" s="757"/>
      <c r="BL71" s="755">
        <f>SUM(BL72:BL78)</f>
        <v>0</v>
      </c>
      <c r="BM71" s="733">
        <f>SUM(BM72:BM78)</f>
        <v>0</v>
      </c>
      <c r="BN71" s="757">
        <f t="shared" si="51"/>
        <v>0</v>
      </c>
      <c r="BO71" s="728"/>
      <c r="BP71" s="755">
        <f>SUM(BP72:BP78)</f>
        <v>0</v>
      </c>
      <c r="BQ71" s="755">
        <f>SUM(BQ72:BQ78)</f>
        <v>0</v>
      </c>
      <c r="BR71" s="757">
        <f t="shared" si="68"/>
        <v>0</v>
      </c>
      <c r="BS71" s="757"/>
      <c r="BT71" s="755">
        <f>SUM(BT72:BT78)</f>
        <v>0</v>
      </c>
      <c r="BU71" s="755">
        <f>SUM(BU72:BU78)</f>
        <v>0</v>
      </c>
      <c r="BV71" s="757">
        <f t="shared" si="84"/>
        <v>0</v>
      </c>
      <c r="BW71" s="757"/>
      <c r="BX71" s="755">
        <f>SUM(BX72:BX78)</f>
        <v>0</v>
      </c>
      <c r="BY71" s="755">
        <f>SUM(BY72:BY78)</f>
        <v>0</v>
      </c>
      <c r="BZ71" s="757">
        <f t="shared" si="85"/>
        <v>0</v>
      </c>
      <c r="CA71" s="757"/>
      <c r="CB71" s="755">
        <f>SUM(CB72:CB78)</f>
        <v>0</v>
      </c>
      <c r="CC71" s="755">
        <f>SUM(CC72:CC78)</f>
        <v>0</v>
      </c>
      <c r="CD71" s="757">
        <f t="shared" si="86"/>
        <v>0</v>
      </c>
      <c r="CE71" s="757"/>
      <c r="CF71" s="755">
        <f>SUM(CF72:CF78)</f>
        <v>0</v>
      </c>
      <c r="CG71" s="755">
        <f>SUM(CG72:CG78)</f>
        <v>0</v>
      </c>
      <c r="CH71" s="757">
        <f t="shared" si="87"/>
        <v>0</v>
      </c>
      <c r="CI71" s="757"/>
      <c r="CJ71" s="755">
        <f>SUM(CJ72:CJ78)</f>
        <v>0</v>
      </c>
      <c r="CK71" s="755">
        <f>SUM(CK72:CK78)</f>
        <v>0</v>
      </c>
      <c r="CL71" s="757">
        <f t="shared" si="88"/>
        <v>0</v>
      </c>
      <c r="CM71" s="386"/>
      <c r="CN71" s="733">
        <f>SUM(CN72:CN78)</f>
        <v>0</v>
      </c>
      <c r="CO71" s="733">
        <f>SUM(CO72:CO78)</f>
        <v>0</v>
      </c>
      <c r="CP71" s="758">
        <f t="shared" si="89"/>
        <v>0</v>
      </c>
      <c r="CQ71" s="758"/>
      <c r="CR71" s="759">
        <f>SUM(CR72:CR78)</f>
        <v>0</v>
      </c>
      <c r="CS71" s="759">
        <f>SUM(CS72:CS78)</f>
        <v>0</v>
      </c>
      <c r="CT71" s="731">
        <f t="shared" si="90"/>
        <v>0</v>
      </c>
      <c r="CU71" s="732"/>
      <c r="CV71" s="759">
        <f>SUM(CV72:CV78)</f>
        <v>0</v>
      </c>
      <c r="CW71" s="759">
        <f>SUM(CW72:CW78)</f>
        <v>0</v>
      </c>
      <c r="CX71" s="731">
        <f t="shared" si="91"/>
        <v>0</v>
      </c>
      <c r="CY71" s="732"/>
      <c r="CZ71" s="759">
        <f>SUM(CZ72:CZ78)</f>
        <v>0</v>
      </c>
      <c r="DA71" s="759">
        <f>SUM(DA72:DA78)</f>
        <v>0</v>
      </c>
      <c r="DB71" s="731">
        <f t="shared" si="92"/>
        <v>0</v>
      </c>
      <c r="DC71" s="732"/>
      <c r="DG71" s="735"/>
      <c r="DH71" s="733">
        <f>SUM(DH72:DH78)</f>
        <v>0</v>
      </c>
      <c r="DI71" s="735"/>
      <c r="DJ71" s="736"/>
      <c r="DK71" s="737"/>
      <c r="DL71" s="737"/>
    </row>
    <row r="72" spans="1:116" ht="12" hidden="1" customHeight="1">
      <c r="A72" s="738"/>
      <c r="B72" s="739"/>
      <c r="C72" s="738" t="s">
        <v>349</v>
      </c>
      <c r="D72" s="748">
        <v>0</v>
      </c>
      <c r="E72" s="377">
        <f>I72+M72+Q72+U72+Y72+AJ72+AN72+AR72+AV72+BD72+BH72+BX72+CF72+CJ72+CN72+CR72+CV72+CZ72+AZ72+BL72+BT72</f>
        <v>0</v>
      </c>
      <c r="F72" s="777">
        <f>J72+N72+R72+V72+Z72+AK72+AO72+AS72+AW72+BE72+BI72+BY72+CG72+CK72+CO72+CS72+CW72+DA72+BA72+BM72+BU72</f>
        <v>0</v>
      </c>
      <c r="G72" s="749">
        <f t="shared" si="70"/>
        <v>0</v>
      </c>
      <c r="H72" s="749"/>
      <c r="I72" s="377"/>
      <c r="J72" s="377"/>
      <c r="K72" s="750">
        <f t="shared" si="71"/>
        <v>0</v>
      </c>
      <c r="L72" s="750"/>
      <c r="M72" s="377"/>
      <c r="N72" s="377"/>
      <c r="O72" s="750">
        <f t="shared" si="72"/>
        <v>0</v>
      </c>
      <c r="P72" s="750"/>
      <c r="Q72" s="377"/>
      <c r="R72" s="377"/>
      <c r="S72" s="750">
        <f t="shared" si="73"/>
        <v>0</v>
      </c>
      <c r="T72" s="750" t="e">
        <f>R72/Q72</f>
        <v>#DIV/0!</v>
      </c>
      <c r="U72" s="377"/>
      <c r="V72" s="377"/>
      <c r="W72" s="750">
        <f t="shared" si="74"/>
        <v>0</v>
      </c>
      <c r="X72" s="750"/>
      <c r="Y72" s="377">
        <f t="shared" si="75"/>
        <v>0</v>
      </c>
      <c r="Z72" s="377">
        <f t="shared" si="75"/>
        <v>0</v>
      </c>
      <c r="AA72" s="750">
        <f t="shared" si="67"/>
        <v>0</v>
      </c>
      <c r="AB72" s="750"/>
      <c r="AC72" s="377"/>
      <c r="AD72" s="377"/>
      <c r="AE72" s="750">
        <f t="shared" si="69"/>
        <v>0</v>
      </c>
      <c r="AF72" s="750"/>
      <c r="AG72" s="377"/>
      <c r="AH72" s="377"/>
      <c r="AI72" s="750">
        <f t="shared" si="76"/>
        <v>0</v>
      </c>
      <c r="AJ72" s="377"/>
      <c r="AK72" s="377"/>
      <c r="AL72" s="750">
        <f t="shared" si="77"/>
        <v>0</v>
      </c>
      <c r="AM72" s="750"/>
      <c r="AN72" s="377"/>
      <c r="AO72" s="377"/>
      <c r="AP72" s="750">
        <f t="shared" si="78"/>
        <v>0</v>
      </c>
      <c r="AQ72" s="750"/>
      <c r="AR72" s="750"/>
      <c r="AS72" s="750"/>
      <c r="AT72" s="750">
        <f t="shared" si="79"/>
        <v>0</v>
      </c>
      <c r="AU72" s="750"/>
      <c r="AV72" s="377"/>
      <c r="AW72" s="377"/>
      <c r="AX72" s="750">
        <f t="shared" si="80"/>
        <v>0</v>
      </c>
      <c r="AY72" s="750"/>
      <c r="AZ72" s="377"/>
      <c r="BA72" s="377"/>
      <c r="BB72" s="750">
        <f t="shared" si="81"/>
        <v>0</v>
      </c>
      <c r="BC72" s="750"/>
      <c r="BD72" s="377"/>
      <c r="BE72" s="377"/>
      <c r="BF72" s="750">
        <f t="shared" si="82"/>
        <v>0</v>
      </c>
      <c r="BG72" s="750"/>
      <c r="BH72" s="377"/>
      <c r="BI72" s="377"/>
      <c r="BJ72" s="750">
        <f t="shared" si="83"/>
        <v>0</v>
      </c>
      <c r="BK72" s="750"/>
      <c r="BL72" s="377"/>
      <c r="BM72" s="377"/>
      <c r="BN72" s="750">
        <f t="shared" si="51"/>
        <v>0</v>
      </c>
      <c r="BO72" s="750"/>
      <c r="BP72" s="377"/>
      <c r="BQ72" s="377"/>
      <c r="BR72" s="750">
        <f t="shared" si="68"/>
        <v>0</v>
      </c>
      <c r="BS72" s="750"/>
      <c r="BT72" s="377"/>
      <c r="BU72" s="377"/>
      <c r="BV72" s="750">
        <f t="shared" si="84"/>
        <v>0</v>
      </c>
      <c r="BW72" s="750"/>
      <c r="BX72" s="377"/>
      <c r="BY72" s="377"/>
      <c r="BZ72" s="750">
        <f t="shared" si="85"/>
        <v>0</v>
      </c>
      <c r="CA72" s="750"/>
      <c r="CB72" s="377"/>
      <c r="CC72" s="377"/>
      <c r="CD72" s="750">
        <f t="shared" si="86"/>
        <v>0</v>
      </c>
      <c r="CE72" s="750"/>
      <c r="CF72" s="377"/>
      <c r="CG72" s="377"/>
      <c r="CH72" s="750">
        <f t="shared" si="87"/>
        <v>0</v>
      </c>
      <c r="CI72" s="757" t="e">
        <f t="shared" ref="CI72:CI83" si="93">CG72/CF72</f>
        <v>#DIV/0!</v>
      </c>
      <c r="CJ72" s="377"/>
      <c r="CK72" s="377"/>
      <c r="CL72" s="750">
        <f t="shared" si="88"/>
        <v>0</v>
      </c>
      <c r="CM72" s="386"/>
      <c r="CN72" s="751"/>
      <c r="CO72" s="751"/>
      <c r="CP72" s="751">
        <f t="shared" si="89"/>
        <v>0</v>
      </c>
      <c r="CQ72" s="751"/>
      <c r="CR72" s="374"/>
      <c r="CS72" s="374"/>
      <c r="CT72" s="744">
        <f t="shared" si="90"/>
        <v>0</v>
      </c>
      <c r="CU72" s="745"/>
      <c r="CV72" s="373"/>
      <c r="CW72" s="373"/>
      <c r="CX72" s="744">
        <f t="shared" si="91"/>
        <v>0</v>
      </c>
      <c r="CY72" s="745"/>
      <c r="CZ72" s="373"/>
      <c r="DA72" s="373"/>
      <c r="DB72" s="744">
        <f t="shared" si="92"/>
        <v>0</v>
      </c>
      <c r="DC72" s="745"/>
      <c r="DG72" s="746"/>
      <c r="DH72" s="746"/>
      <c r="DI72" s="746"/>
      <c r="DJ72" s="747"/>
      <c r="DK72" s="718"/>
      <c r="DL72" s="718"/>
    </row>
    <row r="73" spans="1:116" ht="12.75" hidden="1" customHeight="1">
      <c r="A73" s="738"/>
      <c r="B73" s="739">
        <v>1718002694</v>
      </c>
      <c r="C73" s="738" t="s">
        <v>550</v>
      </c>
      <c r="D73" s="748">
        <v>0</v>
      </c>
      <c r="E73" s="377">
        <f t="shared" ref="E73:E78" si="94">I73+M73+Q73+U73+Y73+AJ73+AN73+AR73+AV73+BD73+BH73+BX73+CF73+CJ73+CN73+CR73+CV73+CZ73+AZ73+BL73+BT73</f>
        <v>0</v>
      </c>
      <c r="F73" s="777">
        <f t="shared" ref="F73:F78" si="95">J73+N73+R73+V73+Z73+AK73+AO73+AS73+AW73+BE73+BI73+BY73+CG73+CK73+CO73+CS73+CW73+DA73+BM73+BU73</f>
        <v>0</v>
      </c>
      <c r="G73" s="749">
        <f t="shared" si="70"/>
        <v>0</v>
      </c>
      <c r="H73" s="749" t="e">
        <f t="shared" ref="H73:H119" si="96">F73/E73</f>
        <v>#DIV/0!</v>
      </c>
      <c r="I73" s="377">
        <v>0</v>
      </c>
      <c r="J73" s="377"/>
      <c r="K73" s="750">
        <f t="shared" si="71"/>
        <v>0</v>
      </c>
      <c r="L73" s="750"/>
      <c r="M73" s="377"/>
      <c r="N73" s="377"/>
      <c r="O73" s="750">
        <f t="shared" si="72"/>
        <v>0</v>
      </c>
      <c r="P73" s="750"/>
      <c r="Q73" s="377"/>
      <c r="R73" s="377"/>
      <c r="S73" s="750">
        <f t="shared" si="73"/>
        <v>0</v>
      </c>
      <c r="T73" s="750"/>
      <c r="U73" s="377"/>
      <c r="V73" s="377"/>
      <c r="W73" s="750">
        <f t="shared" si="74"/>
        <v>0</v>
      </c>
      <c r="X73" s="750"/>
      <c r="Y73" s="377">
        <f t="shared" si="75"/>
        <v>0</v>
      </c>
      <c r="Z73" s="377">
        <f t="shared" si="75"/>
        <v>0</v>
      </c>
      <c r="AA73" s="750">
        <f t="shared" si="67"/>
        <v>0</v>
      </c>
      <c r="AB73" s="750"/>
      <c r="AC73" s="377"/>
      <c r="AD73" s="377"/>
      <c r="AE73" s="750">
        <f t="shared" si="69"/>
        <v>0</v>
      </c>
      <c r="AF73" s="750" t="e">
        <f>AD73/AC73</f>
        <v>#DIV/0!</v>
      </c>
      <c r="AG73" s="377"/>
      <c r="AH73" s="377"/>
      <c r="AI73" s="750">
        <f t="shared" si="76"/>
        <v>0</v>
      </c>
      <c r="AJ73" s="377"/>
      <c r="AK73" s="377"/>
      <c r="AL73" s="750">
        <f t="shared" si="77"/>
        <v>0</v>
      </c>
      <c r="AM73" s="750"/>
      <c r="AN73" s="377"/>
      <c r="AO73" s="377"/>
      <c r="AP73" s="750">
        <f t="shared" si="78"/>
        <v>0</v>
      </c>
      <c r="AQ73" s="750"/>
      <c r="AR73" s="750"/>
      <c r="AS73" s="750"/>
      <c r="AT73" s="750">
        <f t="shared" si="79"/>
        <v>0</v>
      </c>
      <c r="AU73" s="750"/>
      <c r="AV73" s="377"/>
      <c r="AW73" s="377"/>
      <c r="AX73" s="750">
        <f t="shared" si="80"/>
        <v>0</v>
      </c>
      <c r="AY73" s="750"/>
      <c r="AZ73" s="377"/>
      <c r="BA73" s="377"/>
      <c r="BB73" s="750">
        <f t="shared" si="81"/>
        <v>0</v>
      </c>
      <c r="BC73" s="750"/>
      <c r="BD73" s="377"/>
      <c r="BE73" s="377"/>
      <c r="BF73" s="750">
        <f t="shared" si="82"/>
        <v>0</v>
      </c>
      <c r="BG73" s="750"/>
      <c r="BH73" s="377"/>
      <c r="BI73" s="377"/>
      <c r="BJ73" s="750">
        <f t="shared" si="83"/>
        <v>0</v>
      </c>
      <c r="BK73" s="750"/>
      <c r="BL73" s="377"/>
      <c r="BM73" s="377"/>
      <c r="BN73" s="750">
        <f t="shared" si="51"/>
        <v>0</v>
      </c>
      <c r="BO73" s="750"/>
      <c r="BP73" s="377"/>
      <c r="BQ73" s="377"/>
      <c r="BR73" s="750">
        <f t="shared" si="68"/>
        <v>0</v>
      </c>
      <c r="BS73" s="750"/>
      <c r="BT73" s="377"/>
      <c r="BU73" s="377"/>
      <c r="BV73" s="750">
        <f t="shared" si="84"/>
        <v>0</v>
      </c>
      <c r="BW73" s="750"/>
      <c r="BX73" s="377"/>
      <c r="BY73" s="377"/>
      <c r="BZ73" s="750">
        <f t="shared" si="85"/>
        <v>0</v>
      </c>
      <c r="CA73" s="750"/>
      <c r="CB73" s="377"/>
      <c r="CC73" s="377"/>
      <c r="CD73" s="750">
        <f t="shared" si="86"/>
        <v>0</v>
      </c>
      <c r="CE73" s="750"/>
      <c r="CF73" s="377"/>
      <c r="CG73" s="377"/>
      <c r="CH73" s="750">
        <f t="shared" si="87"/>
        <v>0</v>
      </c>
      <c r="CI73" s="757" t="e">
        <f t="shared" si="93"/>
        <v>#DIV/0!</v>
      </c>
      <c r="CJ73" s="377"/>
      <c r="CK73" s="377"/>
      <c r="CL73" s="750">
        <f t="shared" si="88"/>
        <v>0</v>
      </c>
      <c r="CM73" s="386"/>
      <c r="CN73" s="751"/>
      <c r="CO73" s="751"/>
      <c r="CP73" s="751">
        <f t="shared" si="89"/>
        <v>0</v>
      </c>
      <c r="CQ73" s="751"/>
      <c r="CR73" s="374"/>
      <c r="CS73" s="374"/>
      <c r="CT73" s="744">
        <f t="shared" si="90"/>
        <v>0</v>
      </c>
      <c r="CU73" s="745"/>
      <c r="CV73" s="373"/>
      <c r="CW73" s="373"/>
      <c r="CX73" s="744">
        <f t="shared" si="91"/>
        <v>0</v>
      </c>
      <c r="CY73" s="745"/>
      <c r="CZ73" s="373"/>
      <c r="DA73" s="373"/>
      <c r="DB73" s="744">
        <f t="shared" si="92"/>
        <v>0</v>
      </c>
      <c r="DC73" s="745"/>
      <c r="DG73" s="746"/>
      <c r="DH73" s="746"/>
      <c r="DI73" s="746"/>
      <c r="DJ73" s="747"/>
      <c r="DK73" s="718"/>
      <c r="DL73" s="718"/>
    </row>
    <row r="74" spans="1:116" ht="12.75" hidden="1" customHeight="1">
      <c r="A74" s="738"/>
      <c r="B74" s="739"/>
      <c r="C74" s="738" t="s">
        <v>350</v>
      </c>
      <c r="D74" s="748">
        <v>0</v>
      </c>
      <c r="E74" s="377">
        <f t="shared" si="94"/>
        <v>0</v>
      </c>
      <c r="F74" s="777">
        <f t="shared" si="95"/>
        <v>0</v>
      </c>
      <c r="G74" s="749">
        <f t="shared" si="70"/>
        <v>0</v>
      </c>
      <c r="H74" s="749" t="e">
        <f t="shared" si="96"/>
        <v>#DIV/0!</v>
      </c>
      <c r="I74" s="377"/>
      <c r="J74" s="377"/>
      <c r="K74" s="750">
        <f t="shared" si="71"/>
        <v>0</v>
      </c>
      <c r="L74" s="750"/>
      <c r="M74" s="377"/>
      <c r="N74" s="377"/>
      <c r="O74" s="750">
        <f t="shared" si="72"/>
        <v>0</v>
      </c>
      <c r="P74" s="750"/>
      <c r="Q74" s="377"/>
      <c r="R74" s="377"/>
      <c r="S74" s="750">
        <f t="shared" si="73"/>
        <v>0</v>
      </c>
      <c r="T74" s="750"/>
      <c r="U74" s="377"/>
      <c r="V74" s="377"/>
      <c r="W74" s="750">
        <f t="shared" si="74"/>
        <v>0</v>
      </c>
      <c r="X74" s="750"/>
      <c r="Y74" s="377">
        <f t="shared" si="75"/>
        <v>0</v>
      </c>
      <c r="Z74" s="377">
        <f t="shared" si="75"/>
        <v>0</v>
      </c>
      <c r="AA74" s="750">
        <f t="shared" si="67"/>
        <v>0</v>
      </c>
      <c r="AB74" s="750"/>
      <c r="AC74" s="377"/>
      <c r="AD74" s="377"/>
      <c r="AE74" s="750">
        <f t="shared" si="69"/>
        <v>0</v>
      </c>
      <c r="AF74" s="750" t="e">
        <f>AD74/AC74</f>
        <v>#DIV/0!</v>
      </c>
      <c r="AG74" s="377"/>
      <c r="AH74" s="377"/>
      <c r="AI74" s="750">
        <f t="shared" si="76"/>
        <v>0</v>
      </c>
      <c r="AJ74" s="377"/>
      <c r="AK74" s="377"/>
      <c r="AL74" s="750">
        <f t="shared" si="77"/>
        <v>0</v>
      </c>
      <c r="AM74" s="750"/>
      <c r="AN74" s="377"/>
      <c r="AO74" s="377"/>
      <c r="AP74" s="750">
        <f t="shared" si="78"/>
        <v>0</v>
      </c>
      <c r="AQ74" s="750"/>
      <c r="AR74" s="750"/>
      <c r="AS74" s="750"/>
      <c r="AT74" s="750">
        <f t="shared" si="79"/>
        <v>0</v>
      </c>
      <c r="AU74" s="750"/>
      <c r="AV74" s="377"/>
      <c r="AW74" s="377"/>
      <c r="AX74" s="750">
        <f t="shared" si="80"/>
        <v>0</v>
      </c>
      <c r="AY74" s="750"/>
      <c r="AZ74" s="377"/>
      <c r="BA74" s="377"/>
      <c r="BB74" s="750">
        <f t="shared" si="81"/>
        <v>0</v>
      </c>
      <c r="BC74" s="750"/>
      <c r="BD74" s="377"/>
      <c r="BE74" s="377"/>
      <c r="BF74" s="750">
        <f t="shared" si="82"/>
        <v>0</v>
      </c>
      <c r="BG74" s="750"/>
      <c r="BH74" s="377"/>
      <c r="BI74" s="377"/>
      <c r="BJ74" s="750">
        <f t="shared" si="83"/>
        <v>0</v>
      </c>
      <c r="BK74" s="750"/>
      <c r="BL74" s="377"/>
      <c r="BM74" s="377"/>
      <c r="BN74" s="750">
        <f t="shared" si="51"/>
        <v>0</v>
      </c>
      <c r="BO74" s="750"/>
      <c r="BP74" s="377"/>
      <c r="BQ74" s="377"/>
      <c r="BR74" s="750">
        <f t="shared" si="68"/>
        <v>0</v>
      </c>
      <c r="BS74" s="750"/>
      <c r="BT74" s="377"/>
      <c r="BU74" s="377"/>
      <c r="BV74" s="750">
        <f t="shared" si="84"/>
        <v>0</v>
      </c>
      <c r="BW74" s="750"/>
      <c r="BX74" s="377"/>
      <c r="BY74" s="377"/>
      <c r="BZ74" s="750">
        <f t="shared" si="85"/>
        <v>0</v>
      </c>
      <c r="CA74" s="750"/>
      <c r="CB74" s="377"/>
      <c r="CC74" s="377"/>
      <c r="CD74" s="750">
        <f t="shared" si="86"/>
        <v>0</v>
      </c>
      <c r="CE74" s="750"/>
      <c r="CF74" s="377"/>
      <c r="CG74" s="377"/>
      <c r="CH74" s="750">
        <f t="shared" si="87"/>
        <v>0</v>
      </c>
      <c r="CI74" s="757" t="e">
        <f t="shared" si="93"/>
        <v>#DIV/0!</v>
      </c>
      <c r="CJ74" s="377"/>
      <c r="CK74" s="377"/>
      <c r="CL74" s="750">
        <f t="shared" si="88"/>
        <v>0</v>
      </c>
      <c r="CM74" s="386"/>
      <c r="CN74" s="751"/>
      <c r="CO74" s="751"/>
      <c r="CP74" s="751">
        <f t="shared" si="89"/>
        <v>0</v>
      </c>
      <c r="CQ74" s="751"/>
      <c r="CR74" s="374"/>
      <c r="CS74" s="374"/>
      <c r="CT74" s="744">
        <f t="shared" si="90"/>
        <v>0</v>
      </c>
      <c r="CU74" s="745"/>
      <c r="CV74" s="373"/>
      <c r="CW74" s="373"/>
      <c r="CX74" s="744">
        <f t="shared" si="91"/>
        <v>0</v>
      </c>
      <c r="CY74" s="745"/>
      <c r="CZ74" s="373"/>
      <c r="DA74" s="373"/>
      <c r="DB74" s="744">
        <f t="shared" si="92"/>
        <v>0</v>
      </c>
      <c r="DC74" s="745"/>
      <c r="DG74" s="746"/>
      <c r="DH74" s="746"/>
      <c r="DI74" s="746"/>
      <c r="DJ74" s="747"/>
      <c r="DK74" s="718"/>
      <c r="DL74" s="718"/>
    </row>
    <row r="75" spans="1:116" ht="12.75" hidden="1" customHeight="1">
      <c r="A75" s="738"/>
      <c r="B75" s="739"/>
      <c r="C75" s="738" t="s">
        <v>351</v>
      </c>
      <c r="D75" s="748">
        <v>0</v>
      </c>
      <c r="E75" s="377">
        <f t="shared" si="94"/>
        <v>0</v>
      </c>
      <c r="F75" s="777">
        <f t="shared" si="95"/>
        <v>0</v>
      </c>
      <c r="G75" s="749">
        <f t="shared" si="70"/>
        <v>0</v>
      </c>
      <c r="H75" s="749" t="e">
        <f t="shared" si="96"/>
        <v>#DIV/0!</v>
      </c>
      <c r="I75" s="377"/>
      <c r="J75" s="377"/>
      <c r="K75" s="750">
        <f t="shared" si="71"/>
        <v>0</v>
      </c>
      <c r="L75" s="750"/>
      <c r="M75" s="377"/>
      <c r="N75" s="377"/>
      <c r="O75" s="750">
        <f t="shared" si="72"/>
        <v>0</v>
      </c>
      <c r="P75" s="750"/>
      <c r="Q75" s="377"/>
      <c r="R75" s="377"/>
      <c r="S75" s="750">
        <f t="shared" si="73"/>
        <v>0</v>
      </c>
      <c r="T75" s="750"/>
      <c r="U75" s="377"/>
      <c r="V75" s="377"/>
      <c r="W75" s="750">
        <f t="shared" si="74"/>
        <v>0</v>
      </c>
      <c r="X75" s="750"/>
      <c r="Y75" s="377">
        <f t="shared" si="75"/>
        <v>0</v>
      </c>
      <c r="Z75" s="377">
        <f t="shared" si="75"/>
        <v>0</v>
      </c>
      <c r="AA75" s="750">
        <f t="shared" si="67"/>
        <v>0</v>
      </c>
      <c r="AB75" s="750"/>
      <c r="AC75" s="377"/>
      <c r="AD75" s="377"/>
      <c r="AE75" s="750">
        <f t="shared" si="69"/>
        <v>0</v>
      </c>
      <c r="AF75" s="750"/>
      <c r="AG75" s="377"/>
      <c r="AH75" s="377"/>
      <c r="AI75" s="750">
        <f t="shared" si="76"/>
        <v>0</v>
      </c>
      <c r="AJ75" s="377"/>
      <c r="AK75" s="377"/>
      <c r="AL75" s="750">
        <f t="shared" si="77"/>
        <v>0</v>
      </c>
      <c r="AM75" s="750"/>
      <c r="AN75" s="377"/>
      <c r="AO75" s="377"/>
      <c r="AP75" s="750">
        <f t="shared" si="78"/>
        <v>0</v>
      </c>
      <c r="AQ75" s="750"/>
      <c r="AR75" s="750"/>
      <c r="AS75" s="750"/>
      <c r="AT75" s="750">
        <f t="shared" si="79"/>
        <v>0</v>
      </c>
      <c r="AU75" s="750"/>
      <c r="AV75" s="377"/>
      <c r="AW75" s="377"/>
      <c r="AX75" s="750">
        <f t="shared" si="80"/>
        <v>0</v>
      </c>
      <c r="AY75" s="750"/>
      <c r="AZ75" s="377"/>
      <c r="BA75" s="377"/>
      <c r="BB75" s="750">
        <f t="shared" si="81"/>
        <v>0</v>
      </c>
      <c r="BC75" s="750"/>
      <c r="BD75" s="377"/>
      <c r="BE75" s="377"/>
      <c r="BF75" s="750">
        <f t="shared" si="82"/>
        <v>0</v>
      </c>
      <c r="BG75" s="750"/>
      <c r="BH75" s="377"/>
      <c r="BI75" s="377"/>
      <c r="BJ75" s="750">
        <f t="shared" si="83"/>
        <v>0</v>
      </c>
      <c r="BK75" s="750"/>
      <c r="BL75" s="377"/>
      <c r="BM75" s="377"/>
      <c r="BN75" s="750">
        <f t="shared" si="51"/>
        <v>0</v>
      </c>
      <c r="BO75" s="750"/>
      <c r="BP75" s="377"/>
      <c r="BQ75" s="377"/>
      <c r="BR75" s="750">
        <f t="shared" si="68"/>
        <v>0</v>
      </c>
      <c r="BS75" s="750"/>
      <c r="BT75" s="377"/>
      <c r="BU75" s="377"/>
      <c r="BV75" s="750">
        <f t="shared" si="84"/>
        <v>0</v>
      </c>
      <c r="BW75" s="750"/>
      <c r="BX75" s="377"/>
      <c r="BY75" s="377"/>
      <c r="BZ75" s="750">
        <f t="shared" si="85"/>
        <v>0</v>
      </c>
      <c r="CA75" s="750"/>
      <c r="CB75" s="377"/>
      <c r="CC75" s="377"/>
      <c r="CD75" s="750">
        <f t="shared" si="86"/>
        <v>0</v>
      </c>
      <c r="CE75" s="750"/>
      <c r="CF75" s="377"/>
      <c r="CG75" s="377"/>
      <c r="CH75" s="750">
        <f t="shared" si="87"/>
        <v>0</v>
      </c>
      <c r="CI75" s="757" t="e">
        <f t="shared" si="93"/>
        <v>#DIV/0!</v>
      </c>
      <c r="CJ75" s="377"/>
      <c r="CK75" s="377"/>
      <c r="CL75" s="750">
        <f t="shared" si="88"/>
        <v>0</v>
      </c>
      <c r="CM75" s="386"/>
      <c r="CN75" s="751"/>
      <c r="CO75" s="751"/>
      <c r="CP75" s="751">
        <f t="shared" si="89"/>
        <v>0</v>
      </c>
      <c r="CQ75" s="751"/>
      <c r="CR75" s="374"/>
      <c r="CS75" s="374"/>
      <c r="CT75" s="744">
        <f t="shared" si="90"/>
        <v>0</v>
      </c>
      <c r="CU75" s="745"/>
      <c r="CV75" s="373"/>
      <c r="CW75" s="373"/>
      <c r="CX75" s="744">
        <f t="shared" si="91"/>
        <v>0</v>
      </c>
      <c r="CY75" s="745"/>
      <c r="CZ75" s="373"/>
      <c r="DA75" s="373"/>
      <c r="DB75" s="744">
        <f t="shared" si="92"/>
        <v>0</v>
      </c>
      <c r="DC75" s="745"/>
      <c r="DG75" s="746"/>
      <c r="DH75" s="746"/>
      <c r="DI75" s="746"/>
      <c r="DJ75" s="747"/>
      <c r="DK75" s="718"/>
      <c r="DL75" s="718"/>
    </row>
    <row r="76" spans="1:116" ht="12.75" hidden="1" customHeight="1">
      <c r="A76" s="738"/>
      <c r="B76" s="739"/>
      <c r="C76" s="738" t="s">
        <v>352</v>
      </c>
      <c r="D76" s="748">
        <v>0</v>
      </c>
      <c r="E76" s="377">
        <f t="shared" si="94"/>
        <v>0</v>
      </c>
      <c r="F76" s="777">
        <f t="shared" si="95"/>
        <v>0</v>
      </c>
      <c r="G76" s="749">
        <f t="shared" si="70"/>
        <v>0</v>
      </c>
      <c r="H76" s="749" t="e">
        <f t="shared" si="96"/>
        <v>#DIV/0!</v>
      </c>
      <c r="I76" s="377"/>
      <c r="J76" s="377"/>
      <c r="K76" s="750">
        <f t="shared" si="71"/>
        <v>0</v>
      </c>
      <c r="L76" s="750"/>
      <c r="M76" s="377"/>
      <c r="N76" s="377"/>
      <c r="O76" s="750">
        <f t="shared" si="72"/>
        <v>0</v>
      </c>
      <c r="P76" s="750"/>
      <c r="Q76" s="377"/>
      <c r="R76" s="377"/>
      <c r="S76" s="750">
        <f t="shared" si="73"/>
        <v>0</v>
      </c>
      <c r="T76" s="750"/>
      <c r="U76" s="377"/>
      <c r="V76" s="377"/>
      <c r="W76" s="750">
        <f t="shared" si="74"/>
        <v>0</v>
      </c>
      <c r="X76" s="750"/>
      <c r="Y76" s="377">
        <f t="shared" si="75"/>
        <v>0</v>
      </c>
      <c r="Z76" s="377">
        <f t="shared" si="75"/>
        <v>0</v>
      </c>
      <c r="AA76" s="750">
        <f t="shared" si="67"/>
        <v>0</v>
      </c>
      <c r="AB76" s="750"/>
      <c r="AC76" s="377"/>
      <c r="AD76" s="377"/>
      <c r="AE76" s="750">
        <f t="shared" si="69"/>
        <v>0</v>
      </c>
      <c r="AF76" s="750"/>
      <c r="AG76" s="377"/>
      <c r="AH76" s="377"/>
      <c r="AI76" s="750">
        <f t="shared" si="76"/>
        <v>0</v>
      </c>
      <c r="AJ76" s="377"/>
      <c r="AK76" s="377"/>
      <c r="AL76" s="750">
        <f t="shared" si="77"/>
        <v>0</v>
      </c>
      <c r="AM76" s="750"/>
      <c r="AN76" s="377"/>
      <c r="AO76" s="377"/>
      <c r="AP76" s="750">
        <f t="shared" si="78"/>
        <v>0</v>
      </c>
      <c r="AQ76" s="750"/>
      <c r="AR76" s="750"/>
      <c r="AS76" s="750"/>
      <c r="AT76" s="750">
        <f t="shared" si="79"/>
        <v>0</v>
      </c>
      <c r="AU76" s="750"/>
      <c r="AV76" s="377"/>
      <c r="AW76" s="377"/>
      <c r="AX76" s="750">
        <f t="shared" si="80"/>
        <v>0</v>
      </c>
      <c r="AY76" s="750"/>
      <c r="AZ76" s="377"/>
      <c r="BA76" s="377"/>
      <c r="BB76" s="750">
        <f t="shared" si="81"/>
        <v>0</v>
      </c>
      <c r="BC76" s="750"/>
      <c r="BD76" s="377"/>
      <c r="BE76" s="377"/>
      <c r="BF76" s="750">
        <f t="shared" si="82"/>
        <v>0</v>
      </c>
      <c r="BG76" s="750"/>
      <c r="BH76" s="377"/>
      <c r="BI76" s="377"/>
      <c r="BJ76" s="750">
        <f t="shared" si="83"/>
        <v>0</v>
      </c>
      <c r="BK76" s="750"/>
      <c r="BL76" s="377"/>
      <c r="BM76" s="377"/>
      <c r="BN76" s="750">
        <f t="shared" si="51"/>
        <v>0</v>
      </c>
      <c r="BO76" s="750"/>
      <c r="BP76" s="377"/>
      <c r="BQ76" s="377"/>
      <c r="BR76" s="750">
        <f t="shared" si="68"/>
        <v>0</v>
      </c>
      <c r="BS76" s="750"/>
      <c r="BT76" s="377"/>
      <c r="BU76" s="377"/>
      <c r="BV76" s="750">
        <f t="shared" si="84"/>
        <v>0</v>
      </c>
      <c r="BW76" s="750"/>
      <c r="BX76" s="377"/>
      <c r="BY76" s="377"/>
      <c r="BZ76" s="750">
        <f t="shared" si="85"/>
        <v>0</v>
      </c>
      <c r="CA76" s="750"/>
      <c r="CB76" s="377"/>
      <c r="CC76" s="377"/>
      <c r="CD76" s="750">
        <f t="shared" si="86"/>
        <v>0</v>
      </c>
      <c r="CE76" s="750"/>
      <c r="CF76" s="377"/>
      <c r="CG76" s="377"/>
      <c r="CH76" s="750">
        <f t="shared" si="87"/>
        <v>0</v>
      </c>
      <c r="CI76" s="757" t="e">
        <f t="shared" si="93"/>
        <v>#DIV/0!</v>
      </c>
      <c r="CJ76" s="377"/>
      <c r="CK76" s="377"/>
      <c r="CL76" s="750">
        <f t="shared" si="88"/>
        <v>0</v>
      </c>
      <c r="CM76" s="386"/>
      <c r="CN76" s="751"/>
      <c r="CO76" s="751"/>
      <c r="CP76" s="751">
        <f t="shared" si="89"/>
        <v>0</v>
      </c>
      <c r="CQ76" s="751"/>
      <c r="CR76" s="374"/>
      <c r="CS76" s="374"/>
      <c r="CT76" s="744">
        <f t="shared" si="90"/>
        <v>0</v>
      </c>
      <c r="CU76" s="745"/>
      <c r="CV76" s="373"/>
      <c r="CW76" s="373"/>
      <c r="CX76" s="744">
        <f t="shared" si="91"/>
        <v>0</v>
      </c>
      <c r="CY76" s="745"/>
      <c r="CZ76" s="373"/>
      <c r="DA76" s="373"/>
      <c r="DB76" s="744">
        <f t="shared" si="92"/>
        <v>0</v>
      </c>
      <c r="DC76" s="745"/>
      <c r="DG76" s="746"/>
      <c r="DH76" s="746"/>
      <c r="DI76" s="746"/>
      <c r="DJ76" s="747"/>
      <c r="DK76" s="718"/>
      <c r="DL76" s="718"/>
    </row>
    <row r="77" spans="1:116" ht="12.75" hidden="1" customHeight="1">
      <c r="A77" s="738"/>
      <c r="B77" s="739"/>
      <c r="C77" s="738" t="s">
        <v>353</v>
      </c>
      <c r="D77" s="748">
        <v>0</v>
      </c>
      <c r="E77" s="377">
        <f t="shared" si="94"/>
        <v>0</v>
      </c>
      <c r="F77" s="777">
        <f t="shared" si="95"/>
        <v>0</v>
      </c>
      <c r="G77" s="749">
        <f t="shared" si="70"/>
        <v>0</v>
      </c>
      <c r="H77" s="749" t="e">
        <f t="shared" si="96"/>
        <v>#DIV/0!</v>
      </c>
      <c r="I77" s="377"/>
      <c r="J77" s="377"/>
      <c r="K77" s="750">
        <f t="shared" si="71"/>
        <v>0</v>
      </c>
      <c r="L77" s="750"/>
      <c r="M77" s="377"/>
      <c r="N77" s="377"/>
      <c r="O77" s="750">
        <f t="shared" si="72"/>
        <v>0</v>
      </c>
      <c r="P77" s="750"/>
      <c r="Q77" s="377"/>
      <c r="R77" s="377"/>
      <c r="S77" s="750">
        <f t="shared" si="73"/>
        <v>0</v>
      </c>
      <c r="T77" s="750"/>
      <c r="U77" s="377"/>
      <c r="V77" s="377"/>
      <c r="W77" s="750">
        <f t="shared" si="74"/>
        <v>0</v>
      </c>
      <c r="X77" s="750"/>
      <c r="Y77" s="377">
        <f t="shared" si="75"/>
        <v>0</v>
      </c>
      <c r="Z77" s="377">
        <f t="shared" si="75"/>
        <v>0</v>
      </c>
      <c r="AA77" s="750">
        <f t="shared" si="67"/>
        <v>0</v>
      </c>
      <c r="AB77" s="750"/>
      <c r="AC77" s="377"/>
      <c r="AD77" s="377"/>
      <c r="AE77" s="750">
        <f t="shared" si="69"/>
        <v>0</v>
      </c>
      <c r="AF77" s="750" t="e">
        <f>AD77/AC77</f>
        <v>#DIV/0!</v>
      </c>
      <c r="AG77" s="377"/>
      <c r="AH77" s="377"/>
      <c r="AI77" s="750">
        <f t="shared" si="76"/>
        <v>0</v>
      </c>
      <c r="AJ77" s="377"/>
      <c r="AK77" s="377"/>
      <c r="AL77" s="750">
        <f t="shared" si="77"/>
        <v>0</v>
      </c>
      <c r="AM77" s="750"/>
      <c r="AN77" s="377"/>
      <c r="AO77" s="377"/>
      <c r="AP77" s="750">
        <f t="shared" si="78"/>
        <v>0</v>
      </c>
      <c r="AQ77" s="750"/>
      <c r="AR77" s="750"/>
      <c r="AS77" s="750"/>
      <c r="AT77" s="750">
        <f t="shared" si="79"/>
        <v>0</v>
      </c>
      <c r="AU77" s="750"/>
      <c r="AV77" s="377"/>
      <c r="AW77" s="377"/>
      <c r="AX77" s="750">
        <f t="shared" si="80"/>
        <v>0</v>
      </c>
      <c r="AY77" s="750"/>
      <c r="AZ77" s="377"/>
      <c r="BA77" s="377"/>
      <c r="BB77" s="750">
        <f t="shared" si="81"/>
        <v>0</v>
      </c>
      <c r="BC77" s="750"/>
      <c r="BD77" s="377"/>
      <c r="BE77" s="377"/>
      <c r="BF77" s="750">
        <f t="shared" si="82"/>
        <v>0</v>
      </c>
      <c r="BG77" s="750"/>
      <c r="BH77" s="377"/>
      <c r="BI77" s="377"/>
      <c r="BJ77" s="750">
        <f t="shared" si="83"/>
        <v>0</v>
      </c>
      <c r="BK77" s="750"/>
      <c r="BL77" s="377"/>
      <c r="BM77" s="377"/>
      <c r="BN77" s="750">
        <f t="shared" si="51"/>
        <v>0</v>
      </c>
      <c r="BO77" s="750"/>
      <c r="BP77" s="377"/>
      <c r="BQ77" s="377"/>
      <c r="BR77" s="750">
        <f t="shared" si="68"/>
        <v>0</v>
      </c>
      <c r="BS77" s="750"/>
      <c r="BT77" s="377"/>
      <c r="BU77" s="377"/>
      <c r="BV77" s="750">
        <f t="shared" si="84"/>
        <v>0</v>
      </c>
      <c r="BW77" s="750"/>
      <c r="BX77" s="377"/>
      <c r="BY77" s="377"/>
      <c r="BZ77" s="750">
        <f t="shared" si="85"/>
        <v>0</v>
      </c>
      <c r="CA77" s="750"/>
      <c r="CB77" s="377"/>
      <c r="CC77" s="377"/>
      <c r="CD77" s="750">
        <f t="shared" si="86"/>
        <v>0</v>
      </c>
      <c r="CE77" s="750"/>
      <c r="CF77" s="377"/>
      <c r="CG77" s="377"/>
      <c r="CH77" s="750">
        <f t="shared" si="87"/>
        <v>0</v>
      </c>
      <c r="CI77" s="757" t="e">
        <f t="shared" si="93"/>
        <v>#DIV/0!</v>
      </c>
      <c r="CJ77" s="377"/>
      <c r="CK77" s="377"/>
      <c r="CL77" s="750">
        <f t="shared" si="88"/>
        <v>0</v>
      </c>
      <c r="CM77" s="386"/>
      <c r="CN77" s="751"/>
      <c r="CO77" s="751"/>
      <c r="CP77" s="751">
        <f t="shared" si="89"/>
        <v>0</v>
      </c>
      <c r="CQ77" s="751"/>
      <c r="CR77" s="374"/>
      <c r="CS77" s="374"/>
      <c r="CT77" s="744">
        <f t="shared" si="90"/>
        <v>0</v>
      </c>
      <c r="CU77" s="745"/>
      <c r="CV77" s="373"/>
      <c r="CW77" s="373"/>
      <c r="CX77" s="744">
        <f t="shared" si="91"/>
        <v>0</v>
      </c>
      <c r="CY77" s="745"/>
      <c r="CZ77" s="373"/>
      <c r="DA77" s="373"/>
      <c r="DB77" s="744">
        <f t="shared" si="92"/>
        <v>0</v>
      </c>
      <c r="DC77" s="745"/>
      <c r="DG77" s="746"/>
      <c r="DH77" s="746"/>
      <c r="DI77" s="746"/>
      <c r="DJ77" s="747"/>
      <c r="DK77" s="718"/>
      <c r="DL77" s="718"/>
    </row>
    <row r="78" spans="1:116" ht="12.75" hidden="1" customHeight="1">
      <c r="A78" s="738"/>
      <c r="B78" s="739"/>
      <c r="C78" s="738" t="s">
        <v>354</v>
      </c>
      <c r="D78" s="748">
        <v>0</v>
      </c>
      <c r="E78" s="377">
        <f t="shared" si="94"/>
        <v>0</v>
      </c>
      <c r="F78" s="777">
        <f t="shared" si="95"/>
        <v>0</v>
      </c>
      <c r="G78" s="749">
        <f t="shared" si="70"/>
        <v>0</v>
      </c>
      <c r="H78" s="749" t="e">
        <f t="shared" si="96"/>
        <v>#DIV/0!</v>
      </c>
      <c r="I78" s="377"/>
      <c r="J78" s="377"/>
      <c r="K78" s="750">
        <f t="shared" si="71"/>
        <v>0</v>
      </c>
      <c r="L78" s="750"/>
      <c r="M78" s="377"/>
      <c r="N78" s="377"/>
      <c r="O78" s="750">
        <f t="shared" si="72"/>
        <v>0</v>
      </c>
      <c r="P78" s="750"/>
      <c r="Q78" s="377"/>
      <c r="R78" s="377"/>
      <c r="S78" s="750">
        <f t="shared" si="73"/>
        <v>0</v>
      </c>
      <c r="T78" s="750"/>
      <c r="U78" s="377"/>
      <c r="V78" s="377"/>
      <c r="W78" s="750">
        <f t="shared" si="74"/>
        <v>0</v>
      </c>
      <c r="X78" s="750"/>
      <c r="Y78" s="377">
        <f t="shared" si="75"/>
        <v>0</v>
      </c>
      <c r="Z78" s="377">
        <f t="shared" si="75"/>
        <v>0</v>
      </c>
      <c r="AA78" s="750">
        <f t="shared" si="67"/>
        <v>0</v>
      </c>
      <c r="AB78" s="750"/>
      <c r="AC78" s="377"/>
      <c r="AD78" s="377"/>
      <c r="AE78" s="750">
        <f t="shared" si="69"/>
        <v>0</v>
      </c>
      <c r="AF78" s="750" t="e">
        <f>AD78/AC78</f>
        <v>#DIV/0!</v>
      </c>
      <c r="AG78" s="377"/>
      <c r="AH78" s="377"/>
      <c r="AI78" s="750">
        <f t="shared" si="76"/>
        <v>0</v>
      </c>
      <c r="AJ78" s="377"/>
      <c r="AK78" s="377"/>
      <c r="AL78" s="750">
        <f t="shared" si="77"/>
        <v>0</v>
      </c>
      <c r="AM78" s="750"/>
      <c r="AN78" s="377"/>
      <c r="AO78" s="377"/>
      <c r="AP78" s="750">
        <f t="shared" si="78"/>
        <v>0</v>
      </c>
      <c r="AQ78" s="750"/>
      <c r="AR78" s="750"/>
      <c r="AS78" s="750"/>
      <c r="AT78" s="750">
        <f t="shared" si="79"/>
        <v>0</v>
      </c>
      <c r="AU78" s="750"/>
      <c r="AV78" s="377"/>
      <c r="AW78" s="377"/>
      <c r="AX78" s="750">
        <f t="shared" si="80"/>
        <v>0</v>
      </c>
      <c r="AY78" s="750"/>
      <c r="AZ78" s="377"/>
      <c r="BA78" s="377"/>
      <c r="BB78" s="750">
        <f t="shared" si="81"/>
        <v>0</v>
      </c>
      <c r="BC78" s="750"/>
      <c r="BD78" s="377"/>
      <c r="BE78" s="377"/>
      <c r="BF78" s="750">
        <f t="shared" si="82"/>
        <v>0</v>
      </c>
      <c r="BG78" s="750"/>
      <c r="BH78" s="377"/>
      <c r="BI78" s="377"/>
      <c r="BJ78" s="750">
        <f t="shared" si="83"/>
        <v>0</v>
      </c>
      <c r="BK78" s="750"/>
      <c r="BL78" s="377"/>
      <c r="BM78" s="377"/>
      <c r="BN78" s="750">
        <f t="shared" si="51"/>
        <v>0</v>
      </c>
      <c r="BO78" s="750"/>
      <c r="BP78" s="377"/>
      <c r="BQ78" s="377"/>
      <c r="BR78" s="750">
        <f t="shared" si="68"/>
        <v>0</v>
      </c>
      <c r="BS78" s="750"/>
      <c r="BT78" s="377"/>
      <c r="BU78" s="377"/>
      <c r="BV78" s="750">
        <f t="shared" si="84"/>
        <v>0</v>
      </c>
      <c r="BW78" s="750"/>
      <c r="BX78" s="377"/>
      <c r="BY78" s="377"/>
      <c r="BZ78" s="750">
        <f t="shared" si="85"/>
        <v>0</v>
      </c>
      <c r="CA78" s="750"/>
      <c r="CB78" s="377"/>
      <c r="CC78" s="377"/>
      <c r="CD78" s="750">
        <f t="shared" si="86"/>
        <v>0</v>
      </c>
      <c r="CE78" s="750"/>
      <c r="CF78" s="377"/>
      <c r="CG78" s="377"/>
      <c r="CH78" s="750">
        <f t="shared" si="87"/>
        <v>0</v>
      </c>
      <c r="CI78" s="757" t="e">
        <f t="shared" si="93"/>
        <v>#DIV/0!</v>
      </c>
      <c r="CJ78" s="377"/>
      <c r="CK78" s="377"/>
      <c r="CL78" s="750">
        <f t="shared" si="88"/>
        <v>0</v>
      </c>
      <c r="CM78" s="386"/>
      <c r="CN78" s="751"/>
      <c r="CO78" s="751"/>
      <c r="CP78" s="751">
        <f t="shared" si="89"/>
        <v>0</v>
      </c>
      <c r="CQ78" s="751"/>
      <c r="CR78" s="374"/>
      <c r="CS78" s="374"/>
      <c r="CT78" s="744">
        <f t="shared" si="90"/>
        <v>0</v>
      </c>
      <c r="CU78" s="745"/>
      <c r="CV78" s="373"/>
      <c r="CW78" s="373"/>
      <c r="CX78" s="744">
        <f t="shared" si="91"/>
        <v>0</v>
      </c>
      <c r="CY78" s="745"/>
      <c r="CZ78" s="373"/>
      <c r="DA78" s="373"/>
      <c r="DB78" s="744">
        <f t="shared" si="92"/>
        <v>0</v>
      </c>
      <c r="DC78" s="745"/>
      <c r="DG78" s="746"/>
      <c r="DH78" s="746"/>
      <c r="DI78" s="746"/>
      <c r="DJ78" s="747"/>
      <c r="DK78" s="718"/>
      <c r="DL78" s="718"/>
    </row>
    <row r="79" spans="1:116" s="734" customFormat="1">
      <c r="A79" s="723" t="s">
        <v>355</v>
      </c>
      <c r="B79" s="724"/>
      <c r="C79" s="725" t="s">
        <v>356</v>
      </c>
      <c r="D79" s="778">
        <f>SUM(D80:D89)</f>
        <v>2632.8999999999996</v>
      </c>
      <c r="E79" s="755">
        <f>SUM(E80:E89)</f>
        <v>181.64000000000001</v>
      </c>
      <c r="F79" s="733">
        <f>SUM(F82:F89)</f>
        <v>13.439</v>
      </c>
      <c r="G79" s="779">
        <f t="shared" si="70"/>
        <v>-168.20100000000002</v>
      </c>
      <c r="H79" s="756">
        <f t="shared" si="96"/>
        <v>7.3987007267121777E-2</v>
      </c>
      <c r="I79" s="755">
        <f>SUM(I80:I89)</f>
        <v>152</v>
      </c>
      <c r="J79" s="755">
        <f>SUM(J80:J89)</f>
        <v>0</v>
      </c>
      <c r="K79" s="750">
        <f t="shared" si="71"/>
        <v>-152</v>
      </c>
      <c r="L79" s="755">
        <f t="shared" ref="L79:L83" si="97">J79/I79</f>
        <v>0</v>
      </c>
      <c r="M79" s="755">
        <f>SUM(M80:M89)</f>
        <v>3.4169999999999998</v>
      </c>
      <c r="N79" s="755">
        <f>SUM(N80:N89)</f>
        <v>0</v>
      </c>
      <c r="O79" s="757">
        <f t="shared" si="72"/>
        <v>-3.4169999999999998</v>
      </c>
      <c r="P79" s="757">
        <f>N79/M79</f>
        <v>0</v>
      </c>
      <c r="Q79" s="755">
        <f>SUM(Q80:Q89)</f>
        <v>6.0000000000000001E-3</v>
      </c>
      <c r="R79" s="755">
        <f>SUM(R80:R89)</f>
        <v>0</v>
      </c>
      <c r="S79" s="757">
        <f t="shared" si="73"/>
        <v>-6.0000000000000001E-3</v>
      </c>
      <c r="T79" s="757">
        <f>R79/Q79</f>
        <v>0</v>
      </c>
      <c r="U79" s="755">
        <f>SUM(U80:U89)</f>
        <v>0</v>
      </c>
      <c r="V79" s="755">
        <f>SUM(V80:V89)</f>
        <v>0</v>
      </c>
      <c r="W79" s="757">
        <f t="shared" si="74"/>
        <v>0</v>
      </c>
      <c r="X79" s="757"/>
      <c r="Y79" s="755">
        <f t="shared" si="75"/>
        <v>0</v>
      </c>
      <c r="Z79" s="755">
        <f t="shared" si="75"/>
        <v>0</v>
      </c>
      <c r="AA79" s="757">
        <f t="shared" si="67"/>
        <v>0</v>
      </c>
      <c r="AB79" s="757"/>
      <c r="AC79" s="755">
        <f>SUM(AC80:AC89)</f>
        <v>0</v>
      </c>
      <c r="AD79" s="755">
        <f>SUM(AD80:AD89)</f>
        <v>0</v>
      </c>
      <c r="AE79" s="757">
        <f t="shared" si="69"/>
        <v>0</v>
      </c>
      <c r="AF79" s="757" t="e">
        <f>AD79/AC79</f>
        <v>#DIV/0!</v>
      </c>
      <c r="AG79" s="755">
        <f>SUM(AG80:AG89)</f>
        <v>0</v>
      </c>
      <c r="AH79" s="755">
        <f>SUM(AH80:AH89)</f>
        <v>0</v>
      </c>
      <c r="AI79" s="757">
        <f t="shared" si="76"/>
        <v>0</v>
      </c>
      <c r="AJ79" s="755">
        <f>SUM(AJ80:AJ89)</f>
        <v>0</v>
      </c>
      <c r="AK79" s="755">
        <f>SUM(AK80:AK89)</f>
        <v>0</v>
      </c>
      <c r="AL79" s="757">
        <f t="shared" si="77"/>
        <v>0</v>
      </c>
      <c r="AM79" s="757"/>
      <c r="AN79" s="755">
        <f>SUM(AN80:AN89)</f>
        <v>0</v>
      </c>
      <c r="AO79" s="755">
        <f>SUM(AO80:AO89)</f>
        <v>13.439</v>
      </c>
      <c r="AP79" s="757">
        <f t="shared" si="78"/>
        <v>13.439</v>
      </c>
      <c r="AQ79" s="757"/>
      <c r="AR79" s="755">
        <f>SUM(AR80:AR89)</f>
        <v>0</v>
      </c>
      <c r="AS79" s="755">
        <f>SUM(AS80:AS89)</f>
        <v>0</v>
      </c>
      <c r="AT79" s="757">
        <f t="shared" si="79"/>
        <v>0</v>
      </c>
      <c r="AU79" s="757" t="e">
        <f>AS79/AR79</f>
        <v>#DIV/0!</v>
      </c>
      <c r="AV79" s="755">
        <f>SUM(AV80:AV89)</f>
        <v>0.107</v>
      </c>
      <c r="AW79" s="755">
        <f>SUM(AW80:AW89)</f>
        <v>0</v>
      </c>
      <c r="AX79" s="757">
        <f t="shared" si="80"/>
        <v>-0.107</v>
      </c>
      <c r="AY79" s="757">
        <f>AW79/AV79</f>
        <v>0</v>
      </c>
      <c r="AZ79" s="755">
        <f>SUM(AZ80:AZ89)</f>
        <v>0</v>
      </c>
      <c r="BA79" s="755">
        <f>SUM(BA80:BA89)</f>
        <v>0</v>
      </c>
      <c r="BB79" s="757">
        <f t="shared" si="81"/>
        <v>0</v>
      </c>
      <c r="BC79" s="757"/>
      <c r="BD79" s="755">
        <f>SUM(BD80:BD89)</f>
        <v>0</v>
      </c>
      <c r="BE79" s="755">
        <f>SUM(BE80:BE89)</f>
        <v>0</v>
      </c>
      <c r="BF79" s="757">
        <f t="shared" si="82"/>
        <v>0</v>
      </c>
      <c r="BG79" s="757"/>
      <c r="BH79" s="755">
        <f>SUM(BH80:BH89)</f>
        <v>0</v>
      </c>
      <c r="BI79" s="755">
        <f>SUM(BI80:BI89)</f>
        <v>0</v>
      </c>
      <c r="BJ79" s="757">
        <f t="shared" si="83"/>
        <v>0</v>
      </c>
      <c r="BK79" s="757"/>
      <c r="BL79" s="755">
        <f>SUM(BL80:BL89)</f>
        <v>26.070999999999998</v>
      </c>
      <c r="BM79" s="755">
        <f>SUM(BM80:BM89)</f>
        <v>0</v>
      </c>
      <c r="BN79" s="757">
        <f t="shared" si="51"/>
        <v>-26.070999999999998</v>
      </c>
      <c r="BO79" s="757">
        <f>BM79/BL79</f>
        <v>0</v>
      </c>
      <c r="BP79" s="755">
        <f>SUM(BP80:BP89)</f>
        <v>0</v>
      </c>
      <c r="BQ79" s="755">
        <f>SUM(BQ80:BQ89)</f>
        <v>0</v>
      </c>
      <c r="BR79" s="757">
        <f t="shared" si="68"/>
        <v>0</v>
      </c>
      <c r="BS79" s="757">
        <v>0</v>
      </c>
      <c r="BT79" s="755">
        <f>SUM(BT80:BT89)</f>
        <v>0</v>
      </c>
      <c r="BU79" s="755">
        <f>SUM(BU80:BU89)</f>
        <v>0</v>
      </c>
      <c r="BV79" s="757">
        <f t="shared" si="84"/>
        <v>0</v>
      </c>
      <c r="BW79" s="757" t="e">
        <f>BU79/BT79</f>
        <v>#DIV/0!</v>
      </c>
      <c r="BX79" s="755">
        <f>SUM(BX80:BX89)</f>
        <v>0</v>
      </c>
      <c r="BY79" s="755">
        <f>SUM(BY80:BY89)</f>
        <v>0</v>
      </c>
      <c r="BZ79" s="757">
        <f t="shared" si="85"/>
        <v>0</v>
      </c>
      <c r="CA79" s="757"/>
      <c r="CB79" s="755">
        <f>SUM(CB80:CB89)</f>
        <v>0</v>
      </c>
      <c r="CC79" s="755">
        <f>SUM(CC80:CC89)</f>
        <v>0</v>
      </c>
      <c r="CD79" s="757">
        <f t="shared" si="86"/>
        <v>0</v>
      </c>
      <c r="CE79" s="757"/>
      <c r="CF79" s="755">
        <f>SUM(CF80:CF89)</f>
        <v>0</v>
      </c>
      <c r="CG79" s="755">
        <f>SUM(CG80:CG89)</f>
        <v>0</v>
      </c>
      <c r="CH79" s="757">
        <f t="shared" si="87"/>
        <v>0</v>
      </c>
      <c r="CI79" s="757"/>
      <c r="CJ79" s="755">
        <f>SUM(CJ80:CJ89)</f>
        <v>0</v>
      </c>
      <c r="CK79" s="755">
        <f>SUM(CK80:CK89)</f>
        <v>0</v>
      </c>
      <c r="CL79" s="757">
        <f t="shared" si="88"/>
        <v>0</v>
      </c>
      <c r="CM79" s="386"/>
      <c r="CN79" s="733">
        <f>SUM(CN80:CN89)</f>
        <v>0</v>
      </c>
      <c r="CO79" s="733">
        <f>SUM(CO80:CO89)</f>
        <v>0</v>
      </c>
      <c r="CP79" s="758">
        <f t="shared" si="89"/>
        <v>0</v>
      </c>
      <c r="CQ79" s="758">
        <v>0</v>
      </c>
      <c r="CR79" s="759">
        <f>SUM(CR80:CR89)</f>
        <v>0</v>
      </c>
      <c r="CS79" s="759">
        <f>SUM(CS80:CS89)</f>
        <v>0</v>
      </c>
      <c r="CT79" s="731">
        <f t="shared" si="90"/>
        <v>0</v>
      </c>
      <c r="CU79" s="732"/>
      <c r="CV79" s="759">
        <f>SUM(CV80:CV89)</f>
        <v>0</v>
      </c>
      <c r="CW79" s="759">
        <f>SUM(CW80:CW89)</f>
        <v>0</v>
      </c>
      <c r="CX79" s="731">
        <f t="shared" si="91"/>
        <v>0</v>
      </c>
      <c r="CY79" s="732"/>
      <c r="CZ79" s="759">
        <f>SUM(CZ80:CZ89)</f>
        <v>0</v>
      </c>
      <c r="DA79" s="759">
        <f>SUM(DA80:DA89)</f>
        <v>0</v>
      </c>
      <c r="DB79" s="731">
        <f t="shared" si="92"/>
        <v>0</v>
      </c>
      <c r="DC79" s="732"/>
      <c r="DG79" s="735"/>
      <c r="DH79" s="733">
        <f>SUM(DH80:DH89)</f>
        <v>0</v>
      </c>
      <c r="DI79" s="735"/>
      <c r="DJ79" s="736"/>
      <c r="DK79" s="737"/>
      <c r="DL79" s="737"/>
    </row>
    <row r="80" spans="1:116" ht="12.75" hidden="1" customHeight="1">
      <c r="A80" s="738"/>
      <c r="B80" s="739"/>
      <c r="C80" s="738" t="s">
        <v>357</v>
      </c>
      <c r="D80" s="748"/>
      <c r="E80" s="377"/>
      <c r="F80" s="777">
        <f>J80+N80+R80+V80+Z80+AK80+AO80+AS80+AW80+BE80+BI80+BY80+CG80+CK80+CO80+CS80+CW80+DA80+BM80+BU80</f>
        <v>0</v>
      </c>
      <c r="G80" s="749">
        <f t="shared" si="70"/>
        <v>0</v>
      </c>
      <c r="H80" s="749" t="e">
        <f t="shared" si="96"/>
        <v>#DIV/0!</v>
      </c>
      <c r="I80" s="377"/>
      <c r="J80" s="377"/>
      <c r="K80" s="750">
        <f t="shared" si="71"/>
        <v>0</v>
      </c>
      <c r="L80" s="755" t="e">
        <f t="shared" si="97"/>
        <v>#DIV/0!</v>
      </c>
      <c r="M80" s="377"/>
      <c r="N80" s="377"/>
      <c r="O80" s="750">
        <f t="shared" si="72"/>
        <v>0</v>
      </c>
      <c r="P80" s="757" t="e">
        <f>N80/M80</f>
        <v>#DIV/0!</v>
      </c>
      <c r="Q80" s="377"/>
      <c r="R80" s="377"/>
      <c r="S80" s="750">
        <f t="shared" si="73"/>
        <v>0</v>
      </c>
      <c r="T80" s="750"/>
      <c r="U80" s="377"/>
      <c r="V80" s="377"/>
      <c r="W80" s="750">
        <f t="shared" si="74"/>
        <v>0</v>
      </c>
      <c r="X80" s="750"/>
      <c r="Y80" s="377">
        <f t="shared" si="75"/>
        <v>0</v>
      </c>
      <c r="Z80" s="377">
        <f t="shared" si="75"/>
        <v>0</v>
      </c>
      <c r="AA80" s="750">
        <f t="shared" si="67"/>
        <v>0</v>
      </c>
      <c r="AB80" s="750"/>
      <c r="AC80" s="377"/>
      <c r="AD80" s="377"/>
      <c r="AE80" s="750">
        <f t="shared" si="69"/>
        <v>0</v>
      </c>
      <c r="AF80" s="750" t="e">
        <f>AD80/AC80</f>
        <v>#DIV/0!</v>
      </c>
      <c r="AG80" s="377"/>
      <c r="AH80" s="377"/>
      <c r="AI80" s="750">
        <f t="shared" si="76"/>
        <v>0</v>
      </c>
      <c r="AJ80" s="377"/>
      <c r="AK80" s="377"/>
      <c r="AL80" s="750">
        <f t="shared" si="77"/>
        <v>0</v>
      </c>
      <c r="AM80" s="750"/>
      <c r="AN80" s="377">
        <v>0</v>
      </c>
      <c r="AO80" s="377">
        <v>0</v>
      </c>
      <c r="AP80" s="750">
        <f t="shared" si="78"/>
        <v>0</v>
      </c>
      <c r="AQ80" s="750"/>
      <c r="AR80" s="750"/>
      <c r="AS80" s="750"/>
      <c r="AT80" s="750">
        <f t="shared" si="79"/>
        <v>0</v>
      </c>
      <c r="AU80" s="750"/>
      <c r="AV80" s="377"/>
      <c r="AW80" s="377"/>
      <c r="AX80" s="750">
        <f t="shared" si="80"/>
        <v>0</v>
      </c>
      <c r="AY80" s="757" t="e">
        <f t="shared" ref="AY80:AY87" si="98">AW80/AV80</f>
        <v>#DIV/0!</v>
      </c>
      <c r="AZ80" s="377"/>
      <c r="BA80" s="377"/>
      <c r="BB80" s="750">
        <f t="shared" si="81"/>
        <v>0</v>
      </c>
      <c r="BC80" s="750"/>
      <c r="BD80" s="377"/>
      <c r="BE80" s="377"/>
      <c r="BF80" s="750">
        <f t="shared" si="82"/>
        <v>0</v>
      </c>
      <c r="BG80" s="750"/>
      <c r="BH80" s="377"/>
      <c r="BI80" s="377"/>
      <c r="BJ80" s="750">
        <f t="shared" si="83"/>
        <v>0</v>
      </c>
      <c r="BK80" s="750"/>
      <c r="BL80" s="377"/>
      <c r="BM80" s="377"/>
      <c r="BN80" s="750">
        <f t="shared" si="51"/>
        <v>0</v>
      </c>
      <c r="BO80" s="750"/>
      <c r="BP80" s="377"/>
      <c r="BQ80" s="377"/>
      <c r="BR80" s="750">
        <f t="shared" si="68"/>
        <v>0</v>
      </c>
      <c r="BS80" s="750"/>
      <c r="BT80" s="377"/>
      <c r="BU80" s="377"/>
      <c r="BV80" s="750">
        <f t="shared" si="84"/>
        <v>0</v>
      </c>
      <c r="BW80" s="750"/>
      <c r="BX80" s="377"/>
      <c r="BY80" s="377"/>
      <c r="BZ80" s="750">
        <f t="shared" si="85"/>
        <v>0</v>
      </c>
      <c r="CA80" s="750"/>
      <c r="CB80" s="377"/>
      <c r="CC80" s="377"/>
      <c r="CD80" s="750">
        <f t="shared" si="86"/>
        <v>0</v>
      </c>
      <c r="CE80" s="750"/>
      <c r="CF80" s="377"/>
      <c r="CG80" s="377"/>
      <c r="CH80" s="750">
        <f t="shared" si="87"/>
        <v>0</v>
      </c>
      <c r="CI80" s="757" t="e">
        <f t="shared" si="93"/>
        <v>#DIV/0!</v>
      </c>
      <c r="CJ80" s="377"/>
      <c r="CK80" s="377"/>
      <c r="CL80" s="750">
        <f t="shared" si="88"/>
        <v>0</v>
      </c>
      <c r="CM80" s="386"/>
      <c r="CN80" s="751"/>
      <c r="CO80" s="751"/>
      <c r="CP80" s="751">
        <f t="shared" si="89"/>
        <v>0</v>
      </c>
      <c r="CQ80" s="751"/>
      <c r="CR80" s="374"/>
      <c r="CS80" s="374"/>
      <c r="CT80" s="744">
        <f t="shared" si="90"/>
        <v>0</v>
      </c>
      <c r="CU80" s="745"/>
      <c r="CV80" s="373"/>
      <c r="CW80" s="373"/>
      <c r="CX80" s="744">
        <f t="shared" si="91"/>
        <v>0</v>
      </c>
      <c r="CY80" s="745"/>
      <c r="CZ80" s="373"/>
      <c r="DA80" s="373"/>
      <c r="DB80" s="744">
        <f t="shared" si="92"/>
        <v>0</v>
      </c>
      <c r="DC80" s="745"/>
      <c r="DG80" s="746"/>
      <c r="DH80" s="746"/>
      <c r="DI80" s="746"/>
      <c r="DJ80" s="747"/>
      <c r="DK80" s="718"/>
      <c r="DL80" s="718"/>
    </row>
    <row r="81" spans="1:116" hidden="1">
      <c r="A81" s="738"/>
      <c r="B81" s="739"/>
      <c r="C81" s="738" t="s">
        <v>358</v>
      </c>
      <c r="D81" s="384"/>
      <c r="E81" s="377"/>
      <c r="F81" s="777">
        <f>J81+N81+R81+V81+Z81+AK81+AO81+AS81+AW81+BE81+BI81+BY81+CG81+CK81+CO81+CS81+CW81+DA81+BA81+BM81+BU81</f>
        <v>0</v>
      </c>
      <c r="G81" s="749">
        <f t="shared" si="70"/>
        <v>0</v>
      </c>
      <c r="H81" s="749" t="e">
        <f t="shared" si="96"/>
        <v>#DIV/0!</v>
      </c>
      <c r="I81" s="377"/>
      <c r="J81" s="377"/>
      <c r="K81" s="750">
        <f t="shared" si="71"/>
        <v>0</v>
      </c>
      <c r="L81" s="755"/>
      <c r="M81" s="377"/>
      <c r="N81" s="377"/>
      <c r="O81" s="750">
        <f t="shared" si="72"/>
        <v>0</v>
      </c>
      <c r="P81" s="757" t="e">
        <f>N81/M81</f>
        <v>#DIV/0!</v>
      </c>
      <c r="Q81" s="377"/>
      <c r="R81" s="377"/>
      <c r="S81" s="750">
        <f t="shared" si="73"/>
        <v>0</v>
      </c>
      <c r="T81" s="750"/>
      <c r="U81" s="377"/>
      <c r="V81" s="377"/>
      <c r="W81" s="750">
        <v>0</v>
      </c>
      <c r="X81" s="750"/>
      <c r="Y81" s="377">
        <f t="shared" si="75"/>
        <v>0</v>
      </c>
      <c r="Z81" s="377">
        <f t="shared" si="75"/>
        <v>0</v>
      </c>
      <c r="AA81" s="750">
        <v>0</v>
      </c>
      <c r="AB81" s="750"/>
      <c r="AC81" s="377"/>
      <c r="AD81" s="377"/>
      <c r="AE81" s="750">
        <f t="shared" si="69"/>
        <v>0</v>
      </c>
      <c r="AF81" s="750"/>
      <c r="AG81" s="377"/>
      <c r="AH81" s="377"/>
      <c r="AI81" s="750"/>
      <c r="AJ81" s="377"/>
      <c r="AK81" s="377"/>
      <c r="AL81" s="750"/>
      <c r="AM81" s="750"/>
      <c r="AN81" s="377"/>
      <c r="AO81" s="377"/>
      <c r="AP81" s="750">
        <f t="shared" si="78"/>
        <v>0</v>
      </c>
      <c r="AQ81" s="750"/>
      <c r="AR81" s="750"/>
      <c r="AS81" s="750"/>
      <c r="AT81" s="750"/>
      <c r="AU81" s="750"/>
      <c r="AV81" s="377"/>
      <c r="AW81" s="377"/>
      <c r="AX81" s="750">
        <v>0</v>
      </c>
      <c r="AY81" s="757" t="e">
        <f t="shared" si="98"/>
        <v>#DIV/0!</v>
      </c>
      <c r="AZ81" s="377"/>
      <c r="BA81" s="377"/>
      <c r="BB81" s="750">
        <v>0</v>
      </c>
      <c r="BC81" s="750"/>
      <c r="BD81" s="377"/>
      <c r="BE81" s="377"/>
      <c r="BF81" s="750">
        <v>0</v>
      </c>
      <c r="BG81" s="750"/>
      <c r="BH81" s="377"/>
      <c r="BI81" s="377"/>
      <c r="BJ81" s="750">
        <f t="shared" si="83"/>
        <v>0</v>
      </c>
      <c r="BK81" s="750"/>
      <c r="BL81" s="377"/>
      <c r="BM81" s="377"/>
      <c r="BN81" s="750">
        <f t="shared" si="51"/>
        <v>0</v>
      </c>
      <c r="BO81" s="750"/>
      <c r="BP81" s="377"/>
      <c r="BQ81" s="377"/>
      <c r="BR81" s="750">
        <f t="shared" si="68"/>
        <v>0</v>
      </c>
      <c r="BS81" s="750"/>
      <c r="BT81" s="377"/>
      <c r="BU81" s="377"/>
      <c r="BV81" s="750"/>
      <c r="BW81" s="750"/>
      <c r="BX81" s="377"/>
      <c r="BY81" s="377"/>
      <c r="BZ81" s="750">
        <v>0</v>
      </c>
      <c r="CA81" s="750"/>
      <c r="CB81" s="377"/>
      <c r="CC81" s="377"/>
      <c r="CD81" s="750"/>
      <c r="CE81" s="750"/>
      <c r="CF81" s="377"/>
      <c r="CG81" s="377"/>
      <c r="CH81" s="750">
        <f t="shared" si="87"/>
        <v>0</v>
      </c>
      <c r="CI81" s="757"/>
      <c r="CJ81" s="377"/>
      <c r="CK81" s="377"/>
      <c r="CL81" s="750">
        <v>0</v>
      </c>
      <c r="CM81" s="386"/>
      <c r="CN81" s="751"/>
      <c r="CO81" s="751"/>
      <c r="CP81" s="751">
        <v>0</v>
      </c>
      <c r="CQ81" s="751"/>
      <c r="CR81" s="374"/>
      <c r="CS81" s="374"/>
      <c r="CT81" s="744"/>
      <c r="CU81" s="745"/>
      <c r="CV81" s="373"/>
      <c r="CW81" s="373"/>
      <c r="CX81" s="744"/>
      <c r="CY81" s="745"/>
      <c r="CZ81" s="373"/>
      <c r="DA81" s="373"/>
      <c r="DB81" s="744">
        <v>0</v>
      </c>
      <c r="DC81" s="745"/>
      <c r="DG81" s="746"/>
      <c r="DH81" s="746"/>
      <c r="DI81" s="746"/>
      <c r="DJ81" s="747"/>
      <c r="DK81" s="718"/>
      <c r="DL81" s="718"/>
    </row>
    <row r="82" spans="1:116">
      <c r="A82" s="738"/>
      <c r="B82" s="770" t="s">
        <v>895</v>
      </c>
      <c r="C82" s="738" t="s">
        <v>551</v>
      </c>
      <c r="D82" s="748">
        <v>2439</v>
      </c>
      <c r="E82" s="377"/>
      <c r="F82" s="783">
        <f>J82+N82+R82+V82+Z82+AK82+AO82+AS82+AW82+BE82+BI82+BY82+CG82+CK82+CO82+CS82+CW82+DA82+BA82+BM82+BU82+CC82</f>
        <v>13.439</v>
      </c>
      <c r="G82" s="749">
        <f t="shared" si="70"/>
        <v>13.439</v>
      </c>
      <c r="H82" s="749">
        <v>0</v>
      </c>
      <c r="I82" s="382"/>
      <c r="J82" s="382"/>
      <c r="K82" s="750">
        <f t="shared" si="71"/>
        <v>0</v>
      </c>
      <c r="L82" s="755">
        <v>0</v>
      </c>
      <c r="M82" s="382">
        <v>0</v>
      </c>
      <c r="N82" s="382">
        <v>0</v>
      </c>
      <c r="O82" s="750">
        <f t="shared" si="72"/>
        <v>0</v>
      </c>
      <c r="P82" s="757">
        <v>0</v>
      </c>
      <c r="Q82" s="382"/>
      <c r="R82" s="382"/>
      <c r="S82" s="750">
        <f t="shared" si="73"/>
        <v>0</v>
      </c>
      <c r="T82" s="750">
        <v>0</v>
      </c>
      <c r="U82" s="377"/>
      <c r="V82" s="377"/>
      <c r="W82" s="750">
        <f>V82-U82</f>
        <v>0</v>
      </c>
      <c r="X82" s="750"/>
      <c r="Y82" s="377">
        <f t="shared" si="75"/>
        <v>0</v>
      </c>
      <c r="Z82" s="377">
        <f t="shared" si="75"/>
        <v>0</v>
      </c>
      <c r="AA82" s="750">
        <f>Z82-Y82</f>
        <v>0</v>
      </c>
      <c r="AB82" s="750"/>
      <c r="AC82" s="377"/>
      <c r="AD82" s="377"/>
      <c r="AE82" s="750">
        <f t="shared" si="69"/>
        <v>0</v>
      </c>
      <c r="AF82" s="750"/>
      <c r="AG82" s="377"/>
      <c r="AH82" s="377"/>
      <c r="AI82" s="750">
        <f>AH82-AG82</f>
        <v>0</v>
      </c>
      <c r="AJ82" s="377"/>
      <c r="AK82" s="377"/>
      <c r="AL82" s="750">
        <f t="shared" ref="AL82:AL89" si="99">AK82-AJ82</f>
        <v>0</v>
      </c>
      <c r="AM82" s="750"/>
      <c r="AN82" s="377"/>
      <c r="AO82" s="377">
        <v>13.439</v>
      </c>
      <c r="AP82" s="750">
        <f t="shared" si="78"/>
        <v>13.439</v>
      </c>
      <c r="AQ82" s="750"/>
      <c r="AR82" s="750"/>
      <c r="AS82" s="750"/>
      <c r="AT82" s="750">
        <f>AS82-AR82</f>
        <v>0</v>
      </c>
      <c r="AU82" s="750"/>
      <c r="AV82" s="377"/>
      <c r="AW82" s="377"/>
      <c r="AX82" s="750">
        <f>AW82-AV82</f>
        <v>0</v>
      </c>
      <c r="AY82" s="757"/>
      <c r="AZ82" s="377"/>
      <c r="BA82" s="377"/>
      <c r="BB82" s="750">
        <f>BA82-AZ82</f>
        <v>0</v>
      </c>
      <c r="BC82" s="750"/>
      <c r="BD82" s="377"/>
      <c r="BE82" s="377"/>
      <c r="BF82" s="750">
        <f>BE82-BD82</f>
        <v>0</v>
      </c>
      <c r="BG82" s="750"/>
      <c r="BH82" s="377"/>
      <c r="BI82" s="377"/>
      <c r="BJ82" s="750">
        <f t="shared" si="83"/>
        <v>0</v>
      </c>
      <c r="BK82" s="750"/>
      <c r="BL82" s="377"/>
      <c r="BM82" s="377"/>
      <c r="BN82" s="750">
        <f t="shared" si="51"/>
        <v>0</v>
      </c>
      <c r="BO82" s="750"/>
      <c r="BP82" s="377"/>
      <c r="BQ82" s="377"/>
      <c r="BR82" s="750">
        <f t="shared" si="68"/>
        <v>0</v>
      </c>
      <c r="BS82" s="750"/>
      <c r="BT82" s="377"/>
      <c r="BU82" s="377"/>
      <c r="BV82" s="750">
        <f>BU82-BT82</f>
        <v>0</v>
      </c>
      <c r="BW82" s="750"/>
      <c r="BX82" s="377"/>
      <c r="BY82" s="377"/>
      <c r="BZ82" s="750">
        <f>BY82-BX82</f>
        <v>0</v>
      </c>
      <c r="CA82" s="750"/>
      <c r="CB82" s="377"/>
      <c r="CC82" s="377"/>
      <c r="CD82" s="750">
        <f>CC82-CB82</f>
        <v>0</v>
      </c>
      <c r="CE82" s="750"/>
      <c r="CF82" s="780"/>
      <c r="CG82" s="780"/>
      <c r="CH82" s="750">
        <f t="shared" si="87"/>
        <v>0</v>
      </c>
      <c r="CI82" s="757"/>
      <c r="CJ82" s="377"/>
      <c r="CK82" s="377"/>
      <c r="CL82" s="750">
        <f>CK82-CJ82</f>
        <v>0</v>
      </c>
      <c r="CM82" s="386"/>
      <c r="CN82" s="751"/>
      <c r="CO82" s="751"/>
      <c r="CP82" s="751">
        <f>CO82-CN82</f>
        <v>0</v>
      </c>
      <c r="CQ82" s="751"/>
      <c r="CR82" s="374"/>
      <c r="CS82" s="374"/>
      <c r="CT82" s="744">
        <f>CS82-CR82</f>
        <v>0</v>
      </c>
      <c r="CU82" s="745"/>
      <c r="CV82" s="373"/>
      <c r="CW82" s="373"/>
      <c r="CX82" s="744">
        <f>CW82-CV82</f>
        <v>0</v>
      </c>
      <c r="CY82" s="745"/>
      <c r="CZ82" s="373"/>
      <c r="DA82" s="373"/>
      <c r="DB82" s="744">
        <f>DA82-CZ82</f>
        <v>0</v>
      </c>
      <c r="DC82" s="745"/>
      <c r="DG82" s="746"/>
      <c r="DH82" s="746"/>
      <c r="DI82" s="746"/>
      <c r="DJ82" s="747"/>
      <c r="DK82" s="718"/>
      <c r="DL82" s="718"/>
    </row>
    <row r="83" spans="1:116" ht="12.75" hidden="1" customHeight="1">
      <c r="A83" s="738"/>
      <c r="B83" s="739"/>
      <c r="C83" s="752" t="s">
        <v>359</v>
      </c>
      <c r="D83" s="753"/>
      <c r="E83" s="377"/>
      <c r="F83" s="783">
        <f t="shared" ref="F83:F89" si="100">J83+N83+R83+V83+Z83+AK83+AO83+AS83+AW83+BE83+BI83+BY83+CG83+CK83+CO83+CS83+CW83+DA83+BA83+BM83+BU83</f>
        <v>0</v>
      </c>
      <c r="G83" s="749">
        <f t="shared" si="70"/>
        <v>0</v>
      </c>
      <c r="H83" s="749" t="e">
        <f t="shared" si="96"/>
        <v>#DIV/0!</v>
      </c>
      <c r="I83" s="377"/>
      <c r="J83" s="377"/>
      <c r="K83" s="750">
        <f t="shared" si="71"/>
        <v>0</v>
      </c>
      <c r="L83" s="755" t="e">
        <f t="shared" si="97"/>
        <v>#DIV/0!</v>
      </c>
      <c r="M83" s="377"/>
      <c r="N83" s="377"/>
      <c r="O83" s="750">
        <f t="shared" si="72"/>
        <v>0</v>
      </c>
      <c r="P83" s="750"/>
      <c r="Q83" s="377"/>
      <c r="R83" s="377"/>
      <c r="S83" s="750">
        <f t="shared" si="73"/>
        <v>0</v>
      </c>
      <c r="T83" s="750" t="e">
        <f>R83/Q83</f>
        <v>#DIV/0!</v>
      </c>
      <c r="U83" s="377"/>
      <c r="V83" s="377"/>
      <c r="W83" s="750">
        <f>V83-U83</f>
        <v>0</v>
      </c>
      <c r="X83" s="750"/>
      <c r="Y83" s="377">
        <f t="shared" si="75"/>
        <v>0</v>
      </c>
      <c r="Z83" s="377">
        <f t="shared" si="75"/>
        <v>0</v>
      </c>
      <c r="AA83" s="750">
        <f>Z83-Y83</f>
        <v>0</v>
      </c>
      <c r="AB83" s="750"/>
      <c r="AC83" s="377"/>
      <c r="AD83" s="377"/>
      <c r="AE83" s="750">
        <f t="shared" si="69"/>
        <v>0</v>
      </c>
      <c r="AF83" s="750"/>
      <c r="AG83" s="377"/>
      <c r="AH83" s="377"/>
      <c r="AI83" s="750">
        <f>AH83-AG83</f>
        <v>0</v>
      </c>
      <c r="AJ83" s="377"/>
      <c r="AK83" s="377"/>
      <c r="AL83" s="750">
        <f t="shared" si="99"/>
        <v>0</v>
      </c>
      <c r="AM83" s="750"/>
      <c r="AN83" s="377"/>
      <c r="AO83" s="377"/>
      <c r="AP83" s="750">
        <f t="shared" si="78"/>
        <v>0</v>
      </c>
      <c r="AQ83" s="750"/>
      <c r="AR83" s="750"/>
      <c r="AS83" s="750"/>
      <c r="AT83" s="750">
        <f>AS83-AR83</f>
        <v>0</v>
      </c>
      <c r="AU83" s="750"/>
      <c r="AV83" s="377"/>
      <c r="AW83" s="377"/>
      <c r="AX83" s="750">
        <f>AW83-AV83</f>
        <v>0</v>
      </c>
      <c r="AY83" s="757"/>
      <c r="AZ83" s="377"/>
      <c r="BA83" s="377"/>
      <c r="BB83" s="750">
        <f>BA83-AZ83</f>
        <v>0</v>
      </c>
      <c r="BC83" s="750"/>
      <c r="BD83" s="377"/>
      <c r="BE83" s="377"/>
      <c r="BF83" s="750">
        <f>BE83-BD83</f>
        <v>0</v>
      </c>
      <c r="BG83" s="750"/>
      <c r="BH83" s="377"/>
      <c r="BI83" s="377"/>
      <c r="BJ83" s="750">
        <f t="shared" si="83"/>
        <v>0</v>
      </c>
      <c r="BK83" s="750"/>
      <c r="BL83" s="377"/>
      <c r="BM83" s="377"/>
      <c r="BN83" s="750">
        <f t="shared" si="51"/>
        <v>0</v>
      </c>
      <c r="BO83" s="750"/>
      <c r="BP83" s="377"/>
      <c r="BQ83" s="377"/>
      <c r="BR83" s="750">
        <f t="shared" si="68"/>
        <v>0</v>
      </c>
      <c r="BS83" s="750"/>
      <c r="BT83" s="377"/>
      <c r="BU83" s="377"/>
      <c r="BV83" s="750">
        <f>BU83-BT83</f>
        <v>0</v>
      </c>
      <c r="BW83" s="750"/>
      <c r="BX83" s="377"/>
      <c r="BY83" s="377"/>
      <c r="BZ83" s="750">
        <f>BY83-BX83</f>
        <v>0</v>
      </c>
      <c r="CA83" s="750"/>
      <c r="CB83" s="377"/>
      <c r="CC83" s="377"/>
      <c r="CD83" s="750">
        <f>CC83-CB83</f>
        <v>0</v>
      </c>
      <c r="CE83" s="750"/>
      <c r="CF83" s="377"/>
      <c r="CG83" s="377"/>
      <c r="CH83" s="750">
        <f t="shared" si="87"/>
        <v>0</v>
      </c>
      <c r="CI83" s="757" t="e">
        <f t="shared" si="93"/>
        <v>#DIV/0!</v>
      </c>
      <c r="CJ83" s="377"/>
      <c r="CK83" s="377"/>
      <c r="CL83" s="750">
        <f>CK83-CJ83</f>
        <v>0</v>
      </c>
      <c r="CM83" s="386"/>
      <c r="CN83" s="751"/>
      <c r="CO83" s="751"/>
      <c r="CP83" s="751">
        <f>CO83-CN83</f>
        <v>0</v>
      </c>
      <c r="CQ83" s="751"/>
      <c r="CR83" s="374"/>
      <c r="CS83" s="374"/>
      <c r="CT83" s="744">
        <f>CS83-CR83</f>
        <v>0</v>
      </c>
      <c r="CU83" s="745"/>
      <c r="CV83" s="373"/>
      <c r="CW83" s="373"/>
      <c r="CX83" s="744">
        <f>CW83-CV83</f>
        <v>0</v>
      </c>
      <c r="CY83" s="745"/>
      <c r="CZ83" s="373"/>
      <c r="DA83" s="373"/>
      <c r="DB83" s="744">
        <f>DA83-CZ83</f>
        <v>0</v>
      </c>
      <c r="DC83" s="745"/>
      <c r="DG83" s="746"/>
      <c r="DH83" s="746"/>
      <c r="DI83" s="746"/>
      <c r="DJ83" s="747"/>
      <c r="DK83" s="718"/>
      <c r="DL83" s="718"/>
    </row>
    <row r="84" spans="1:116" ht="12.75" customHeight="1">
      <c r="A84" s="738"/>
      <c r="B84" s="739">
        <v>1701036423</v>
      </c>
      <c r="C84" s="752" t="s">
        <v>846</v>
      </c>
      <c r="D84" s="781">
        <v>54.7</v>
      </c>
      <c r="E84" s="377">
        <v>0.01</v>
      </c>
      <c r="F84" s="783">
        <f t="shared" si="100"/>
        <v>0</v>
      </c>
      <c r="G84" s="745">
        <f t="shared" si="70"/>
        <v>-0.01</v>
      </c>
      <c r="H84" s="749">
        <f t="shared" si="96"/>
        <v>0</v>
      </c>
      <c r="I84" s="377"/>
      <c r="J84" s="376"/>
      <c r="K84" s="750">
        <f t="shared" si="71"/>
        <v>0</v>
      </c>
      <c r="L84" s="755">
        <v>0</v>
      </c>
      <c r="M84" s="377">
        <v>0</v>
      </c>
      <c r="N84" s="377"/>
      <c r="O84" s="750"/>
      <c r="P84" s="750"/>
      <c r="Q84" s="377">
        <v>6.0000000000000001E-3</v>
      </c>
      <c r="R84" s="377"/>
      <c r="S84" s="750"/>
      <c r="T84" s="750">
        <f>R84/Q84</f>
        <v>0</v>
      </c>
      <c r="U84" s="377"/>
      <c r="V84" s="377"/>
      <c r="W84" s="750"/>
      <c r="X84" s="750"/>
      <c r="Y84" s="377">
        <f t="shared" si="75"/>
        <v>0</v>
      </c>
      <c r="Z84" s="377">
        <f t="shared" si="75"/>
        <v>0</v>
      </c>
      <c r="AA84" s="750"/>
      <c r="AB84" s="750"/>
      <c r="AC84" s="377"/>
      <c r="AD84" s="377"/>
      <c r="AE84" s="750"/>
      <c r="AF84" s="750"/>
      <c r="AG84" s="377"/>
      <c r="AH84" s="377"/>
      <c r="AI84" s="750"/>
      <c r="AJ84" s="377"/>
      <c r="AK84" s="377"/>
      <c r="AL84" s="750">
        <f t="shared" si="99"/>
        <v>0</v>
      </c>
      <c r="AM84" s="750"/>
      <c r="AN84" s="377">
        <v>0</v>
      </c>
      <c r="AO84" s="377"/>
      <c r="AP84" s="750"/>
      <c r="AQ84" s="750"/>
      <c r="AR84" s="750"/>
      <c r="AS84" s="750"/>
      <c r="AT84" s="750"/>
      <c r="AU84" s="750"/>
      <c r="AV84" s="377"/>
      <c r="AW84" s="377"/>
      <c r="AX84" s="750"/>
      <c r="AY84" s="757"/>
      <c r="AZ84" s="377"/>
      <c r="BA84" s="377"/>
      <c r="BB84" s="750"/>
      <c r="BC84" s="750"/>
      <c r="BD84" s="377"/>
      <c r="BE84" s="377"/>
      <c r="BF84" s="750"/>
      <c r="BG84" s="750"/>
      <c r="BH84" s="377"/>
      <c r="BI84" s="377"/>
      <c r="BJ84" s="750"/>
      <c r="BK84" s="750"/>
      <c r="BL84" s="377"/>
      <c r="BM84" s="377"/>
      <c r="BN84" s="750">
        <f t="shared" si="51"/>
        <v>0</v>
      </c>
      <c r="BO84" s="750"/>
      <c r="BP84" s="377"/>
      <c r="BQ84" s="377"/>
      <c r="BR84" s="750">
        <f t="shared" si="68"/>
        <v>0</v>
      </c>
      <c r="BS84" s="750"/>
      <c r="BT84" s="377"/>
      <c r="BU84" s="377"/>
      <c r="BV84" s="750"/>
      <c r="BW84" s="750"/>
      <c r="BX84" s="377"/>
      <c r="BY84" s="377"/>
      <c r="BZ84" s="750"/>
      <c r="CA84" s="750"/>
      <c r="CB84" s="377"/>
      <c r="CC84" s="377"/>
      <c r="CD84" s="750"/>
      <c r="CE84" s="750"/>
      <c r="CF84" s="377"/>
      <c r="CG84" s="377"/>
      <c r="CH84" s="750"/>
      <c r="CI84" s="757"/>
      <c r="CJ84" s="377"/>
      <c r="CK84" s="377"/>
      <c r="CL84" s="750"/>
      <c r="CM84" s="386"/>
      <c r="CN84" s="751"/>
      <c r="CO84" s="751"/>
      <c r="CP84" s="751"/>
      <c r="CQ84" s="751"/>
      <c r="CR84" s="374"/>
      <c r="CS84" s="374"/>
      <c r="CT84" s="744"/>
      <c r="CU84" s="745"/>
      <c r="CV84" s="373"/>
      <c r="CW84" s="373"/>
      <c r="CX84" s="744"/>
      <c r="CY84" s="745"/>
      <c r="CZ84" s="373"/>
      <c r="DA84" s="373"/>
      <c r="DB84" s="744"/>
      <c r="DC84" s="745"/>
      <c r="DG84" s="746"/>
      <c r="DH84" s="746"/>
      <c r="DI84" s="746"/>
      <c r="DJ84" s="747"/>
      <c r="DK84" s="718"/>
      <c r="DL84" s="718"/>
    </row>
    <row r="85" spans="1:116">
      <c r="A85" s="738"/>
      <c r="B85" s="739">
        <v>1718000922</v>
      </c>
      <c r="C85" s="752" t="s">
        <v>900</v>
      </c>
      <c r="D85" s="753">
        <v>21.1</v>
      </c>
      <c r="E85" s="377">
        <v>10.9</v>
      </c>
      <c r="F85" s="825">
        <f t="shared" si="100"/>
        <v>0</v>
      </c>
      <c r="G85" s="749">
        <f t="shared" si="70"/>
        <v>-10.9</v>
      </c>
      <c r="H85" s="749">
        <f t="shared" si="96"/>
        <v>0</v>
      </c>
      <c r="I85" s="377"/>
      <c r="J85" s="377"/>
      <c r="K85" s="750">
        <f t="shared" si="71"/>
        <v>0</v>
      </c>
      <c r="L85" s="755"/>
      <c r="M85" s="377"/>
      <c r="N85" s="377"/>
      <c r="O85" s="750">
        <f>N85-M85</f>
        <v>0</v>
      </c>
      <c r="P85" s="750"/>
      <c r="Q85" s="377"/>
      <c r="R85" s="377"/>
      <c r="S85" s="750">
        <f>R85-Q85</f>
        <v>0</v>
      </c>
      <c r="T85" s="750"/>
      <c r="U85" s="377"/>
      <c r="V85" s="377"/>
      <c r="W85" s="750">
        <f>V85-U85</f>
        <v>0</v>
      </c>
      <c r="X85" s="750"/>
      <c r="Y85" s="377">
        <f t="shared" si="75"/>
        <v>0</v>
      </c>
      <c r="Z85" s="377">
        <f t="shared" si="75"/>
        <v>0</v>
      </c>
      <c r="AA85" s="750">
        <f>Z85-Y85</f>
        <v>0</v>
      </c>
      <c r="AB85" s="750"/>
      <c r="AC85" s="377"/>
      <c r="AD85" s="377"/>
      <c r="AE85" s="750">
        <f>AD85-AC85</f>
        <v>0</v>
      </c>
      <c r="AF85" s="750"/>
      <c r="AG85" s="377"/>
      <c r="AH85" s="377"/>
      <c r="AI85" s="750">
        <f>AH85-AG85</f>
        <v>0</v>
      </c>
      <c r="AJ85" s="377"/>
      <c r="AK85" s="377"/>
      <c r="AL85" s="750">
        <f t="shared" si="99"/>
        <v>0</v>
      </c>
      <c r="AM85" s="750"/>
      <c r="AN85" s="377"/>
      <c r="AO85" s="377"/>
      <c r="AP85" s="750">
        <f>AO85-AN85</f>
        <v>0</v>
      </c>
      <c r="AQ85" s="750"/>
      <c r="AR85" s="750"/>
      <c r="AS85" s="750"/>
      <c r="AT85" s="750">
        <f>AS85-AR85</f>
        <v>0</v>
      </c>
      <c r="AU85" s="750"/>
      <c r="AV85" s="382"/>
      <c r="AW85" s="375"/>
      <c r="AX85" s="750">
        <f>AW85-AV85</f>
        <v>0</v>
      </c>
      <c r="AY85" s="757"/>
      <c r="AZ85" s="377"/>
      <c r="BA85" s="377"/>
      <c r="BB85" s="750">
        <f>BA85-AZ85</f>
        <v>0</v>
      </c>
      <c r="BC85" s="750"/>
      <c r="BD85" s="377"/>
      <c r="BE85" s="377"/>
      <c r="BF85" s="750">
        <f>BE85-BD85</f>
        <v>0</v>
      </c>
      <c r="BG85" s="750"/>
      <c r="BH85" s="377"/>
      <c r="BI85" s="377"/>
      <c r="BJ85" s="750">
        <f>BI85-BH85</f>
        <v>0</v>
      </c>
      <c r="BK85" s="750"/>
      <c r="BL85" s="377">
        <v>10.871</v>
      </c>
      <c r="BM85" s="377"/>
      <c r="BN85" s="750">
        <f t="shared" si="51"/>
        <v>-10.871</v>
      </c>
      <c r="BO85" s="750"/>
      <c r="BP85" s="377"/>
      <c r="BQ85" s="377"/>
      <c r="BR85" s="750">
        <f t="shared" si="68"/>
        <v>0</v>
      </c>
      <c r="BS85" s="750"/>
      <c r="BT85" s="377"/>
      <c r="BU85" s="377"/>
      <c r="BV85" s="750">
        <f t="shared" ref="BV85:BV91" si="101">BU85-BT85</f>
        <v>0</v>
      </c>
      <c r="BW85" s="750"/>
      <c r="BX85" s="377"/>
      <c r="BY85" s="377"/>
      <c r="BZ85" s="750">
        <f>BY85-BX85</f>
        <v>0</v>
      </c>
      <c r="CA85" s="750"/>
      <c r="CB85" s="377"/>
      <c r="CC85" s="377"/>
      <c r="CD85" s="750">
        <f t="shared" ref="CD85:CD91" si="102">CC85-CB85</f>
        <v>0</v>
      </c>
      <c r="CE85" s="750"/>
      <c r="CF85" s="377"/>
      <c r="CG85" s="377"/>
      <c r="CH85" s="750">
        <f>CG85-CF85</f>
        <v>0</v>
      </c>
      <c r="CI85" s="750"/>
      <c r="CJ85" s="377"/>
      <c r="CK85" s="377"/>
      <c r="CL85" s="750">
        <f>CK85-CJ85</f>
        <v>0</v>
      </c>
      <c r="CM85" s="386"/>
      <c r="CN85" s="751"/>
      <c r="CO85" s="751"/>
      <c r="CP85" s="751">
        <f>CO85-CN85</f>
        <v>0</v>
      </c>
      <c r="CQ85" s="751"/>
      <c r="CR85" s="374"/>
      <c r="CS85" s="374"/>
      <c r="CT85" s="744">
        <f>CS85-CR85</f>
        <v>0</v>
      </c>
      <c r="CU85" s="745"/>
      <c r="CV85" s="373"/>
      <c r="CW85" s="373"/>
      <c r="CX85" s="744">
        <f>CW85-CV85</f>
        <v>0</v>
      </c>
      <c r="CY85" s="745"/>
      <c r="CZ85" s="373"/>
      <c r="DA85" s="373"/>
      <c r="DB85" s="744">
        <f t="shared" ref="DB85:DB91" si="103">DA85-CZ85</f>
        <v>0</v>
      </c>
      <c r="DC85" s="745"/>
      <c r="DG85" s="746"/>
      <c r="DH85" s="746"/>
      <c r="DI85" s="746"/>
      <c r="DJ85" s="747"/>
      <c r="DK85" s="718"/>
      <c r="DL85" s="718"/>
    </row>
    <row r="86" spans="1:116">
      <c r="A86" s="738"/>
      <c r="B86" s="739">
        <v>1718002454</v>
      </c>
      <c r="C86" s="752" t="s">
        <v>776</v>
      </c>
      <c r="D86" s="753"/>
      <c r="E86" s="377">
        <v>168</v>
      </c>
      <c r="F86" s="383">
        <f t="shared" si="100"/>
        <v>0</v>
      </c>
      <c r="G86" s="749"/>
      <c r="H86" s="749"/>
      <c r="I86" s="377">
        <v>152</v>
      </c>
      <c r="J86" s="377"/>
      <c r="K86" s="750"/>
      <c r="L86" s="755"/>
      <c r="M86" s="377">
        <v>0.8</v>
      </c>
      <c r="N86" s="377"/>
      <c r="O86" s="750"/>
      <c r="P86" s="750"/>
      <c r="Q86" s="377"/>
      <c r="R86" s="377"/>
      <c r="S86" s="750"/>
      <c r="T86" s="750"/>
      <c r="U86" s="377"/>
      <c r="V86" s="377"/>
      <c r="W86" s="750"/>
      <c r="X86" s="750"/>
      <c r="Y86" s="377"/>
      <c r="Z86" s="377"/>
      <c r="AA86" s="750"/>
      <c r="AB86" s="750"/>
      <c r="AC86" s="377"/>
      <c r="AD86" s="377"/>
      <c r="AE86" s="750"/>
      <c r="AF86" s="750"/>
      <c r="AG86" s="377"/>
      <c r="AH86" s="377"/>
      <c r="AI86" s="750"/>
      <c r="AJ86" s="377"/>
      <c r="AK86" s="377"/>
      <c r="AL86" s="750"/>
      <c r="AM86" s="750"/>
      <c r="AN86" s="377"/>
      <c r="AO86" s="377"/>
      <c r="AP86" s="750"/>
      <c r="AQ86" s="750"/>
      <c r="AR86" s="750"/>
      <c r="AS86" s="750"/>
      <c r="AT86" s="750"/>
      <c r="AU86" s="750"/>
      <c r="AV86" s="382"/>
      <c r="AW86" s="375"/>
      <c r="AX86" s="750"/>
      <c r="AY86" s="757"/>
      <c r="AZ86" s="377"/>
      <c r="BA86" s="377"/>
      <c r="BB86" s="750"/>
      <c r="BC86" s="750"/>
      <c r="BD86" s="377"/>
      <c r="BE86" s="377"/>
      <c r="BF86" s="750"/>
      <c r="BG86" s="750"/>
      <c r="BH86" s="377"/>
      <c r="BI86" s="377"/>
      <c r="BJ86" s="750"/>
      <c r="BK86" s="750"/>
      <c r="BL86" s="377">
        <v>15.2</v>
      </c>
      <c r="BM86" s="377"/>
      <c r="BN86" s="750"/>
      <c r="BO86" s="750"/>
      <c r="BP86" s="377"/>
      <c r="BQ86" s="377"/>
      <c r="BR86" s="750"/>
      <c r="BS86" s="750"/>
      <c r="BT86" s="377"/>
      <c r="BU86" s="377"/>
      <c r="BV86" s="750"/>
      <c r="BW86" s="750"/>
      <c r="BX86" s="377"/>
      <c r="BY86" s="377"/>
      <c r="BZ86" s="750"/>
      <c r="CA86" s="750"/>
      <c r="CB86" s="377"/>
      <c r="CC86" s="377"/>
      <c r="CD86" s="750"/>
      <c r="CE86" s="750"/>
      <c r="CF86" s="377"/>
      <c r="CG86" s="377"/>
      <c r="CH86" s="750"/>
      <c r="CI86" s="750"/>
      <c r="CJ86" s="377"/>
      <c r="CK86" s="377"/>
      <c r="CL86" s="750"/>
      <c r="CM86" s="386"/>
      <c r="CN86" s="751"/>
      <c r="CO86" s="751"/>
      <c r="CP86" s="751"/>
      <c r="CQ86" s="751"/>
      <c r="CR86" s="374"/>
      <c r="CS86" s="374"/>
      <c r="CT86" s="744"/>
      <c r="CU86" s="745"/>
      <c r="CV86" s="373"/>
      <c r="CW86" s="373"/>
      <c r="CX86" s="744"/>
      <c r="CY86" s="745"/>
      <c r="CZ86" s="373"/>
      <c r="DA86" s="373"/>
      <c r="DB86" s="744"/>
      <c r="DC86" s="745"/>
      <c r="DG86" s="746"/>
      <c r="DH86" s="746"/>
      <c r="DI86" s="746"/>
      <c r="DJ86" s="747"/>
      <c r="DK86" s="718"/>
      <c r="DL86" s="718"/>
    </row>
    <row r="87" spans="1:116" ht="27.75" hidden="1" customHeight="1">
      <c r="A87" s="782"/>
      <c r="B87" s="739">
        <v>1701055472</v>
      </c>
      <c r="C87" s="752" t="s">
        <v>775</v>
      </c>
      <c r="D87" s="781">
        <v>115.2</v>
      </c>
      <c r="E87" s="377">
        <v>0.11</v>
      </c>
      <c r="F87" s="777">
        <f t="shared" si="100"/>
        <v>0</v>
      </c>
      <c r="G87" s="749">
        <f t="shared" si="70"/>
        <v>-0.11</v>
      </c>
      <c r="H87" s="749">
        <f>F87/E87</f>
        <v>0</v>
      </c>
      <c r="I87" s="377"/>
      <c r="J87" s="376"/>
      <c r="K87" s="750">
        <f>J87-I87</f>
        <v>0</v>
      </c>
      <c r="L87" s="750"/>
      <c r="M87" s="377"/>
      <c r="N87" s="377"/>
      <c r="O87" s="750"/>
      <c r="P87" s="750"/>
      <c r="Q87" s="377"/>
      <c r="R87" s="377"/>
      <c r="S87" s="750"/>
      <c r="T87" s="750"/>
      <c r="U87" s="377"/>
      <c r="V87" s="377"/>
      <c r="W87" s="750"/>
      <c r="X87" s="750"/>
      <c r="Y87" s="377">
        <f>AC87</f>
        <v>0</v>
      </c>
      <c r="Z87" s="377">
        <f>AD87</f>
        <v>0</v>
      </c>
      <c r="AA87" s="750"/>
      <c r="AB87" s="750"/>
      <c r="AC87" s="377"/>
      <c r="AD87" s="377"/>
      <c r="AE87" s="750"/>
      <c r="AF87" s="750" t="e">
        <f>AD87/AC87</f>
        <v>#DIV/0!</v>
      </c>
      <c r="AG87" s="377"/>
      <c r="AH87" s="377"/>
      <c r="AI87" s="750"/>
      <c r="AJ87" s="377"/>
      <c r="AK87" s="377"/>
      <c r="AL87" s="750">
        <f t="shared" si="99"/>
        <v>0</v>
      </c>
      <c r="AM87" s="750"/>
      <c r="AN87" s="377"/>
      <c r="AO87" s="377"/>
      <c r="AP87" s="750"/>
      <c r="AQ87" s="750"/>
      <c r="AR87" s="377"/>
      <c r="AS87" s="377"/>
      <c r="AT87" s="750"/>
      <c r="AU87" s="750"/>
      <c r="AV87" s="377">
        <v>0.107</v>
      </c>
      <c r="AW87" s="377"/>
      <c r="AX87" s="750"/>
      <c r="AY87" s="757">
        <f t="shared" si="98"/>
        <v>0</v>
      </c>
      <c r="AZ87" s="377"/>
      <c r="BA87" s="377"/>
      <c r="BB87" s="750"/>
      <c r="BC87" s="750"/>
      <c r="BD87" s="377"/>
      <c r="BE87" s="377"/>
      <c r="BF87" s="750"/>
      <c r="BG87" s="750"/>
      <c r="BH87" s="377"/>
      <c r="BI87" s="377"/>
      <c r="BJ87" s="750"/>
      <c r="BK87" s="750"/>
      <c r="BL87" s="377"/>
      <c r="BM87" s="377"/>
      <c r="BN87" s="750">
        <f>BM87-BL87</f>
        <v>0</v>
      </c>
      <c r="BO87" s="750"/>
      <c r="BP87" s="377"/>
      <c r="BQ87" s="377"/>
      <c r="BR87" s="750">
        <f>BQ87-BP87</f>
        <v>0</v>
      </c>
      <c r="BS87" s="750"/>
      <c r="BT87" s="377"/>
      <c r="BU87" s="377"/>
      <c r="BV87" s="750">
        <f>BU87-BT87</f>
        <v>0</v>
      </c>
      <c r="BW87" s="750"/>
      <c r="BX87" s="377"/>
      <c r="BY87" s="377"/>
      <c r="BZ87" s="750"/>
      <c r="CA87" s="750"/>
      <c r="CB87" s="377"/>
      <c r="CC87" s="377"/>
      <c r="CD87" s="750">
        <f>CC87-CB87</f>
        <v>0</v>
      </c>
      <c r="CE87" s="750"/>
      <c r="CF87" s="377"/>
      <c r="CG87" s="377"/>
      <c r="CH87" s="750"/>
      <c r="CI87" s="750"/>
      <c r="CJ87" s="377"/>
      <c r="CK87" s="377"/>
      <c r="CL87" s="750"/>
      <c r="CM87" s="386"/>
      <c r="CN87" s="376"/>
      <c r="CO87" s="376"/>
      <c r="CP87" s="751">
        <f>CO87-CN87</f>
        <v>0</v>
      </c>
      <c r="CQ87" s="751"/>
      <c r="CR87" s="373"/>
      <c r="CS87" s="373"/>
      <c r="CT87" s="744"/>
      <c r="CU87" s="745"/>
      <c r="CV87" s="373"/>
      <c r="CW87" s="373"/>
      <c r="CX87" s="744"/>
      <c r="CY87" s="745"/>
      <c r="CZ87" s="373"/>
      <c r="DA87" s="373"/>
      <c r="DB87" s="744">
        <f>DA87-CZ87</f>
        <v>0</v>
      </c>
      <c r="DC87" s="745"/>
      <c r="DG87" s="746"/>
      <c r="DH87" s="746"/>
      <c r="DI87" s="746"/>
      <c r="DJ87" s="747"/>
      <c r="DK87" s="718"/>
      <c r="DL87" s="718"/>
    </row>
    <row r="88" spans="1:116" hidden="1">
      <c r="A88" s="738"/>
      <c r="B88" s="739"/>
      <c r="C88" s="738" t="s">
        <v>553</v>
      </c>
      <c r="D88" s="377"/>
      <c r="E88" s="377"/>
      <c r="F88" s="777">
        <f t="shared" si="100"/>
        <v>0</v>
      </c>
      <c r="G88" s="749">
        <f t="shared" si="70"/>
        <v>0</v>
      </c>
      <c r="H88" s="749">
        <v>0</v>
      </c>
      <c r="I88" s="377"/>
      <c r="J88" s="376"/>
      <c r="K88" s="750">
        <f>J88-I88</f>
        <v>0</v>
      </c>
      <c r="L88" s="755"/>
      <c r="M88" s="377"/>
      <c r="N88" s="377"/>
      <c r="O88" s="750">
        <f>N88-M88</f>
        <v>0</v>
      </c>
      <c r="P88" s="750"/>
      <c r="Q88" s="377"/>
      <c r="R88" s="377"/>
      <c r="S88" s="750">
        <f>R88-Q88</f>
        <v>0</v>
      </c>
      <c r="T88" s="750"/>
      <c r="U88" s="377"/>
      <c r="V88" s="377"/>
      <c r="W88" s="750">
        <f>V88-U88</f>
        <v>0</v>
      </c>
      <c r="X88" s="750"/>
      <c r="Y88" s="377">
        <f>AC88</f>
        <v>0</v>
      </c>
      <c r="Z88" s="377">
        <f>AD88</f>
        <v>0</v>
      </c>
      <c r="AA88" s="750">
        <f>Z88-Y88</f>
        <v>0</v>
      </c>
      <c r="AB88" s="750"/>
      <c r="AC88" s="377"/>
      <c r="AD88" s="377"/>
      <c r="AE88" s="750">
        <f>AD88-AC88</f>
        <v>0</v>
      </c>
      <c r="AF88" s="750"/>
      <c r="AG88" s="377"/>
      <c r="AH88" s="377"/>
      <c r="AI88" s="750">
        <f>AH88-AG88</f>
        <v>0</v>
      </c>
      <c r="AJ88" s="377"/>
      <c r="AK88" s="377"/>
      <c r="AL88" s="750">
        <f t="shared" si="99"/>
        <v>0</v>
      </c>
      <c r="AM88" s="750"/>
      <c r="AN88" s="377"/>
      <c r="AO88" s="377"/>
      <c r="AP88" s="750">
        <f>AO88-AN88</f>
        <v>0</v>
      </c>
      <c r="AQ88" s="750"/>
      <c r="AR88" s="750"/>
      <c r="AS88" s="750"/>
      <c r="AT88" s="750">
        <f>AS88-AR88</f>
        <v>0</v>
      </c>
      <c r="AU88" s="750"/>
      <c r="AV88" s="377"/>
      <c r="AW88" s="377"/>
      <c r="AX88" s="750">
        <f>AW88-AV88</f>
        <v>0</v>
      </c>
      <c r="AY88" s="757"/>
      <c r="AZ88" s="377"/>
      <c r="BA88" s="377"/>
      <c r="BB88" s="750">
        <f>BA88-AZ88</f>
        <v>0</v>
      </c>
      <c r="BC88" s="750"/>
      <c r="BD88" s="377"/>
      <c r="BE88" s="377"/>
      <c r="BF88" s="750">
        <f>BE88-BD88</f>
        <v>0</v>
      </c>
      <c r="BG88" s="750"/>
      <c r="BH88" s="377"/>
      <c r="BI88" s="377"/>
      <c r="BJ88" s="750">
        <f>BI88-BH88</f>
        <v>0</v>
      </c>
      <c r="BK88" s="750"/>
      <c r="BL88" s="377"/>
      <c r="BM88" s="377"/>
      <c r="BN88" s="750">
        <f>BM88-BL88</f>
        <v>0</v>
      </c>
      <c r="BO88" s="750"/>
      <c r="BP88" s="377"/>
      <c r="BQ88" s="377"/>
      <c r="BR88" s="750">
        <f>BQ88-BP88</f>
        <v>0</v>
      </c>
      <c r="BS88" s="750"/>
      <c r="BT88" s="377"/>
      <c r="BU88" s="377"/>
      <c r="BV88" s="750">
        <f t="shared" si="101"/>
        <v>0</v>
      </c>
      <c r="BW88" s="750"/>
      <c r="BX88" s="377"/>
      <c r="BY88" s="377"/>
      <c r="BZ88" s="750">
        <f>BY88-BX88</f>
        <v>0</v>
      </c>
      <c r="CA88" s="750"/>
      <c r="CB88" s="377"/>
      <c r="CC88" s="377"/>
      <c r="CD88" s="750">
        <f t="shared" si="102"/>
        <v>0</v>
      </c>
      <c r="CE88" s="750"/>
      <c r="CF88" s="377"/>
      <c r="CG88" s="377"/>
      <c r="CH88" s="750">
        <f>CG88-CF88</f>
        <v>0</v>
      </c>
      <c r="CI88" s="750"/>
      <c r="CJ88" s="377"/>
      <c r="CK88" s="377"/>
      <c r="CL88" s="750">
        <f>CK88-CJ88</f>
        <v>0</v>
      </c>
      <c r="CM88" s="386"/>
      <c r="CN88" s="751"/>
      <c r="CO88" s="751"/>
      <c r="CP88" s="751">
        <f>CO88-CN88</f>
        <v>0</v>
      </c>
      <c r="CQ88" s="751"/>
      <c r="CR88" s="374"/>
      <c r="CS88" s="374"/>
      <c r="CT88" s="744">
        <f>CS88-CR88</f>
        <v>0</v>
      </c>
      <c r="CU88" s="745"/>
      <c r="CV88" s="373"/>
      <c r="CW88" s="373"/>
      <c r="CX88" s="744">
        <f>CW88-CV88</f>
        <v>0</v>
      </c>
      <c r="CY88" s="745"/>
      <c r="CZ88" s="373"/>
      <c r="DA88" s="373"/>
      <c r="DB88" s="744">
        <f t="shared" si="103"/>
        <v>0</v>
      </c>
      <c r="DC88" s="745"/>
      <c r="DG88" s="746"/>
      <c r="DH88" s="746"/>
      <c r="DI88" s="746"/>
      <c r="DJ88" s="747"/>
      <c r="DK88" s="718"/>
      <c r="DL88" s="718"/>
    </row>
    <row r="89" spans="1:116" hidden="1">
      <c r="A89" s="738"/>
      <c r="B89" s="739">
        <v>1718000658</v>
      </c>
      <c r="C89" s="738" t="s">
        <v>361</v>
      </c>
      <c r="D89" s="377">
        <v>2.9</v>
      </c>
      <c r="E89" s="377">
        <v>2.62</v>
      </c>
      <c r="F89" s="777">
        <f t="shared" si="100"/>
        <v>0</v>
      </c>
      <c r="G89" s="749">
        <f t="shared" si="70"/>
        <v>-2.62</v>
      </c>
      <c r="H89" s="749">
        <f t="shared" si="96"/>
        <v>0</v>
      </c>
      <c r="I89" s="377"/>
      <c r="J89" s="376"/>
      <c r="K89" s="750">
        <f t="shared" si="71"/>
        <v>0</v>
      </c>
      <c r="L89" s="755"/>
      <c r="M89" s="377">
        <v>2.617</v>
      </c>
      <c r="N89" s="377"/>
      <c r="O89" s="750">
        <f>N89-M89</f>
        <v>-2.617</v>
      </c>
      <c r="P89" s="750"/>
      <c r="Q89" s="377"/>
      <c r="R89" s="377"/>
      <c r="S89" s="750">
        <f>R89-Q89</f>
        <v>0</v>
      </c>
      <c r="T89" s="750"/>
      <c r="U89" s="377"/>
      <c r="V89" s="377"/>
      <c r="W89" s="750">
        <f>V89-U89</f>
        <v>0</v>
      </c>
      <c r="X89" s="750"/>
      <c r="Y89" s="377">
        <f t="shared" si="75"/>
        <v>0</v>
      </c>
      <c r="Z89" s="377">
        <f t="shared" si="75"/>
        <v>0</v>
      </c>
      <c r="AA89" s="750">
        <f>Z89-Y89</f>
        <v>0</v>
      </c>
      <c r="AB89" s="750"/>
      <c r="AC89" s="377"/>
      <c r="AD89" s="377"/>
      <c r="AE89" s="750">
        <f>AD89-AC89</f>
        <v>0</v>
      </c>
      <c r="AF89" s="750"/>
      <c r="AG89" s="377"/>
      <c r="AH89" s="377"/>
      <c r="AI89" s="750">
        <f>AH89-AG89</f>
        <v>0</v>
      </c>
      <c r="AJ89" s="377"/>
      <c r="AK89" s="377"/>
      <c r="AL89" s="750">
        <f t="shared" si="99"/>
        <v>0</v>
      </c>
      <c r="AM89" s="750"/>
      <c r="AN89" s="377"/>
      <c r="AO89" s="377"/>
      <c r="AP89" s="750">
        <f>AO89-AN89</f>
        <v>0</v>
      </c>
      <c r="AQ89" s="750"/>
      <c r="AR89" s="750"/>
      <c r="AS89" s="750"/>
      <c r="AT89" s="750">
        <f>AS89-AR89</f>
        <v>0</v>
      </c>
      <c r="AU89" s="750"/>
      <c r="AV89" s="377"/>
      <c r="AW89" s="377"/>
      <c r="AX89" s="750">
        <f>AW89-AV89</f>
        <v>0</v>
      </c>
      <c r="AY89" s="757"/>
      <c r="AZ89" s="377"/>
      <c r="BA89" s="377"/>
      <c r="BB89" s="750">
        <f>BA89-AZ89</f>
        <v>0</v>
      </c>
      <c r="BC89" s="750"/>
      <c r="BD89" s="377"/>
      <c r="BE89" s="377"/>
      <c r="BF89" s="750">
        <f>BE89-BD89</f>
        <v>0</v>
      </c>
      <c r="BG89" s="750"/>
      <c r="BH89" s="377"/>
      <c r="BI89" s="377"/>
      <c r="BJ89" s="750">
        <f>BI89-BH89</f>
        <v>0</v>
      </c>
      <c r="BK89" s="750"/>
      <c r="BL89" s="377"/>
      <c r="BM89" s="377"/>
      <c r="BN89" s="750">
        <f t="shared" si="51"/>
        <v>0</v>
      </c>
      <c r="BO89" s="750"/>
      <c r="BP89" s="377"/>
      <c r="BQ89" s="377"/>
      <c r="BR89" s="750">
        <f t="shared" si="68"/>
        <v>0</v>
      </c>
      <c r="BS89" s="750"/>
      <c r="BT89" s="377"/>
      <c r="BU89" s="377"/>
      <c r="BV89" s="750">
        <f t="shared" si="101"/>
        <v>0</v>
      </c>
      <c r="BW89" s="750"/>
      <c r="BX89" s="377"/>
      <c r="BY89" s="377"/>
      <c r="BZ89" s="750">
        <f>BY89-BX89</f>
        <v>0</v>
      </c>
      <c r="CA89" s="750"/>
      <c r="CB89" s="377"/>
      <c r="CC89" s="377"/>
      <c r="CD89" s="750">
        <f t="shared" si="102"/>
        <v>0</v>
      </c>
      <c r="CE89" s="750"/>
      <c r="CF89" s="377"/>
      <c r="CG89" s="377"/>
      <c r="CH89" s="750">
        <f>CG89-CF89</f>
        <v>0</v>
      </c>
      <c r="CI89" s="750"/>
      <c r="CJ89" s="377"/>
      <c r="CK89" s="377"/>
      <c r="CL89" s="750">
        <f>CK89-CJ89</f>
        <v>0</v>
      </c>
      <c r="CM89" s="386"/>
      <c r="CN89" s="751"/>
      <c r="CO89" s="751"/>
      <c r="CP89" s="751">
        <f>CO89-CN89</f>
        <v>0</v>
      </c>
      <c r="CQ89" s="751"/>
      <c r="CR89" s="374"/>
      <c r="CS89" s="374"/>
      <c r="CT89" s="744">
        <f>CS89-CR89</f>
        <v>0</v>
      </c>
      <c r="CU89" s="745"/>
      <c r="CV89" s="373"/>
      <c r="CW89" s="373"/>
      <c r="CX89" s="744">
        <f>CW89-CV89</f>
        <v>0</v>
      </c>
      <c r="CY89" s="745"/>
      <c r="CZ89" s="373"/>
      <c r="DA89" s="373"/>
      <c r="DB89" s="744">
        <f t="shared" si="103"/>
        <v>0</v>
      </c>
      <c r="DC89" s="745"/>
      <c r="DG89" s="746"/>
      <c r="DH89" s="746"/>
      <c r="DI89" s="746"/>
      <c r="DJ89" s="747"/>
      <c r="DK89" s="718"/>
      <c r="DL89" s="718"/>
    </row>
    <row r="90" spans="1:116" s="734" customFormat="1" ht="27" customHeight="1">
      <c r="A90" s="723" t="s">
        <v>362</v>
      </c>
      <c r="B90" s="724"/>
      <c r="C90" s="725" t="s">
        <v>363</v>
      </c>
      <c r="D90" s="755">
        <f>SUM(D92:D141)</f>
        <v>6249.4</v>
      </c>
      <c r="E90" s="755">
        <f>SUM(E92:E141)</f>
        <v>2852.0269999999991</v>
      </c>
      <c r="F90" s="733">
        <f>SUM(F92:F141)</f>
        <v>167.42660999999998</v>
      </c>
      <c r="G90" s="749">
        <f t="shared" si="70"/>
        <v>-2684.6003899999992</v>
      </c>
      <c r="H90" s="762">
        <f>F90/E90</f>
        <v>5.8704426711247835E-2</v>
      </c>
      <c r="I90" s="755">
        <f>SUM(I92:I141)</f>
        <v>1972.0224599999997</v>
      </c>
      <c r="J90" s="755">
        <f>SUM(J92:J141)</f>
        <v>0</v>
      </c>
      <c r="K90" s="755">
        <f>SUM(K92:K141)</f>
        <v>-1971.9924599999997</v>
      </c>
      <c r="L90" s="755">
        <f>J90/I90</f>
        <v>0</v>
      </c>
      <c r="M90" s="755">
        <f>SUM(M92:M141)</f>
        <v>15.315999999999999</v>
      </c>
      <c r="N90" s="755">
        <f t="shared" ref="N90:CG90" si="104">SUM(N92:N141)</f>
        <v>4.9189999999999996</v>
      </c>
      <c r="O90" s="755">
        <f t="shared" si="104"/>
        <v>-10.397</v>
      </c>
      <c r="P90" s="755">
        <f>N90/M90</f>
        <v>0.32116740663358578</v>
      </c>
      <c r="Q90" s="755">
        <f>SUM(Q92:Q141)</f>
        <v>6.0000000000000001E-3</v>
      </c>
      <c r="R90" s="755">
        <f t="shared" si="104"/>
        <v>98.914989999999989</v>
      </c>
      <c r="S90" s="755">
        <f t="shared" si="104"/>
        <v>98.908989999999989</v>
      </c>
      <c r="T90" s="755">
        <v>0</v>
      </c>
      <c r="U90" s="755">
        <f>SUM(U92:U141)</f>
        <v>0</v>
      </c>
      <c r="V90" s="755">
        <f t="shared" si="104"/>
        <v>0</v>
      </c>
      <c r="W90" s="755">
        <f t="shared" si="104"/>
        <v>0</v>
      </c>
      <c r="X90" s="755">
        <v>0</v>
      </c>
      <c r="Y90" s="755">
        <f>SUM(Y92:Y141)</f>
        <v>0</v>
      </c>
      <c r="Z90" s="755">
        <f t="shared" si="104"/>
        <v>0</v>
      </c>
      <c r="AA90" s="755">
        <f t="shared" si="104"/>
        <v>0</v>
      </c>
      <c r="AB90" s="755" t="e">
        <f t="shared" si="104"/>
        <v>#DIV/0!</v>
      </c>
      <c r="AC90" s="755">
        <f>SUM(AC92:AC141)</f>
        <v>0</v>
      </c>
      <c r="AD90" s="755">
        <f t="shared" si="104"/>
        <v>0</v>
      </c>
      <c r="AE90" s="755">
        <f t="shared" si="104"/>
        <v>0</v>
      </c>
      <c r="AF90" s="755" t="e">
        <f t="shared" si="104"/>
        <v>#DIV/0!</v>
      </c>
      <c r="AG90" s="755">
        <f>SUM(AG92:AG141)</f>
        <v>0</v>
      </c>
      <c r="AH90" s="755">
        <f t="shared" si="104"/>
        <v>0</v>
      </c>
      <c r="AI90" s="755">
        <f t="shared" si="104"/>
        <v>0</v>
      </c>
      <c r="AJ90" s="755">
        <f>SUM(AJ92:AJ141)</f>
        <v>48.493000000000002</v>
      </c>
      <c r="AK90" s="755">
        <f t="shared" si="104"/>
        <v>20.9</v>
      </c>
      <c r="AL90" s="755">
        <f t="shared" si="104"/>
        <v>-48.493000000000002</v>
      </c>
      <c r="AM90" s="755">
        <f>AK90/AJ90</f>
        <v>0.43099003979955863</v>
      </c>
      <c r="AN90" s="755">
        <f>SUM(AN92:AN141)</f>
        <v>0</v>
      </c>
      <c r="AO90" s="755">
        <f t="shared" si="104"/>
        <v>0</v>
      </c>
      <c r="AP90" s="755">
        <f t="shared" si="104"/>
        <v>0</v>
      </c>
      <c r="AQ90" s="755"/>
      <c r="AR90" s="755">
        <f t="shared" si="104"/>
        <v>0</v>
      </c>
      <c r="AS90" s="755">
        <f t="shared" si="104"/>
        <v>0</v>
      </c>
      <c r="AT90" s="755">
        <f t="shared" si="104"/>
        <v>0</v>
      </c>
      <c r="AU90" s="755" t="e">
        <f>AS90/AR90</f>
        <v>#DIV/0!</v>
      </c>
      <c r="AV90" s="755">
        <f>SUM(AV92:AV141)</f>
        <v>2.6869999999999998</v>
      </c>
      <c r="AW90" s="755">
        <f t="shared" si="104"/>
        <v>0</v>
      </c>
      <c r="AX90" s="755">
        <f t="shared" si="104"/>
        <v>-2.6869999999999998</v>
      </c>
      <c r="AY90" s="755">
        <f>AW90/AV90</f>
        <v>0</v>
      </c>
      <c r="AZ90" s="755">
        <f t="shared" si="104"/>
        <v>0</v>
      </c>
      <c r="BA90" s="755">
        <f t="shared" si="104"/>
        <v>0</v>
      </c>
      <c r="BB90" s="755">
        <f t="shared" si="104"/>
        <v>0</v>
      </c>
      <c r="BC90" s="755">
        <f t="shared" si="104"/>
        <v>0</v>
      </c>
      <c r="BD90" s="755">
        <f>SUM(BD92:BD141)</f>
        <v>0</v>
      </c>
      <c r="BE90" s="755">
        <f t="shared" si="104"/>
        <v>0</v>
      </c>
      <c r="BF90" s="755">
        <f t="shared" si="104"/>
        <v>0</v>
      </c>
      <c r="BG90" s="755">
        <f t="shared" si="104"/>
        <v>0</v>
      </c>
      <c r="BH90" s="755">
        <f>SUM(BH92:BH141)</f>
        <v>0</v>
      </c>
      <c r="BI90" s="755">
        <f t="shared" si="104"/>
        <v>0</v>
      </c>
      <c r="BJ90" s="755">
        <f t="shared" si="104"/>
        <v>0</v>
      </c>
      <c r="BK90" s="755">
        <f t="shared" si="104"/>
        <v>0</v>
      </c>
      <c r="BL90" s="755">
        <f>SUM(BL93:BL141)</f>
        <v>70.810999999999993</v>
      </c>
      <c r="BM90" s="755">
        <f>SUM(BM93:BM141)</f>
        <v>4.5119999999999996</v>
      </c>
      <c r="BN90" s="750">
        <f t="shared" si="51"/>
        <v>-66.298999999999992</v>
      </c>
      <c r="BO90" s="757">
        <f>BM90/BL90</f>
        <v>6.3718913728093088E-2</v>
      </c>
      <c r="BP90" s="755">
        <f>SUM(BP93:BP141)</f>
        <v>2.2330000000000001</v>
      </c>
      <c r="BQ90" s="755">
        <f>SUM(BQ93:BQ141)</f>
        <v>23.004829999999998</v>
      </c>
      <c r="BR90" s="750">
        <f t="shared" si="68"/>
        <v>20.771829999999998</v>
      </c>
      <c r="BS90" s="757">
        <f>BQ90/BP90</f>
        <v>10.30220779220779</v>
      </c>
      <c r="BT90" s="755">
        <f>SUM(BT93:BT141)</f>
        <v>0</v>
      </c>
      <c r="BU90" s="755">
        <f>SUM(BU93:BU141)</f>
        <v>0</v>
      </c>
      <c r="BV90" s="750">
        <f t="shared" si="101"/>
        <v>0</v>
      </c>
      <c r="BW90" s="757" t="e">
        <f>BU90/BT90</f>
        <v>#DIV/0!</v>
      </c>
      <c r="BX90" s="755">
        <f>SUM(BX92:BX141)</f>
        <v>0</v>
      </c>
      <c r="BY90" s="755">
        <f t="shared" si="104"/>
        <v>0</v>
      </c>
      <c r="BZ90" s="755">
        <f t="shared" si="104"/>
        <v>0</v>
      </c>
      <c r="CA90" s="755" t="e">
        <f t="shared" si="104"/>
        <v>#DIV/0!</v>
      </c>
      <c r="CB90" s="755">
        <f>SUM(CB93:CB141)</f>
        <v>0</v>
      </c>
      <c r="CC90" s="755">
        <f>SUM(CC93:CC141)</f>
        <v>0</v>
      </c>
      <c r="CD90" s="750">
        <f t="shared" si="102"/>
        <v>0</v>
      </c>
      <c r="CE90" s="757"/>
      <c r="CF90" s="755">
        <f>SUM(CF92:CF141)</f>
        <v>739.125</v>
      </c>
      <c r="CG90" s="755">
        <f t="shared" si="104"/>
        <v>9.9149999999999991</v>
      </c>
      <c r="CH90" s="755">
        <f t="shared" ref="CH90:CP90" si="105">SUM(CH92:CH141)</f>
        <v>-739.04399999999998</v>
      </c>
      <c r="CI90" s="751">
        <f t="shared" ref="CI90:CI93" si="106">CG90/CF90</f>
        <v>1.341451040081177E-2</v>
      </c>
      <c r="CJ90" s="755">
        <f t="shared" si="105"/>
        <v>1.2890000000000001</v>
      </c>
      <c r="CK90" s="755">
        <f t="shared" si="105"/>
        <v>5.2607900000000001</v>
      </c>
      <c r="CL90" s="755">
        <f t="shared" si="105"/>
        <v>3.9717899999999999</v>
      </c>
      <c r="CM90" s="386">
        <f t="shared" ref="CM90:CM96" si="107">CK90/CJ90</f>
        <v>4.081295577967416</v>
      </c>
      <c r="CN90" s="733">
        <f t="shared" si="105"/>
        <v>0</v>
      </c>
      <c r="CO90" s="733">
        <f t="shared" si="105"/>
        <v>0</v>
      </c>
      <c r="CP90" s="733">
        <f t="shared" si="105"/>
        <v>0</v>
      </c>
      <c r="CQ90" s="733"/>
      <c r="CR90" s="759">
        <f t="shared" ref="CR90:CW90" si="108">SUM(CR92:CR141)</f>
        <v>0</v>
      </c>
      <c r="CS90" s="759">
        <f t="shared" si="108"/>
        <v>0</v>
      </c>
      <c r="CT90" s="759">
        <f t="shared" si="108"/>
        <v>0</v>
      </c>
      <c r="CU90" s="759" t="e">
        <f t="shared" si="108"/>
        <v>#DIV/0!</v>
      </c>
      <c r="CV90" s="759">
        <f t="shared" si="108"/>
        <v>0</v>
      </c>
      <c r="CW90" s="759">
        <f t="shared" si="108"/>
        <v>0</v>
      </c>
      <c r="CX90" s="731"/>
      <c r="CY90" s="732"/>
      <c r="CZ90" s="759">
        <f>SUM(CZ93:CZ141)</f>
        <v>0</v>
      </c>
      <c r="DA90" s="759">
        <f>SUM(DA93:DA141)</f>
        <v>0</v>
      </c>
      <c r="DB90" s="744">
        <f t="shared" si="103"/>
        <v>0</v>
      </c>
      <c r="DC90" s="732"/>
      <c r="DG90" s="735"/>
      <c r="DH90" s="733">
        <f t="shared" ref="DH90" si="109">SUM(DH92:DH141)</f>
        <v>0</v>
      </c>
      <c r="DI90" s="735"/>
      <c r="DJ90" s="736"/>
      <c r="DK90" s="737"/>
      <c r="DL90" s="737"/>
    </row>
    <row r="91" spans="1:116" ht="12.75" hidden="1" customHeight="1">
      <c r="A91" s="782"/>
      <c r="B91" s="739"/>
      <c r="C91" s="752" t="s">
        <v>364</v>
      </c>
      <c r="D91" s="753"/>
      <c r="E91" s="377">
        <f t="shared" ref="E91:E137" si="110">I91+M91+Q91+U91+Y91+AJ91+AN91+AR91+AV91+BD91+BH91+BX91+CF91+CJ91+CN91+CR91+CV91+CZ91+AZ91+BL91+BT91</f>
        <v>0</v>
      </c>
      <c r="F91" s="376">
        <f t="shared" ref="F91:F141" si="111">J91+N91+R91+V91+Z91+AK91+AO91+AS91+AW91+BE91+BI91+BY91+CG91+CK91+CO91+CS91+CW91+DA91+BA91+BM91+BU91+BQ91</f>
        <v>0</v>
      </c>
      <c r="G91" s="749">
        <f t="shared" si="70"/>
        <v>0</v>
      </c>
      <c r="H91" s="749" t="e">
        <f t="shared" si="96"/>
        <v>#DIV/0!</v>
      </c>
      <c r="I91" s="377"/>
      <c r="J91" s="377"/>
      <c r="K91" s="750">
        <f>J91-I91</f>
        <v>0</v>
      </c>
      <c r="L91" s="755" t="e">
        <f t="shared" ref="L91:L95" si="112">J91/I91</f>
        <v>#DIV/0!</v>
      </c>
      <c r="M91" s="377"/>
      <c r="N91" s="377"/>
      <c r="O91" s="750"/>
      <c r="P91" s="750"/>
      <c r="Q91" s="377"/>
      <c r="R91" s="377"/>
      <c r="S91" s="750"/>
      <c r="T91" s="750"/>
      <c r="U91" s="377"/>
      <c r="V91" s="377"/>
      <c r="W91" s="750"/>
      <c r="X91" s="750"/>
      <c r="Y91" s="377">
        <f t="shared" ref="Y91:Z132" si="113">AC91</f>
        <v>0</v>
      </c>
      <c r="Z91" s="377">
        <f t="shared" si="113"/>
        <v>0</v>
      </c>
      <c r="AA91" s="750"/>
      <c r="AB91" s="750"/>
      <c r="AC91" s="377"/>
      <c r="AD91" s="377"/>
      <c r="AE91" s="750">
        <f>AD91-AC91</f>
        <v>0</v>
      </c>
      <c r="AF91" s="750" t="e">
        <f>AD91/AC91</f>
        <v>#DIV/0!</v>
      </c>
      <c r="AG91" s="377"/>
      <c r="AH91" s="377"/>
      <c r="AI91" s="750"/>
      <c r="AJ91" s="377"/>
      <c r="AK91" s="377"/>
      <c r="AL91" s="750">
        <f>AK91-AJ91</f>
        <v>0</v>
      </c>
      <c r="AM91" s="750"/>
      <c r="AN91" s="377"/>
      <c r="AO91" s="377"/>
      <c r="AP91" s="750"/>
      <c r="AQ91" s="750"/>
      <c r="AR91" s="377"/>
      <c r="AS91" s="377"/>
      <c r="AT91" s="750">
        <f>AS91-AR91</f>
        <v>0</v>
      </c>
      <c r="AU91" s="750"/>
      <c r="AV91" s="377"/>
      <c r="AW91" s="377"/>
      <c r="AX91" s="750"/>
      <c r="AY91" s="750"/>
      <c r="AZ91" s="377"/>
      <c r="BA91" s="377"/>
      <c r="BB91" s="750"/>
      <c r="BC91" s="750"/>
      <c r="BD91" s="377"/>
      <c r="BE91" s="377"/>
      <c r="BF91" s="750"/>
      <c r="BG91" s="750"/>
      <c r="BH91" s="377"/>
      <c r="BI91" s="377"/>
      <c r="BJ91" s="750"/>
      <c r="BK91" s="750"/>
      <c r="BL91" s="377"/>
      <c r="BM91" s="377"/>
      <c r="BN91" s="750">
        <f t="shared" si="51"/>
        <v>0</v>
      </c>
      <c r="BO91" s="750"/>
      <c r="BP91" s="377"/>
      <c r="BQ91" s="377"/>
      <c r="BR91" s="750">
        <f t="shared" si="68"/>
        <v>0</v>
      </c>
      <c r="BS91" s="750"/>
      <c r="BT91" s="377"/>
      <c r="BU91" s="377"/>
      <c r="BV91" s="750">
        <f t="shared" si="101"/>
        <v>0</v>
      </c>
      <c r="BW91" s="750"/>
      <c r="BX91" s="377"/>
      <c r="BY91" s="377"/>
      <c r="BZ91" s="750"/>
      <c r="CA91" s="750"/>
      <c r="CB91" s="377"/>
      <c r="CC91" s="377"/>
      <c r="CD91" s="750">
        <f t="shared" si="102"/>
        <v>0</v>
      </c>
      <c r="CE91" s="750"/>
      <c r="CF91" s="377"/>
      <c r="CG91" s="376"/>
      <c r="CH91" s="751"/>
      <c r="CI91" s="751" t="e">
        <f t="shared" si="106"/>
        <v>#DIV/0!</v>
      </c>
      <c r="CJ91" s="376"/>
      <c r="CK91" s="376"/>
      <c r="CL91" s="750"/>
      <c r="CM91" s="386" t="e">
        <f t="shared" si="107"/>
        <v>#DIV/0!</v>
      </c>
      <c r="CN91" s="376"/>
      <c r="CO91" s="376"/>
      <c r="CP91" s="751">
        <f>CO91-CN91</f>
        <v>0</v>
      </c>
      <c r="CQ91" s="751"/>
      <c r="CR91" s="373"/>
      <c r="CS91" s="373"/>
      <c r="CT91" s="744"/>
      <c r="CU91" s="745"/>
      <c r="CV91" s="373"/>
      <c r="CW91" s="373"/>
      <c r="CX91" s="744"/>
      <c r="CY91" s="745"/>
      <c r="CZ91" s="373"/>
      <c r="DA91" s="373"/>
      <c r="DB91" s="744">
        <f t="shared" si="103"/>
        <v>0</v>
      </c>
      <c r="DC91" s="745"/>
      <c r="DG91" s="746"/>
      <c r="DH91" s="746"/>
      <c r="DI91" s="746"/>
      <c r="DJ91" s="747"/>
      <c r="DK91" s="718"/>
      <c r="DL91" s="718"/>
    </row>
    <row r="92" spans="1:116" ht="16.5" customHeight="1">
      <c r="A92" s="782"/>
      <c r="B92" s="771" t="s">
        <v>847</v>
      </c>
      <c r="C92" s="752" t="s">
        <v>554</v>
      </c>
      <c r="D92" s="753">
        <v>778.2</v>
      </c>
      <c r="E92" s="377">
        <v>1.6</v>
      </c>
      <c r="F92" s="783">
        <f t="shared" si="111"/>
        <v>30.733999999999998</v>
      </c>
      <c r="G92" s="749">
        <f t="shared" si="70"/>
        <v>29.133999999999997</v>
      </c>
      <c r="H92" s="749">
        <f t="shared" si="96"/>
        <v>19.208749999999998</v>
      </c>
      <c r="I92" s="377">
        <v>0.03</v>
      </c>
      <c r="J92" s="377"/>
      <c r="K92" s="750"/>
      <c r="L92" s="755">
        <f t="shared" si="112"/>
        <v>0</v>
      </c>
      <c r="M92" s="377">
        <v>1.601</v>
      </c>
      <c r="N92" s="377"/>
      <c r="O92" s="750">
        <f t="shared" ref="O92:O132" si="114">N92-M92</f>
        <v>-1.601</v>
      </c>
      <c r="P92" s="750"/>
      <c r="Q92" s="377"/>
      <c r="R92" s="377"/>
      <c r="S92" s="750">
        <f t="shared" ref="S92:S132" si="115">R92-Q92</f>
        <v>0</v>
      </c>
      <c r="T92" s="750"/>
      <c r="U92" s="377"/>
      <c r="V92" s="377"/>
      <c r="W92" s="750">
        <f t="shared" ref="W92:W132" si="116">V92-U92</f>
        <v>0</v>
      </c>
      <c r="X92" s="750"/>
      <c r="Y92" s="377">
        <f t="shared" si="113"/>
        <v>0</v>
      </c>
      <c r="Z92" s="377">
        <f t="shared" si="113"/>
        <v>0</v>
      </c>
      <c r="AA92" s="750"/>
      <c r="AB92" s="750"/>
      <c r="AC92" s="377"/>
      <c r="AD92" s="377"/>
      <c r="AE92" s="750"/>
      <c r="AF92" s="750"/>
      <c r="AG92" s="377"/>
      <c r="AH92" s="377"/>
      <c r="AI92" s="750"/>
      <c r="AJ92" s="377"/>
      <c r="AK92" s="376">
        <v>20.9</v>
      </c>
      <c r="AL92" s="750"/>
      <c r="AM92" s="750"/>
      <c r="AN92" s="377"/>
      <c r="AO92" s="377"/>
      <c r="AP92" s="750">
        <f t="shared" ref="AP92:AP143" si="117">AO92-AN92</f>
        <v>0</v>
      </c>
      <c r="AQ92" s="750"/>
      <c r="AR92" s="377"/>
      <c r="AS92" s="377"/>
      <c r="AT92" s="750"/>
      <c r="AU92" s="750"/>
      <c r="AV92" s="377"/>
      <c r="AW92" s="377"/>
      <c r="AX92" s="750"/>
      <c r="AY92" s="750"/>
      <c r="AZ92" s="377"/>
      <c r="BA92" s="377"/>
      <c r="BB92" s="750"/>
      <c r="BC92" s="750"/>
      <c r="BD92" s="377"/>
      <c r="BE92" s="377"/>
      <c r="BF92" s="750"/>
      <c r="BG92" s="750"/>
      <c r="BH92" s="377"/>
      <c r="BI92" s="377"/>
      <c r="BJ92" s="750"/>
      <c r="BK92" s="750"/>
      <c r="BL92" s="377"/>
      <c r="BM92" s="377"/>
      <c r="BN92" s="750"/>
      <c r="BO92" s="750"/>
      <c r="BP92" s="377"/>
      <c r="BQ92" s="377"/>
      <c r="BR92" s="750"/>
      <c r="BS92" s="750"/>
      <c r="BT92" s="377"/>
      <c r="BU92" s="377"/>
      <c r="BV92" s="750"/>
      <c r="BW92" s="750"/>
      <c r="BX92" s="377"/>
      <c r="BY92" s="377"/>
      <c r="BZ92" s="750"/>
      <c r="CA92" s="750"/>
      <c r="CB92" s="377"/>
      <c r="CC92" s="377"/>
      <c r="CD92" s="750"/>
      <c r="CE92" s="750"/>
      <c r="CF92" s="377"/>
      <c r="CG92" s="376">
        <v>9.8339999999999996</v>
      </c>
      <c r="CH92" s="751"/>
      <c r="CI92" s="751"/>
      <c r="CJ92" s="376"/>
      <c r="CK92" s="376"/>
      <c r="CL92" s="750"/>
      <c r="CM92" s="386"/>
      <c r="CN92" s="376"/>
      <c r="CO92" s="376"/>
      <c r="CP92" s="751"/>
      <c r="CQ92" s="751"/>
      <c r="CR92" s="373"/>
      <c r="CS92" s="373"/>
      <c r="CT92" s="744"/>
      <c r="CU92" s="745"/>
      <c r="CV92" s="373"/>
      <c r="CW92" s="373"/>
      <c r="CX92" s="744"/>
      <c r="CY92" s="745"/>
      <c r="CZ92" s="373"/>
      <c r="DA92" s="373"/>
      <c r="DB92" s="744"/>
      <c r="DC92" s="745"/>
      <c r="DG92" s="746"/>
      <c r="DH92" s="746"/>
      <c r="DI92" s="746"/>
      <c r="DJ92" s="747"/>
      <c r="DK92" s="718"/>
      <c r="DL92" s="718"/>
    </row>
    <row r="93" spans="1:116" ht="12.75" hidden="1" customHeight="1">
      <c r="A93" s="738"/>
      <c r="B93" s="739"/>
      <c r="C93" s="738" t="s">
        <v>365</v>
      </c>
      <c r="D93" s="748"/>
      <c r="E93" s="377">
        <f t="shared" si="110"/>
        <v>0</v>
      </c>
      <c r="F93" s="783">
        <f t="shared" si="111"/>
        <v>0</v>
      </c>
      <c r="G93" s="749">
        <f t="shared" si="70"/>
        <v>0</v>
      </c>
      <c r="H93" s="749" t="e">
        <f t="shared" si="96"/>
        <v>#DIV/0!</v>
      </c>
      <c r="I93" s="377"/>
      <c r="J93" s="377"/>
      <c r="K93" s="750">
        <f t="shared" ref="K93:K143" si="118">J93-I93</f>
        <v>0</v>
      </c>
      <c r="L93" s="755" t="e">
        <f t="shared" si="112"/>
        <v>#DIV/0!</v>
      </c>
      <c r="M93" s="377"/>
      <c r="N93" s="377"/>
      <c r="O93" s="750">
        <f t="shared" si="114"/>
        <v>0</v>
      </c>
      <c r="P93" s="750"/>
      <c r="Q93" s="377"/>
      <c r="R93" s="377"/>
      <c r="S93" s="750">
        <f t="shared" si="115"/>
        <v>0</v>
      </c>
      <c r="T93" s="750"/>
      <c r="U93" s="377"/>
      <c r="V93" s="377"/>
      <c r="W93" s="750">
        <f t="shared" si="116"/>
        <v>0</v>
      </c>
      <c r="X93" s="750"/>
      <c r="Y93" s="377">
        <f t="shared" si="113"/>
        <v>0</v>
      </c>
      <c r="Z93" s="377">
        <f t="shared" si="113"/>
        <v>0</v>
      </c>
      <c r="AA93" s="750">
        <f t="shared" ref="AA93:AA132" si="119">Z93-Y93</f>
        <v>0</v>
      </c>
      <c r="AB93" s="750"/>
      <c r="AC93" s="377"/>
      <c r="AD93" s="377"/>
      <c r="AE93" s="750">
        <f t="shared" ref="AE93:AE127" si="120">AD93-AC93</f>
        <v>0</v>
      </c>
      <c r="AF93" s="750" t="e">
        <f>AD93/AC93</f>
        <v>#DIV/0!</v>
      </c>
      <c r="AG93" s="377"/>
      <c r="AH93" s="377"/>
      <c r="AI93" s="750"/>
      <c r="AJ93" s="377"/>
      <c r="AK93" s="377"/>
      <c r="AL93" s="750">
        <f t="shared" ref="AL93:AL132" si="121">AK93-AJ93</f>
        <v>0</v>
      </c>
      <c r="AM93" s="750"/>
      <c r="AN93" s="377"/>
      <c r="AO93" s="377"/>
      <c r="AP93" s="750">
        <f t="shared" si="117"/>
        <v>0</v>
      </c>
      <c r="AQ93" s="750"/>
      <c r="AR93" s="750"/>
      <c r="AS93" s="750"/>
      <c r="AT93" s="750">
        <f>AS93-AR93</f>
        <v>0</v>
      </c>
      <c r="AU93" s="750"/>
      <c r="AV93" s="377"/>
      <c r="AW93" s="377"/>
      <c r="AX93" s="750">
        <f t="shared" ref="AX93:AX144" si="122">AW93-AV93</f>
        <v>0</v>
      </c>
      <c r="AY93" s="750"/>
      <c r="AZ93" s="377"/>
      <c r="BA93" s="377"/>
      <c r="BB93" s="750">
        <v>0</v>
      </c>
      <c r="BC93" s="750"/>
      <c r="BD93" s="377"/>
      <c r="BE93" s="377"/>
      <c r="BF93" s="750">
        <f t="shared" ref="BF93:BF145" si="123">BE93-BD93</f>
        <v>0</v>
      </c>
      <c r="BG93" s="750"/>
      <c r="BH93" s="377"/>
      <c r="BI93" s="377"/>
      <c r="BJ93" s="750">
        <f t="shared" ref="BJ93:BJ145" si="124">BI93-BH93</f>
        <v>0</v>
      </c>
      <c r="BK93" s="750"/>
      <c r="BL93" s="377"/>
      <c r="BM93" s="377"/>
      <c r="BN93" s="750">
        <f t="shared" ref="BN93:BN144" si="125">BM93-BL93</f>
        <v>0</v>
      </c>
      <c r="BO93" s="750"/>
      <c r="BP93" s="377"/>
      <c r="BQ93" s="377"/>
      <c r="BR93" s="750">
        <f t="shared" ref="BR93:BR144" si="126">BQ93-BP93</f>
        <v>0</v>
      </c>
      <c r="BS93" s="750"/>
      <c r="BT93" s="377"/>
      <c r="BU93" s="377"/>
      <c r="BV93" s="750">
        <f t="shared" ref="BV93:BV144" si="127">BU93-BT93</f>
        <v>0</v>
      </c>
      <c r="BW93" s="750"/>
      <c r="BX93" s="377"/>
      <c r="BY93" s="377"/>
      <c r="BZ93" s="750">
        <f t="shared" ref="BZ93:BZ145" si="128">BY93-BX93</f>
        <v>0</v>
      </c>
      <c r="CA93" s="750"/>
      <c r="CB93" s="377"/>
      <c r="CC93" s="377"/>
      <c r="CD93" s="750">
        <f t="shared" ref="CD93:CD144" si="129">CC93-CB93</f>
        <v>0</v>
      </c>
      <c r="CE93" s="750"/>
      <c r="CF93" s="377"/>
      <c r="CG93" s="376"/>
      <c r="CH93" s="751">
        <f t="shared" ref="CH93:CH145" si="130">CG93-CF93</f>
        <v>0</v>
      </c>
      <c r="CI93" s="751" t="e">
        <f t="shared" si="106"/>
        <v>#DIV/0!</v>
      </c>
      <c r="CJ93" s="376"/>
      <c r="CK93" s="376"/>
      <c r="CL93" s="750">
        <f t="shared" ref="CL93:CL145" si="131">CK93-CJ93</f>
        <v>0</v>
      </c>
      <c r="CM93" s="386"/>
      <c r="CN93" s="751"/>
      <c r="CO93" s="751"/>
      <c r="CP93" s="751">
        <f>CO93-CN93</f>
        <v>0</v>
      </c>
      <c r="CQ93" s="751"/>
      <c r="CR93" s="374"/>
      <c r="CS93" s="374"/>
      <c r="CT93" s="744"/>
      <c r="CU93" s="745"/>
      <c r="CV93" s="373"/>
      <c r="CW93" s="373"/>
      <c r="CX93" s="744"/>
      <c r="CY93" s="745"/>
      <c r="CZ93" s="373"/>
      <c r="DA93" s="373"/>
      <c r="DB93" s="744">
        <f t="shared" ref="DB93:DB145" si="132">DA93-CZ93</f>
        <v>0</v>
      </c>
      <c r="DC93" s="745"/>
      <c r="DG93" s="746"/>
      <c r="DH93" s="746"/>
      <c r="DI93" s="746"/>
      <c r="DJ93" s="747"/>
      <c r="DK93" s="718"/>
      <c r="DL93" s="718"/>
    </row>
    <row r="94" spans="1:116" ht="12.75" customHeight="1">
      <c r="A94" s="738"/>
      <c r="B94" s="739">
        <v>1718002126</v>
      </c>
      <c r="C94" s="738" t="s">
        <v>366</v>
      </c>
      <c r="D94" s="748"/>
      <c r="E94" s="377">
        <v>2.7</v>
      </c>
      <c r="F94" s="783">
        <f>J94+N94+R94+V94+Z94+AK94+AO94+AS94+AW94+BE94+BI94+BY94+CG94+CK94+CO94+CS94+CW94+DA94+BA94+BM94+BU94+BQ94</f>
        <v>37.352980000000002</v>
      </c>
      <c r="G94" s="749">
        <f t="shared" si="70"/>
        <v>34.652979999999999</v>
      </c>
      <c r="H94" s="749">
        <f t="shared" si="96"/>
        <v>13.834437037037038</v>
      </c>
      <c r="I94" s="377"/>
      <c r="J94" s="376"/>
      <c r="K94" s="750">
        <f t="shared" si="118"/>
        <v>0</v>
      </c>
      <c r="L94" s="755">
        <v>0</v>
      </c>
      <c r="M94" s="377"/>
      <c r="N94" s="376"/>
      <c r="O94" s="750">
        <f t="shared" si="114"/>
        <v>0</v>
      </c>
      <c r="P94" s="750">
        <v>0</v>
      </c>
      <c r="Q94" s="377"/>
      <c r="R94" s="377">
        <v>37.352980000000002</v>
      </c>
      <c r="S94" s="750">
        <f t="shared" si="115"/>
        <v>37.352980000000002</v>
      </c>
      <c r="T94" s="750"/>
      <c r="U94" s="377"/>
      <c r="V94" s="377"/>
      <c r="W94" s="750">
        <f t="shared" si="116"/>
        <v>0</v>
      </c>
      <c r="X94" s="750"/>
      <c r="Y94" s="377">
        <f t="shared" si="113"/>
        <v>0</v>
      </c>
      <c r="Z94" s="377">
        <f t="shared" si="113"/>
        <v>0</v>
      </c>
      <c r="AA94" s="750">
        <f t="shared" si="119"/>
        <v>0</v>
      </c>
      <c r="AB94" s="750"/>
      <c r="AC94" s="377"/>
      <c r="AD94" s="377"/>
      <c r="AE94" s="750">
        <f t="shared" si="120"/>
        <v>0</v>
      </c>
      <c r="AF94" s="750"/>
      <c r="AG94" s="377"/>
      <c r="AH94" s="377"/>
      <c r="AI94" s="750"/>
      <c r="AJ94" s="377"/>
      <c r="AK94" s="377"/>
      <c r="AL94" s="750">
        <f t="shared" si="121"/>
        <v>0</v>
      </c>
      <c r="AM94" s="750"/>
      <c r="AN94" s="377"/>
      <c r="AO94" s="377"/>
      <c r="AP94" s="750">
        <f t="shared" si="117"/>
        <v>0</v>
      </c>
      <c r="AQ94" s="750"/>
      <c r="AR94" s="750"/>
      <c r="AS94" s="750"/>
      <c r="AT94" s="750"/>
      <c r="AU94" s="750"/>
      <c r="AV94" s="377">
        <v>2.6709999999999998</v>
      </c>
      <c r="AW94" s="377"/>
      <c r="AX94" s="750">
        <f>AW94-AV94</f>
        <v>-2.6709999999999998</v>
      </c>
      <c r="AY94" s="750"/>
      <c r="AZ94" s="377"/>
      <c r="BA94" s="377"/>
      <c r="BB94" s="750">
        <v>0</v>
      </c>
      <c r="BC94" s="750"/>
      <c r="BD94" s="377"/>
      <c r="BE94" s="377"/>
      <c r="BF94" s="750">
        <f t="shared" si="123"/>
        <v>0</v>
      </c>
      <c r="BG94" s="750"/>
      <c r="BH94" s="377"/>
      <c r="BI94" s="377"/>
      <c r="BJ94" s="750">
        <f t="shared" si="124"/>
        <v>0</v>
      </c>
      <c r="BK94" s="750"/>
      <c r="BL94" s="377"/>
      <c r="BM94" s="377"/>
      <c r="BN94" s="750">
        <f t="shared" si="125"/>
        <v>0</v>
      </c>
      <c r="BO94" s="750"/>
      <c r="BP94" s="377"/>
      <c r="BQ94" s="377"/>
      <c r="BR94" s="750">
        <f t="shared" si="126"/>
        <v>0</v>
      </c>
      <c r="BS94" s="750"/>
      <c r="BT94" s="377"/>
      <c r="BU94" s="377"/>
      <c r="BV94" s="750">
        <f t="shared" si="127"/>
        <v>0</v>
      </c>
      <c r="BW94" s="750"/>
      <c r="BX94" s="377"/>
      <c r="BY94" s="377"/>
      <c r="BZ94" s="750">
        <f t="shared" si="128"/>
        <v>0</v>
      </c>
      <c r="CA94" s="750"/>
      <c r="CB94" s="377"/>
      <c r="CC94" s="377"/>
      <c r="CD94" s="750">
        <f t="shared" si="129"/>
        <v>0</v>
      </c>
      <c r="CE94" s="750"/>
      <c r="CF94" s="780"/>
      <c r="CG94" s="381"/>
      <c r="CH94" s="751">
        <f t="shared" si="130"/>
        <v>0</v>
      </c>
      <c r="CI94" s="751"/>
      <c r="CJ94" s="376"/>
      <c r="CK94" s="376"/>
      <c r="CL94" s="750">
        <f t="shared" si="131"/>
        <v>0</v>
      </c>
      <c r="CM94" s="386"/>
      <c r="CN94" s="751"/>
      <c r="CO94" s="751"/>
      <c r="CP94" s="751">
        <v>0</v>
      </c>
      <c r="CQ94" s="751"/>
      <c r="CR94" s="374"/>
      <c r="CS94" s="374"/>
      <c r="CT94" s="744"/>
      <c r="CU94" s="745"/>
      <c r="CV94" s="373"/>
      <c r="CW94" s="373"/>
      <c r="CX94" s="744"/>
      <c r="CY94" s="745"/>
      <c r="CZ94" s="373"/>
      <c r="DA94" s="373"/>
      <c r="DB94" s="744">
        <f t="shared" si="132"/>
        <v>0</v>
      </c>
      <c r="DC94" s="745"/>
      <c r="DG94" s="746"/>
      <c r="DH94" s="746"/>
      <c r="DI94" s="746"/>
      <c r="DJ94" s="747"/>
      <c r="DK94" s="718"/>
      <c r="DL94" s="718"/>
    </row>
    <row r="95" spans="1:116" ht="12.75" customHeight="1">
      <c r="A95" s="738"/>
      <c r="B95" s="739">
        <v>1718002246</v>
      </c>
      <c r="C95" s="738" t="s">
        <v>367</v>
      </c>
      <c r="D95" s="748">
        <v>71.400000000000006</v>
      </c>
      <c r="E95" s="377">
        <v>766.3</v>
      </c>
      <c r="F95" s="783">
        <f t="shared" si="111"/>
        <v>58.531010000000002</v>
      </c>
      <c r="G95" s="749">
        <f t="shared" si="70"/>
        <v>-707.76898999999992</v>
      </c>
      <c r="H95" s="749">
        <f t="shared" si="96"/>
        <v>7.6381325851494195E-2</v>
      </c>
      <c r="I95" s="376">
        <v>765.54399999999998</v>
      </c>
      <c r="J95" s="376"/>
      <c r="K95" s="750">
        <f t="shared" si="118"/>
        <v>-765.54399999999998</v>
      </c>
      <c r="L95" s="755">
        <f t="shared" si="112"/>
        <v>0</v>
      </c>
      <c r="M95" s="377"/>
      <c r="N95" s="383">
        <v>0.27700000000000002</v>
      </c>
      <c r="O95" s="750">
        <f t="shared" si="114"/>
        <v>0.27700000000000002</v>
      </c>
      <c r="P95" s="750"/>
      <c r="Q95" s="377"/>
      <c r="R95" s="376">
        <v>58.254010000000001</v>
      </c>
      <c r="S95" s="750">
        <f t="shared" si="115"/>
        <v>58.254010000000001</v>
      </c>
      <c r="T95" s="750"/>
      <c r="U95" s="377"/>
      <c r="V95" s="377"/>
      <c r="W95" s="750">
        <f t="shared" si="116"/>
        <v>0</v>
      </c>
      <c r="X95" s="750"/>
      <c r="Y95" s="377">
        <f t="shared" si="113"/>
        <v>0</v>
      </c>
      <c r="Z95" s="377">
        <f t="shared" si="113"/>
        <v>0</v>
      </c>
      <c r="AA95" s="750">
        <f t="shared" si="119"/>
        <v>0</v>
      </c>
      <c r="AB95" s="750"/>
      <c r="AC95" s="377"/>
      <c r="AD95" s="377"/>
      <c r="AE95" s="750">
        <f t="shared" si="120"/>
        <v>0</v>
      </c>
      <c r="AF95" s="750"/>
      <c r="AG95" s="377"/>
      <c r="AH95" s="377"/>
      <c r="AI95" s="750"/>
      <c r="AJ95" s="377"/>
      <c r="AK95" s="377"/>
      <c r="AL95" s="750">
        <f t="shared" si="121"/>
        <v>0</v>
      </c>
      <c r="AM95" s="750"/>
      <c r="AN95" s="377"/>
      <c r="AO95" s="377"/>
      <c r="AP95" s="750">
        <f t="shared" si="117"/>
        <v>0</v>
      </c>
      <c r="AQ95" s="750"/>
      <c r="AR95" s="750"/>
      <c r="AS95" s="750"/>
      <c r="AT95" s="750"/>
      <c r="AU95" s="750"/>
      <c r="AV95" s="377"/>
      <c r="AW95" s="377"/>
      <c r="AX95" s="750">
        <f t="shared" si="122"/>
        <v>0</v>
      </c>
      <c r="AY95" s="750"/>
      <c r="AZ95" s="377"/>
      <c r="BA95" s="377"/>
      <c r="BB95" s="750">
        <v>0</v>
      </c>
      <c r="BC95" s="750"/>
      <c r="BD95" s="377"/>
      <c r="BE95" s="377"/>
      <c r="BF95" s="750">
        <f t="shared" si="123"/>
        <v>0</v>
      </c>
      <c r="BG95" s="750"/>
      <c r="BH95" s="377"/>
      <c r="BI95" s="377"/>
      <c r="BJ95" s="750">
        <f t="shared" si="124"/>
        <v>0</v>
      </c>
      <c r="BK95" s="750"/>
      <c r="BL95" s="377"/>
      <c r="BM95" s="377"/>
      <c r="BN95" s="750">
        <f t="shared" si="125"/>
        <v>0</v>
      </c>
      <c r="BO95" s="750"/>
      <c r="BP95" s="377"/>
      <c r="BQ95" s="377"/>
      <c r="BR95" s="750">
        <f t="shared" si="126"/>
        <v>0</v>
      </c>
      <c r="BS95" s="750"/>
      <c r="BT95" s="377"/>
      <c r="BU95" s="377"/>
      <c r="BV95" s="750">
        <f t="shared" si="127"/>
        <v>0</v>
      </c>
      <c r="BW95" s="750"/>
      <c r="BX95" s="377"/>
      <c r="BY95" s="377"/>
      <c r="BZ95" s="750">
        <f t="shared" si="128"/>
        <v>0</v>
      </c>
      <c r="CA95" s="750"/>
      <c r="CB95" s="377"/>
      <c r="CC95" s="377"/>
      <c r="CD95" s="750">
        <f t="shared" si="129"/>
        <v>0</v>
      </c>
      <c r="CE95" s="750"/>
      <c r="CF95" s="377"/>
      <c r="CG95" s="376"/>
      <c r="CH95" s="751">
        <f t="shared" si="130"/>
        <v>0</v>
      </c>
      <c r="CI95" s="751"/>
      <c r="CJ95" s="376">
        <v>0.8</v>
      </c>
      <c r="CK95" s="376"/>
      <c r="CL95" s="750">
        <f t="shared" si="131"/>
        <v>-0.8</v>
      </c>
      <c r="CM95" s="386">
        <f t="shared" si="107"/>
        <v>0</v>
      </c>
      <c r="CN95" s="751"/>
      <c r="CO95" s="751"/>
      <c r="CP95" s="751">
        <v>0</v>
      </c>
      <c r="CQ95" s="751"/>
      <c r="CR95" s="374"/>
      <c r="CS95" s="374"/>
      <c r="CT95" s="744"/>
      <c r="CU95" s="745"/>
      <c r="CV95" s="373"/>
      <c r="CW95" s="373"/>
      <c r="CX95" s="744"/>
      <c r="CY95" s="745"/>
      <c r="CZ95" s="373"/>
      <c r="DA95" s="373"/>
      <c r="DB95" s="744">
        <f t="shared" si="132"/>
        <v>0</v>
      </c>
      <c r="DC95" s="745"/>
      <c r="DG95" s="746"/>
      <c r="DH95" s="746"/>
      <c r="DI95" s="746"/>
      <c r="DJ95" s="747"/>
      <c r="DK95" s="718"/>
      <c r="DL95" s="718"/>
    </row>
    <row r="96" spans="1:116">
      <c r="A96" s="738"/>
      <c r="B96" s="739">
        <v>5406306334</v>
      </c>
      <c r="C96" s="738" t="s">
        <v>368</v>
      </c>
      <c r="D96" s="377">
        <v>2925.4</v>
      </c>
      <c r="E96" s="377">
        <v>0.5</v>
      </c>
      <c r="F96" s="783">
        <f t="shared" si="111"/>
        <v>0</v>
      </c>
      <c r="G96" s="749">
        <f t="shared" si="70"/>
        <v>-0.5</v>
      </c>
      <c r="H96" s="749">
        <f t="shared" si="96"/>
        <v>0</v>
      </c>
      <c r="I96" s="377"/>
      <c r="J96" s="376"/>
      <c r="K96" s="750">
        <f t="shared" si="118"/>
        <v>0</v>
      </c>
      <c r="L96" s="755">
        <v>0</v>
      </c>
      <c r="M96" s="377"/>
      <c r="N96" s="377"/>
      <c r="O96" s="750">
        <f t="shared" si="114"/>
        <v>0</v>
      </c>
      <c r="P96" s="750"/>
      <c r="Q96" s="377"/>
      <c r="R96" s="377"/>
      <c r="S96" s="750">
        <f t="shared" si="115"/>
        <v>0</v>
      </c>
      <c r="T96" s="750"/>
      <c r="U96" s="377"/>
      <c r="V96" s="377"/>
      <c r="W96" s="750">
        <f t="shared" si="116"/>
        <v>0</v>
      </c>
      <c r="X96" s="750"/>
      <c r="Y96" s="377">
        <f t="shared" si="113"/>
        <v>0</v>
      </c>
      <c r="Z96" s="377">
        <f t="shared" si="113"/>
        <v>0</v>
      </c>
      <c r="AA96" s="750">
        <f t="shared" si="119"/>
        <v>0</v>
      </c>
      <c r="AB96" s="750"/>
      <c r="AC96" s="377"/>
      <c r="AD96" s="377"/>
      <c r="AE96" s="750">
        <f t="shared" si="120"/>
        <v>0</v>
      </c>
      <c r="AF96" s="750"/>
      <c r="AG96" s="377"/>
      <c r="AH96" s="377"/>
      <c r="AI96" s="750"/>
      <c r="AJ96" s="377"/>
      <c r="AK96" s="377"/>
      <c r="AL96" s="750">
        <f t="shared" si="121"/>
        <v>0</v>
      </c>
      <c r="AM96" s="750"/>
      <c r="AN96" s="377"/>
      <c r="AO96" s="377"/>
      <c r="AP96" s="750">
        <f t="shared" si="117"/>
        <v>0</v>
      </c>
      <c r="AQ96" s="750"/>
      <c r="AR96" s="750"/>
      <c r="AS96" s="750"/>
      <c r="AT96" s="750"/>
      <c r="AU96" s="750"/>
      <c r="AV96" s="377"/>
      <c r="AW96" s="377"/>
      <c r="AX96" s="750">
        <f t="shared" si="122"/>
        <v>0</v>
      </c>
      <c r="AY96" s="750"/>
      <c r="AZ96" s="377"/>
      <c r="BA96" s="377"/>
      <c r="BB96" s="750">
        <v>0</v>
      </c>
      <c r="BC96" s="750"/>
      <c r="BD96" s="377"/>
      <c r="BE96" s="377"/>
      <c r="BF96" s="750">
        <f t="shared" si="123"/>
        <v>0</v>
      </c>
      <c r="BG96" s="750"/>
      <c r="BH96" s="377"/>
      <c r="BI96" s="377"/>
      <c r="BJ96" s="750">
        <f t="shared" si="124"/>
        <v>0</v>
      </c>
      <c r="BK96" s="750"/>
      <c r="BL96" s="377"/>
      <c r="BM96" s="377"/>
      <c r="BN96" s="750">
        <f t="shared" si="125"/>
        <v>0</v>
      </c>
      <c r="BO96" s="750"/>
      <c r="BP96" s="377"/>
      <c r="BQ96" s="377"/>
      <c r="BR96" s="750">
        <f t="shared" si="126"/>
        <v>0</v>
      </c>
      <c r="BS96" s="750"/>
      <c r="BT96" s="377"/>
      <c r="BU96" s="377"/>
      <c r="BV96" s="750">
        <f t="shared" si="127"/>
        <v>0</v>
      </c>
      <c r="BW96" s="750"/>
      <c r="BX96" s="377"/>
      <c r="BY96" s="377"/>
      <c r="BZ96" s="750">
        <f t="shared" si="128"/>
        <v>0</v>
      </c>
      <c r="CA96" s="750"/>
      <c r="CB96" s="377"/>
      <c r="CC96" s="377"/>
      <c r="CD96" s="750">
        <f t="shared" si="129"/>
        <v>0</v>
      </c>
      <c r="CE96" s="750"/>
      <c r="CF96" s="780"/>
      <c r="CG96" s="381"/>
      <c r="CH96" s="751">
        <f t="shared" si="130"/>
        <v>0</v>
      </c>
      <c r="CI96" s="751"/>
      <c r="CJ96" s="376">
        <v>0.48899999999999999</v>
      </c>
      <c r="CK96" s="376"/>
      <c r="CL96" s="750">
        <f t="shared" si="131"/>
        <v>-0.48899999999999999</v>
      </c>
      <c r="CM96" s="386">
        <f t="shared" si="107"/>
        <v>0</v>
      </c>
      <c r="CN96" s="751"/>
      <c r="CO96" s="751"/>
      <c r="CP96" s="751">
        <v>0</v>
      </c>
      <c r="CQ96" s="751"/>
      <c r="CR96" s="374"/>
      <c r="CS96" s="374"/>
      <c r="CT96" s="744"/>
      <c r="CU96" s="745"/>
      <c r="CV96" s="373"/>
      <c r="CW96" s="373"/>
      <c r="CX96" s="744"/>
      <c r="CY96" s="745"/>
      <c r="CZ96" s="373"/>
      <c r="DA96" s="373"/>
      <c r="DB96" s="744">
        <f t="shared" si="132"/>
        <v>0</v>
      </c>
      <c r="DC96" s="745"/>
      <c r="DG96" s="746"/>
      <c r="DH96" s="746"/>
      <c r="DI96" s="746"/>
      <c r="DJ96" s="747"/>
      <c r="DK96" s="718"/>
      <c r="DL96" s="718"/>
    </row>
    <row r="97" spans="1:116" ht="12.75" hidden="1" customHeight="1">
      <c r="A97" s="738"/>
      <c r="B97" s="739"/>
      <c r="C97" s="738" t="s">
        <v>555</v>
      </c>
      <c r="D97" s="748"/>
      <c r="E97" s="377">
        <f t="shared" si="110"/>
        <v>0</v>
      </c>
      <c r="F97" s="783">
        <f t="shared" si="111"/>
        <v>0</v>
      </c>
      <c r="G97" s="749">
        <f t="shared" si="70"/>
        <v>0</v>
      </c>
      <c r="H97" s="749">
        <v>0</v>
      </c>
      <c r="I97" s="377"/>
      <c r="J97" s="376"/>
      <c r="K97" s="750">
        <f t="shared" si="118"/>
        <v>0</v>
      </c>
      <c r="L97" s="750"/>
      <c r="M97" s="377"/>
      <c r="N97" s="377"/>
      <c r="O97" s="750">
        <f t="shared" si="114"/>
        <v>0</v>
      </c>
      <c r="P97" s="750"/>
      <c r="Q97" s="377"/>
      <c r="R97" s="377"/>
      <c r="S97" s="750">
        <f t="shared" si="115"/>
        <v>0</v>
      </c>
      <c r="T97" s="750"/>
      <c r="U97" s="377"/>
      <c r="V97" s="377"/>
      <c r="W97" s="750">
        <f t="shared" si="116"/>
        <v>0</v>
      </c>
      <c r="X97" s="750"/>
      <c r="Y97" s="377">
        <f t="shared" si="113"/>
        <v>0</v>
      </c>
      <c r="Z97" s="377">
        <f t="shared" si="113"/>
        <v>0</v>
      </c>
      <c r="AA97" s="750">
        <f t="shared" si="119"/>
        <v>0</v>
      </c>
      <c r="AB97" s="750"/>
      <c r="AC97" s="377"/>
      <c r="AD97" s="377"/>
      <c r="AE97" s="750">
        <f t="shared" si="120"/>
        <v>0</v>
      </c>
      <c r="AF97" s="750"/>
      <c r="AG97" s="377"/>
      <c r="AH97" s="377"/>
      <c r="AI97" s="750"/>
      <c r="AJ97" s="377"/>
      <c r="AK97" s="377"/>
      <c r="AL97" s="750">
        <f t="shared" si="121"/>
        <v>0</v>
      </c>
      <c r="AM97" s="750"/>
      <c r="AN97" s="377"/>
      <c r="AO97" s="377"/>
      <c r="AP97" s="750">
        <f t="shared" si="117"/>
        <v>0</v>
      </c>
      <c r="AQ97" s="750"/>
      <c r="AR97" s="750"/>
      <c r="AS97" s="750"/>
      <c r="AT97" s="750"/>
      <c r="AU97" s="750"/>
      <c r="AV97" s="377"/>
      <c r="AW97" s="377"/>
      <c r="AX97" s="750">
        <f t="shared" si="122"/>
        <v>0</v>
      </c>
      <c r="AY97" s="750"/>
      <c r="AZ97" s="377"/>
      <c r="BA97" s="377"/>
      <c r="BB97" s="750">
        <v>0</v>
      </c>
      <c r="BC97" s="750"/>
      <c r="BD97" s="377"/>
      <c r="BE97" s="377"/>
      <c r="BF97" s="750">
        <f t="shared" si="123"/>
        <v>0</v>
      </c>
      <c r="BG97" s="750"/>
      <c r="BH97" s="377"/>
      <c r="BI97" s="377"/>
      <c r="BJ97" s="750">
        <f t="shared" si="124"/>
        <v>0</v>
      </c>
      <c r="BK97" s="750"/>
      <c r="BL97" s="377"/>
      <c r="BM97" s="377"/>
      <c r="BN97" s="750">
        <f t="shared" si="125"/>
        <v>0</v>
      </c>
      <c r="BO97" s="750"/>
      <c r="BP97" s="377"/>
      <c r="BQ97" s="377"/>
      <c r="BR97" s="750">
        <f t="shared" si="126"/>
        <v>0</v>
      </c>
      <c r="BS97" s="750"/>
      <c r="BT97" s="377"/>
      <c r="BU97" s="377"/>
      <c r="BV97" s="750">
        <f t="shared" si="127"/>
        <v>0</v>
      </c>
      <c r="BW97" s="750"/>
      <c r="BX97" s="377"/>
      <c r="BY97" s="377"/>
      <c r="BZ97" s="750">
        <f t="shared" si="128"/>
        <v>0</v>
      </c>
      <c r="CA97" s="750"/>
      <c r="CB97" s="377"/>
      <c r="CC97" s="377"/>
      <c r="CD97" s="750">
        <f t="shared" si="129"/>
        <v>0</v>
      </c>
      <c r="CE97" s="750"/>
      <c r="CF97" s="377"/>
      <c r="CG97" s="376"/>
      <c r="CH97" s="751">
        <f t="shared" si="130"/>
        <v>0</v>
      </c>
      <c r="CI97" s="751"/>
      <c r="CJ97" s="376"/>
      <c r="CK97" s="376"/>
      <c r="CL97" s="750">
        <f t="shared" si="131"/>
        <v>0</v>
      </c>
      <c r="CM97" s="386"/>
      <c r="CN97" s="751"/>
      <c r="CO97" s="751"/>
      <c r="CP97" s="751">
        <v>0</v>
      </c>
      <c r="CQ97" s="751"/>
      <c r="CR97" s="374"/>
      <c r="CS97" s="374"/>
      <c r="CT97" s="744"/>
      <c r="CU97" s="745"/>
      <c r="CV97" s="373"/>
      <c r="CW97" s="373"/>
      <c r="CX97" s="744"/>
      <c r="CY97" s="745"/>
      <c r="CZ97" s="373"/>
      <c r="DA97" s="373"/>
      <c r="DB97" s="744">
        <f t="shared" si="132"/>
        <v>0</v>
      </c>
      <c r="DC97" s="745"/>
      <c r="DG97" s="746"/>
      <c r="DH97" s="746"/>
      <c r="DI97" s="746"/>
      <c r="DJ97" s="747"/>
      <c r="DK97" s="718"/>
      <c r="DL97" s="718"/>
    </row>
    <row r="98" spans="1:116" ht="12.75" customHeight="1">
      <c r="A98" s="738"/>
      <c r="B98" s="739">
        <v>1718002510</v>
      </c>
      <c r="C98" s="738" t="s">
        <v>556</v>
      </c>
      <c r="D98" s="748">
        <v>1131.7</v>
      </c>
      <c r="E98" s="377">
        <v>41.1</v>
      </c>
      <c r="F98" s="783">
        <f>J98+N98+R98+V98+Z98+AK98+AO98+AS98+AW98+BE98+BI98+BY98+CG98+CK98+CO98+CS98+CW98+DA98+BA98+BM98+BU98+BQ98</f>
        <v>0.38100000000000001</v>
      </c>
      <c r="G98" s="749">
        <f t="shared" si="70"/>
        <v>-40.719000000000001</v>
      </c>
      <c r="H98" s="749">
        <f t="shared" si="96"/>
        <v>9.2700729927007296E-3</v>
      </c>
      <c r="I98" s="376">
        <v>38.911000000000001</v>
      </c>
      <c r="J98" s="376"/>
      <c r="K98" s="750">
        <f t="shared" si="118"/>
        <v>-38.911000000000001</v>
      </c>
      <c r="L98" s="750"/>
      <c r="M98" s="377"/>
      <c r="N98" s="376">
        <v>0.3</v>
      </c>
      <c r="O98" s="750">
        <f t="shared" si="114"/>
        <v>0.3</v>
      </c>
      <c r="P98" s="750"/>
      <c r="Q98" s="377"/>
      <c r="R98" s="377"/>
      <c r="S98" s="750">
        <f t="shared" si="115"/>
        <v>0</v>
      </c>
      <c r="T98" s="750"/>
      <c r="U98" s="377"/>
      <c r="V98" s="377"/>
      <c r="W98" s="750">
        <f t="shared" si="116"/>
        <v>0</v>
      </c>
      <c r="X98" s="750"/>
      <c r="Y98" s="377">
        <f t="shared" si="113"/>
        <v>0</v>
      </c>
      <c r="Z98" s="377">
        <f t="shared" si="113"/>
        <v>0</v>
      </c>
      <c r="AA98" s="750">
        <f t="shared" si="119"/>
        <v>0</v>
      </c>
      <c r="AB98" s="750"/>
      <c r="AC98" s="377"/>
      <c r="AD98" s="377"/>
      <c r="AE98" s="750">
        <f t="shared" si="120"/>
        <v>0</v>
      </c>
      <c r="AF98" s="750"/>
      <c r="AG98" s="377"/>
      <c r="AH98" s="377"/>
      <c r="AI98" s="750"/>
      <c r="AJ98" s="377"/>
      <c r="AK98" s="377"/>
      <c r="AL98" s="750">
        <f t="shared" si="121"/>
        <v>0</v>
      </c>
      <c r="AM98" s="750"/>
      <c r="AN98" s="377"/>
      <c r="AO98" s="377"/>
      <c r="AP98" s="750">
        <f t="shared" si="117"/>
        <v>0</v>
      </c>
      <c r="AQ98" s="750"/>
      <c r="AR98" s="750"/>
      <c r="AS98" s="750"/>
      <c r="AT98" s="750"/>
      <c r="AU98" s="750"/>
      <c r="AV98" s="377"/>
      <c r="AW98" s="377"/>
      <c r="AX98" s="750">
        <f t="shared" si="122"/>
        <v>0</v>
      </c>
      <c r="AY98" s="750"/>
      <c r="AZ98" s="377"/>
      <c r="BA98" s="377"/>
      <c r="BB98" s="750">
        <v>0</v>
      </c>
      <c r="BC98" s="750"/>
      <c r="BD98" s="377"/>
      <c r="BE98" s="377"/>
      <c r="BF98" s="750">
        <f t="shared" si="123"/>
        <v>0</v>
      </c>
      <c r="BG98" s="750"/>
      <c r="BH98" s="377"/>
      <c r="BI98" s="377"/>
      <c r="BJ98" s="750">
        <f t="shared" si="124"/>
        <v>0</v>
      </c>
      <c r="BK98" s="750"/>
      <c r="BL98" s="377"/>
      <c r="BM98" s="377"/>
      <c r="BN98" s="750">
        <f t="shared" si="125"/>
        <v>0</v>
      </c>
      <c r="BO98" s="750"/>
      <c r="BP98" s="377">
        <v>2.2330000000000001</v>
      </c>
      <c r="BQ98" s="377"/>
      <c r="BR98" s="750">
        <f t="shared" si="126"/>
        <v>-2.2330000000000001</v>
      </c>
      <c r="BS98" s="750"/>
      <c r="BT98" s="377"/>
      <c r="BU98" s="377"/>
      <c r="BV98" s="750">
        <f t="shared" si="127"/>
        <v>0</v>
      </c>
      <c r="BW98" s="750"/>
      <c r="BX98" s="377"/>
      <c r="BY98" s="377"/>
      <c r="BZ98" s="750">
        <f t="shared" si="128"/>
        <v>0</v>
      </c>
      <c r="CA98" s="750"/>
      <c r="CB98" s="377"/>
      <c r="CC98" s="377"/>
      <c r="CD98" s="750">
        <f t="shared" si="129"/>
        <v>0</v>
      </c>
      <c r="CE98" s="750"/>
      <c r="CF98" s="377"/>
      <c r="CG98" s="376">
        <v>8.1000000000000003E-2</v>
      </c>
      <c r="CH98" s="751">
        <f t="shared" si="130"/>
        <v>8.1000000000000003E-2</v>
      </c>
      <c r="CI98" s="751"/>
      <c r="CJ98" s="376"/>
      <c r="CK98" s="376"/>
      <c r="CL98" s="750">
        <f t="shared" si="131"/>
        <v>0</v>
      </c>
      <c r="CM98" s="386"/>
      <c r="CN98" s="751"/>
      <c r="CO98" s="751"/>
      <c r="CP98" s="751">
        <v>0</v>
      </c>
      <c r="CQ98" s="751"/>
      <c r="CR98" s="374"/>
      <c r="CS98" s="374"/>
      <c r="CT98" s="744"/>
      <c r="CU98" s="745"/>
      <c r="CV98" s="373"/>
      <c r="CW98" s="373"/>
      <c r="CX98" s="744"/>
      <c r="CY98" s="745"/>
      <c r="CZ98" s="373"/>
      <c r="DA98" s="373"/>
      <c r="DB98" s="744">
        <f t="shared" si="132"/>
        <v>0</v>
      </c>
      <c r="DC98" s="745"/>
      <c r="DG98" s="746"/>
      <c r="DH98" s="746"/>
      <c r="DI98" s="746"/>
      <c r="DJ98" s="747"/>
      <c r="DK98" s="718"/>
      <c r="DL98" s="718"/>
    </row>
    <row r="99" spans="1:116" hidden="1">
      <c r="A99" s="738"/>
      <c r="B99" s="739"/>
      <c r="C99" s="738" t="s">
        <v>369</v>
      </c>
      <c r="D99" s="748"/>
      <c r="E99" s="377">
        <f t="shared" si="110"/>
        <v>0</v>
      </c>
      <c r="F99" s="783">
        <f t="shared" si="111"/>
        <v>0</v>
      </c>
      <c r="G99" s="749">
        <f t="shared" si="70"/>
        <v>0</v>
      </c>
      <c r="H99" s="749" t="e">
        <f t="shared" si="96"/>
        <v>#DIV/0!</v>
      </c>
      <c r="I99" s="377"/>
      <c r="J99" s="376"/>
      <c r="K99" s="750">
        <f t="shared" si="118"/>
        <v>0</v>
      </c>
      <c r="L99" s="750" t="e">
        <f>J99/I99</f>
        <v>#DIV/0!</v>
      </c>
      <c r="M99" s="377"/>
      <c r="N99" s="377"/>
      <c r="O99" s="750">
        <f t="shared" si="114"/>
        <v>0</v>
      </c>
      <c r="P99" s="750"/>
      <c r="Q99" s="377"/>
      <c r="R99" s="377"/>
      <c r="S99" s="750">
        <f t="shared" si="115"/>
        <v>0</v>
      </c>
      <c r="T99" s="750"/>
      <c r="U99" s="377"/>
      <c r="V99" s="377"/>
      <c r="W99" s="750">
        <f t="shared" si="116"/>
        <v>0</v>
      </c>
      <c r="X99" s="750"/>
      <c r="Y99" s="377">
        <f t="shared" si="113"/>
        <v>0</v>
      </c>
      <c r="Z99" s="377">
        <f t="shared" si="113"/>
        <v>0</v>
      </c>
      <c r="AA99" s="750">
        <f t="shared" si="119"/>
        <v>0</v>
      </c>
      <c r="AB99" s="750"/>
      <c r="AC99" s="377"/>
      <c r="AD99" s="377"/>
      <c r="AE99" s="750">
        <f t="shared" si="120"/>
        <v>0</v>
      </c>
      <c r="AF99" s="750"/>
      <c r="AG99" s="377"/>
      <c r="AH99" s="377"/>
      <c r="AI99" s="750"/>
      <c r="AJ99" s="377"/>
      <c r="AK99" s="377"/>
      <c r="AL99" s="750">
        <f t="shared" si="121"/>
        <v>0</v>
      </c>
      <c r="AM99" s="750"/>
      <c r="AN99" s="377"/>
      <c r="AO99" s="377"/>
      <c r="AP99" s="750">
        <f t="shared" si="117"/>
        <v>0</v>
      </c>
      <c r="AQ99" s="750"/>
      <c r="AR99" s="750"/>
      <c r="AS99" s="750"/>
      <c r="AT99" s="750">
        <f>AS99-AR99</f>
        <v>0</v>
      </c>
      <c r="AU99" s="750"/>
      <c r="AV99" s="377"/>
      <c r="AW99" s="377"/>
      <c r="AX99" s="750">
        <f t="shared" si="122"/>
        <v>0</v>
      </c>
      <c r="AY99" s="750"/>
      <c r="AZ99" s="377"/>
      <c r="BA99" s="377"/>
      <c r="BB99" s="750">
        <v>0</v>
      </c>
      <c r="BC99" s="750"/>
      <c r="BD99" s="377"/>
      <c r="BE99" s="377"/>
      <c r="BF99" s="750">
        <f t="shared" si="123"/>
        <v>0</v>
      </c>
      <c r="BG99" s="750"/>
      <c r="BH99" s="377"/>
      <c r="BI99" s="377"/>
      <c r="BJ99" s="750">
        <f t="shared" si="124"/>
        <v>0</v>
      </c>
      <c r="BK99" s="750"/>
      <c r="BL99" s="377"/>
      <c r="BM99" s="377"/>
      <c r="BN99" s="750">
        <f t="shared" si="125"/>
        <v>0</v>
      </c>
      <c r="BO99" s="750"/>
      <c r="BP99" s="377"/>
      <c r="BQ99" s="377"/>
      <c r="BR99" s="750">
        <f t="shared" si="126"/>
        <v>0</v>
      </c>
      <c r="BS99" s="750"/>
      <c r="BT99" s="377"/>
      <c r="BU99" s="377"/>
      <c r="BV99" s="750">
        <f t="shared" si="127"/>
        <v>0</v>
      </c>
      <c r="BW99" s="750"/>
      <c r="BX99" s="377"/>
      <c r="BY99" s="377"/>
      <c r="BZ99" s="750">
        <f t="shared" si="128"/>
        <v>0</v>
      </c>
      <c r="CA99" s="750"/>
      <c r="CB99" s="377"/>
      <c r="CC99" s="377"/>
      <c r="CD99" s="750">
        <f t="shared" si="129"/>
        <v>0</v>
      </c>
      <c r="CE99" s="750"/>
      <c r="CF99" s="377"/>
      <c r="CG99" s="376"/>
      <c r="CH99" s="751">
        <f t="shared" si="130"/>
        <v>0</v>
      </c>
      <c r="CI99" s="751"/>
      <c r="CJ99" s="376"/>
      <c r="CK99" s="376"/>
      <c r="CL99" s="750">
        <f t="shared" si="131"/>
        <v>0</v>
      </c>
      <c r="CM99" s="386"/>
      <c r="CN99" s="751"/>
      <c r="CO99" s="751"/>
      <c r="CP99" s="751">
        <v>0</v>
      </c>
      <c r="CQ99" s="751"/>
      <c r="CR99" s="374"/>
      <c r="CS99" s="374"/>
      <c r="CT99" s="744"/>
      <c r="CU99" s="745"/>
      <c r="CV99" s="373"/>
      <c r="CW99" s="373"/>
      <c r="CX99" s="744"/>
      <c r="CY99" s="745"/>
      <c r="CZ99" s="373"/>
      <c r="DA99" s="373"/>
      <c r="DB99" s="744">
        <f t="shared" si="132"/>
        <v>0</v>
      </c>
      <c r="DC99" s="745"/>
      <c r="DG99" s="746"/>
      <c r="DH99" s="746"/>
      <c r="DI99" s="746"/>
      <c r="DJ99" s="747"/>
      <c r="DK99" s="718"/>
      <c r="DL99" s="718"/>
    </row>
    <row r="100" spans="1:116" ht="12.75" hidden="1" customHeight="1">
      <c r="A100" s="738"/>
      <c r="B100" s="739"/>
      <c r="C100" s="738" t="s">
        <v>370</v>
      </c>
      <c r="D100" s="748"/>
      <c r="E100" s="377">
        <f t="shared" si="110"/>
        <v>0</v>
      </c>
      <c r="F100" s="783">
        <f t="shared" si="111"/>
        <v>0</v>
      </c>
      <c r="G100" s="749">
        <f t="shared" si="70"/>
        <v>0</v>
      </c>
      <c r="H100" s="749" t="e">
        <f t="shared" si="96"/>
        <v>#DIV/0!</v>
      </c>
      <c r="I100" s="377"/>
      <c r="J100" s="376"/>
      <c r="K100" s="750">
        <f t="shared" si="118"/>
        <v>0</v>
      </c>
      <c r="L100" s="750"/>
      <c r="M100" s="377"/>
      <c r="N100" s="377"/>
      <c r="O100" s="750">
        <f t="shared" si="114"/>
        <v>0</v>
      </c>
      <c r="P100" s="750" t="e">
        <f>N100/M100</f>
        <v>#DIV/0!</v>
      </c>
      <c r="Q100" s="377"/>
      <c r="R100" s="377"/>
      <c r="S100" s="750">
        <f t="shared" si="115"/>
        <v>0</v>
      </c>
      <c r="T100" s="750"/>
      <c r="U100" s="377"/>
      <c r="V100" s="377"/>
      <c r="W100" s="750">
        <f t="shared" si="116"/>
        <v>0</v>
      </c>
      <c r="X100" s="750"/>
      <c r="Y100" s="377">
        <f t="shared" si="113"/>
        <v>0</v>
      </c>
      <c r="Z100" s="377">
        <f t="shared" si="113"/>
        <v>0</v>
      </c>
      <c r="AA100" s="750">
        <f t="shared" si="119"/>
        <v>0</v>
      </c>
      <c r="AB100" s="750"/>
      <c r="AC100" s="377"/>
      <c r="AD100" s="377"/>
      <c r="AE100" s="750">
        <f t="shared" si="120"/>
        <v>0</v>
      </c>
      <c r="AF100" s="750"/>
      <c r="AG100" s="377"/>
      <c r="AH100" s="377"/>
      <c r="AI100" s="750"/>
      <c r="AJ100" s="377"/>
      <c r="AK100" s="377"/>
      <c r="AL100" s="750">
        <f t="shared" si="121"/>
        <v>0</v>
      </c>
      <c r="AM100" s="750"/>
      <c r="AN100" s="377"/>
      <c r="AO100" s="377"/>
      <c r="AP100" s="750">
        <f t="shared" si="117"/>
        <v>0</v>
      </c>
      <c r="AQ100" s="750"/>
      <c r="AR100" s="750"/>
      <c r="AS100" s="750"/>
      <c r="AT100" s="750"/>
      <c r="AU100" s="750"/>
      <c r="AV100" s="377"/>
      <c r="AW100" s="377"/>
      <c r="AX100" s="750">
        <f t="shared" si="122"/>
        <v>0</v>
      </c>
      <c r="AY100" s="750"/>
      <c r="AZ100" s="377"/>
      <c r="BA100" s="377"/>
      <c r="BB100" s="750">
        <v>0</v>
      </c>
      <c r="BC100" s="750"/>
      <c r="BD100" s="377"/>
      <c r="BE100" s="377"/>
      <c r="BF100" s="750">
        <f t="shared" si="123"/>
        <v>0</v>
      </c>
      <c r="BG100" s="750"/>
      <c r="BH100" s="377"/>
      <c r="BI100" s="377"/>
      <c r="BJ100" s="750">
        <f t="shared" si="124"/>
        <v>0</v>
      </c>
      <c r="BK100" s="750"/>
      <c r="BL100" s="377"/>
      <c r="BM100" s="377"/>
      <c r="BN100" s="750">
        <f t="shared" si="125"/>
        <v>0</v>
      </c>
      <c r="BO100" s="750"/>
      <c r="BP100" s="377"/>
      <c r="BQ100" s="377"/>
      <c r="BR100" s="750">
        <f t="shared" si="126"/>
        <v>0</v>
      </c>
      <c r="BS100" s="750"/>
      <c r="BT100" s="377"/>
      <c r="BU100" s="377"/>
      <c r="BV100" s="750">
        <f t="shared" si="127"/>
        <v>0</v>
      </c>
      <c r="BW100" s="750"/>
      <c r="BX100" s="377"/>
      <c r="BY100" s="377"/>
      <c r="BZ100" s="750">
        <f t="shared" si="128"/>
        <v>0</v>
      </c>
      <c r="CA100" s="750"/>
      <c r="CB100" s="377"/>
      <c r="CC100" s="377"/>
      <c r="CD100" s="750">
        <f t="shared" si="129"/>
        <v>0</v>
      </c>
      <c r="CE100" s="750"/>
      <c r="CF100" s="377"/>
      <c r="CG100" s="376"/>
      <c r="CH100" s="751">
        <f t="shared" si="130"/>
        <v>0</v>
      </c>
      <c r="CI100" s="751"/>
      <c r="CJ100" s="376"/>
      <c r="CK100" s="376"/>
      <c r="CL100" s="750">
        <f t="shared" si="131"/>
        <v>0</v>
      </c>
      <c r="CM100" s="386"/>
      <c r="CN100" s="751"/>
      <c r="CO100" s="751"/>
      <c r="CP100" s="751">
        <v>0</v>
      </c>
      <c r="CQ100" s="751"/>
      <c r="CR100" s="374"/>
      <c r="CS100" s="374"/>
      <c r="CT100" s="744"/>
      <c r="CU100" s="745"/>
      <c r="CV100" s="373"/>
      <c r="CW100" s="373"/>
      <c r="CX100" s="744"/>
      <c r="CY100" s="745"/>
      <c r="CZ100" s="373"/>
      <c r="DA100" s="373"/>
      <c r="DB100" s="744">
        <f t="shared" si="132"/>
        <v>0</v>
      </c>
      <c r="DC100" s="745"/>
      <c r="DG100" s="746"/>
      <c r="DH100" s="746"/>
      <c r="DI100" s="746"/>
      <c r="DJ100" s="747"/>
      <c r="DK100" s="718"/>
      <c r="DL100" s="718"/>
    </row>
    <row r="101" spans="1:116" ht="12.75" hidden="1" customHeight="1">
      <c r="A101" s="738"/>
      <c r="B101" s="739">
        <v>1701029232</v>
      </c>
      <c r="C101" s="738" t="s">
        <v>848</v>
      </c>
      <c r="D101" s="748"/>
      <c r="E101" s="377">
        <f t="shared" si="110"/>
        <v>0</v>
      </c>
      <c r="F101" s="783">
        <f t="shared" si="111"/>
        <v>0</v>
      </c>
      <c r="G101" s="745">
        <f t="shared" si="70"/>
        <v>0</v>
      </c>
      <c r="H101" s="749" t="e">
        <f t="shared" si="96"/>
        <v>#DIV/0!</v>
      </c>
      <c r="I101" s="377"/>
      <c r="J101" s="376"/>
      <c r="K101" s="750">
        <f t="shared" si="118"/>
        <v>0</v>
      </c>
      <c r="L101" s="750"/>
      <c r="M101" s="377"/>
      <c r="N101" s="377"/>
      <c r="O101" s="750">
        <f t="shared" si="114"/>
        <v>0</v>
      </c>
      <c r="P101" s="750" t="e">
        <f>N101/M101</f>
        <v>#DIV/0!</v>
      </c>
      <c r="Q101" s="377"/>
      <c r="R101" s="377"/>
      <c r="S101" s="750">
        <f t="shared" si="115"/>
        <v>0</v>
      </c>
      <c r="T101" s="750"/>
      <c r="U101" s="377"/>
      <c r="V101" s="377"/>
      <c r="W101" s="750">
        <f t="shared" si="116"/>
        <v>0</v>
      </c>
      <c r="X101" s="750"/>
      <c r="Y101" s="377">
        <f t="shared" si="113"/>
        <v>0</v>
      </c>
      <c r="Z101" s="377">
        <f t="shared" si="113"/>
        <v>0</v>
      </c>
      <c r="AA101" s="750">
        <f t="shared" si="119"/>
        <v>0</v>
      </c>
      <c r="AB101" s="750"/>
      <c r="AC101" s="377"/>
      <c r="AD101" s="377"/>
      <c r="AE101" s="750">
        <f t="shared" si="120"/>
        <v>0</v>
      </c>
      <c r="AF101" s="750"/>
      <c r="AG101" s="377"/>
      <c r="AH101" s="377"/>
      <c r="AI101" s="750"/>
      <c r="AJ101" s="377"/>
      <c r="AK101" s="377"/>
      <c r="AL101" s="750">
        <f t="shared" si="121"/>
        <v>0</v>
      </c>
      <c r="AM101" s="750"/>
      <c r="AN101" s="377"/>
      <c r="AO101" s="377"/>
      <c r="AP101" s="750">
        <f t="shared" si="117"/>
        <v>0</v>
      </c>
      <c r="AQ101" s="750"/>
      <c r="AR101" s="750"/>
      <c r="AS101" s="750"/>
      <c r="AT101" s="750"/>
      <c r="AU101" s="750"/>
      <c r="AV101" s="377"/>
      <c r="AW101" s="377"/>
      <c r="AX101" s="750">
        <f t="shared" si="122"/>
        <v>0</v>
      </c>
      <c r="AY101" s="750"/>
      <c r="AZ101" s="377"/>
      <c r="BA101" s="377"/>
      <c r="BB101" s="750">
        <v>0</v>
      </c>
      <c r="BC101" s="750"/>
      <c r="BD101" s="377"/>
      <c r="BE101" s="377"/>
      <c r="BF101" s="750">
        <f t="shared" si="123"/>
        <v>0</v>
      </c>
      <c r="BG101" s="750"/>
      <c r="BH101" s="377"/>
      <c r="BI101" s="377"/>
      <c r="BJ101" s="750">
        <f t="shared" si="124"/>
        <v>0</v>
      </c>
      <c r="BK101" s="750"/>
      <c r="BL101" s="377"/>
      <c r="BM101" s="377"/>
      <c r="BN101" s="750">
        <f t="shared" si="125"/>
        <v>0</v>
      </c>
      <c r="BO101" s="750"/>
      <c r="BP101" s="377"/>
      <c r="BQ101" s="377"/>
      <c r="BR101" s="750">
        <f t="shared" si="126"/>
        <v>0</v>
      </c>
      <c r="BS101" s="750"/>
      <c r="BT101" s="377"/>
      <c r="BU101" s="377"/>
      <c r="BV101" s="750">
        <f t="shared" si="127"/>
        <v>0</v>
      </c>
      <c r="BW101" s="750"/>
      <c r="BX101" s="377"/>
      <c r="BY101" s="377"/>
      <c r="BZ101" s="750">
        <f t="shared" si="128"/>
        <v>0</v>
      </c>
      <c r="CA101" s="750"/>
      <c r="CB101" s="377"/>
      <c r="CC101" s="377"/>
      <c r="CD101" s="750">
        <f t="shared" si="129"/>
        <v>0</v>
      </c>
      <c r="CE101" s="750"/>
      <c r="CF101" s="377"/>
      <c r="CG101" s="376"/>
      <c r="CH101" s="751">
        <f t="shared" si="130"/>
        <v>0</v>
      </c>
      <c r="CI101" s="751"/>
      <c r="CJ101" s="376"/>
      <c r="CK101" s="376"/>
      <c r="CL101" s="750">
        <f t="shared" si="131"/>
        <v>0</v>
      </c>
      <c r="CM101" s="386"/>
      <c r="CN101" s="751"/>
      <c r="CO101" s="751"/>
      <c r="CP101" s="751">
        <v>0</v>
      </c>
      <c r="CQ101" s="751"/>
      <c r="CR101" s="374"/>
      <c r="CS101" s="374"/>
      <c r="CT101" s="744"/>
      <c r="CU101" s="745"/>
      <c r="CV101" s="373"/>
      <c r="CW101" s="373"/>
      <c r="CX101" s="744"/>
      <c r="CY101" s="745"/>
      <c r="CZ101" s="373"/>
      <c r="DA101" s="373"/>
      <c r="DB101" s="744">
        <f t="shared" si="132"/>
        <v>0</v>
      </c>
      <c r="DC101" s="745"/>
      <c r="DG101" s="746"/>
      <c r="DH101" s="746"/>
      <c r="DI101" s="746"/>
      <c r="DJ101" s="747"/>
      <c r="DK101" s="718"/>
      <c r="DL101" s="718"/>
    </row>
    <row r="102" spans="1:116" hidden="1">
      <c r="A102" s="738"/>
      <c r="B102" s="739"/>
      <c r="C102" s="738" t="s">
        <v>703</v>
      </c>
      <c r="D102" s="748">
        <v>2</v>
      </c>
      <c r="E102" s="377"/>
      <c r="F102" s="783">
        <f t="shared" si="111"/>
        <v>0</v>
      </c>
      <c r="G102" s="749">
        <f>F102-E102</f>
        <v>0</v>
      </c>
      <c r="H102" s="749">
        <v>0</v>
      </c>
      <c r="I102" s="377"/>
      <c r="J102" s="376"/>
      <c r="K102" s="750">
        <f>J102-I102</f>
        <v>0</v>
      </c>
      <c r="L102" s="750"/>
      <c r="M102" s="377"/>
      <c r="N102" s="377"/>
      <c r="O102" s="750">
        <f>N102-M102</f>
        <v>0</v>
      </c>
      <c r="P102" s="750">
        <v>0</v>
      </c>
      <c r="Q102" s="377"/>
      <c r="R102" s="377"/>
      <c r="S102" s="750">
        <f>R102-Q102</f>
        <v>0</v>
      </c>
      <c r="T102" s="750"/>
      <c r="U102" s="377"/>
      <c r="V102" s="377"/>
      <c r="W102" s="750">
        <f>V102-U102</f>
        <v>0</v>
      </c>
      <c r="X102" s="750"/>
      <c r="Y102" s="377">
        <f>AC102</f>
        <v>0</v>
      </c>
      <c r="Z102" s="377">
        <f>AD102</f>
        <v>0</v>
      </c>
      <c r="AA102" s="750">
        <f>Z102-Y102</f>
        <v>0</v>
      </c>
      <c r="AB102" s="750"/>
      <c r="AC102" s="377"/>
      <c r="AD102" s="377"/>
      <c r="AE102" s="750">
        <f>AD102-AC102</f>
        <v>0</v>
      </c>
      <c r="AF102" s="750"/>
      <c r="AG102" s="377"/>
      <c r="AH102" s="377"/>
      <c r="AI102" s="750"/>
      <c r="AJ102" s="377"/>
      <c r="AK102" s="377"/>
      <c r="AL102" s="750">
        <f>AK102-AJ102</f>
        <v>0</v>
      </c>
      <c r="AM102" s="750"/>
      <c r="AN102" s="377"/>
      <c r="AO102" s="377"/>
      <c r="AP102" s="750">
        <f>AO102-AN102</f>
        <v>0</v>
      </c>
      <c r="AQ102" s="750"/>
      <c r="AR102" s="750"/>
      <c r="AS102" s="750"/>
      <c r="AT102" s="750">
        <f>AS102-AR102</f>
        <v>0</v>
      </c>
      <c r="AU102" s="750"/>
      <c r="AV102" s="377"/>
      <c r="AW102" s="376"/>
      <c r="AX102" s="751">
        <f>AW102-AV102</f>
        <v>0</v>
      </c>
      <c r="AY102" s="751"/>
      <c r="AZ102" s="376"/>
      <c r="BA102" s="376"/>
      <c r="BB102" s="751">
        <v>0</v>
      </c>
      <c r="BC102" s="751"/>
      <c r="BD102" s="376"/>
      <c r="BE102" s="376"/>
      <c r="BF102" s="751">
        <f>BE102-BD102</f>
        <v>0</v>
      </c>
      <c r="BG102" s="751"/>
      <c r="BH102" s="376"/>
      <c r="BI102" s="376"/>
      <c r="BJ102" s="751">
        <f>BI102-BH102</f>
        <v>0</v>
      </c>
      <c r="BK102" s="751"/>
      <c r="BL102" s="376"/>
      <c r="BM102" s="376"/>
      <c r="BN102" s="751">
        <f>BM102-BL102</f>
        <v>0</v>
      </c>
      <c r="BO102" s="751"/>
      <c r="BP102" s="376"/>
      <c r="BQ102" s="376"/>
      <c r="BR102" s="751">
        <f>BQ102-BP102</f>
        <v>0</v>
      </c>
      <c r="BS102" s="750"/>
      <c r="BT102" s="377"/>
      <c r="BU102" s="377"/>
      <c r="BV102" s="750">
        <f>BU102-BT102</f>
        <v>0</v>
      </c>
      <c r="BW102" s="750"/>
      <c r="BX102" s="377"/>
      <c r="BY102" s="377"/>
      <c r="BZ102" s="750">
        <f>BY102-BX102</f>
        <v>0</v>
      </c>
      <c r="CA102" s="750"/>
      <c r="CB102" s="377"/>
      <c r="CC102" s="377"/>
      <c r="CD102" s="750">
        <f>CC102-CB102</f>
        <v>0</v>
      </c>
      <c r="CE102" s="750"/>
      <c r="CF102" s="377"/>
      <c r="CG102" s="377"/>
      <c r="CH102" s="750">
        <f>CG102-CF102</f>
        <v>0</v>
      </c>
      <c r="CI102" s="750"/>
      <c r="CJ102" s="377"/>
      <c r="CK102" s="377"/>
      <c r="CL102" s="750">
        <f>CK102-CJ102</f>
        <v>0</v>
      </c>
      <c r="CM102" s="386"/>
      <c r="CN102" s="751"/>
      <c r="CO102" s="751"/>
      <c r="CP102" s="751">
        <v>0</v>
      </c>
      <c r="CQ102" s="751"/>
      <c r="CR102" s="374"/>
      <c r="CS102" s="374"/>
      <c r="CT102" s="744"/>
      <c r="CU102" s="745"/>
      <c r="CV102" s="373"/>
      <c r="CW102" s="373"/>
      <c r="CX102" s="744"/>
      <c r="CY102" s="745"/>
      <c r="CZ102" s="373"/>
      <c r="DA102" s="373"/>
      <c r="DB102" s="744">
        <f>DA102-CZ102</f>
        <v>0</v>
      </c>
      <c r="DC102" s="745"/>
      <c r="DG102" s="746"/>
      <c r="DH102" s="746"/>
      <c r="DI102" s="746"/>
      <c r="DJ102" s="747"/>
      <c r="DK102" s="718"/>
      <c r="DL102" s="718"/>
    </row>
    <row r="103" spans="1:116" hidden="1">
      <c r="A103" s="738"/>
      <c r="B103" s="739"/>
      <c r="C103" s="738" t="s">
        <v>372</v>
      </c>
      <c r="D103" s="748"/>
      <c r="E103" s="377">
        <f t="shared" si="110"/>
        <v>0</v>
      </c>
      <c r="F103" s="783">
        <f t="shared" si="111"/>
        <v>0</v>
      </c>
      <c r="G103" s="749">
        <f t="shared" si="70"/>
        <v>0</v>
      </c>
      <c r="H103" s="749" t="e">
        <f t="shared" si="96"/>
        <v>#DIV/0!</v>
      </c>
      <c r="I103" s="377"/>
      <c r="J103" s="376"/>
      <c r="K103" s="750">
        <f t="shared" si="118"/>
        <v>0</v>
      </c>
      <c r="L103" s="750"/>
      <c r="M103" s="377"/>
      <c r="N103" s="377"/>
      <c r="O103" s="750">
        <f t="shared" si="114"/>
        <v>0</v>
      </c>
      <c r="P103" s="750" t="e">
        <f>N103/M103</f>
        <v>#DIV/0!</v>
      </c>
      <c r="Q103" s="377"/>
      <c r="R103" s="377"/>
      <c r="S103" s="750">
        <f t="shared" si="115"/>
        <v>0</v>
      </c>
      <c r="T103" s="750"/>
      <c r="U103" s="377"/>
      <c r="V103" s="377"/>
      <c r="W103" s="750">
        <f t="shared" si="116"/>
        <v>0</v>
      </c>
      <c r="X103" s="750"/>
      <c r="Y103" s="377">
        <f t="shared" si="113"/>
        <v>0</v>
      </c>
      <c r="Z103" s="377">
        <f t="shared" si="113"/>
        <v>0</v>
      </c>
      <c r="AA103" s="750">
        <f t="shared" si="119"/>
        <v>0</v>
      </c>
      <c r="AB103" s="750"/>
      <c r="AC103" s="377"/>
      <c r="AD103" s="377"/>
      <c r="AE103" s="750">
        <f t="shared" si="120"/>
        <v>0</v>
      </c>
      <c r="AF103" s="750"/>
      <c r="AG103" s="377"/>
      <c r="AH103" s="377"/>
      <c r="AI103" s="750"/>
      <c r="AJ103" s="377"/>
      <c r="AK103" s="377"/>
      <c r="AL103" s="750">
        <f t="shared" si="121"/>
        <v>0</v>
      </c>
      <c r="AM103" s="750"/>
      <c r="AN103" s="377"/>
      <c r="AO103" s="377"/>
      <c r="AP103" s="750">
        <f t="shared" si="117"/>
        <v>0</v>
      </c>
      <c r="AQ103" s="750" t="e">
        <f>AO103/AN103</f>
        <v>#DIV/0!</v>
      </c>
      <c r="AR103" s="750"/>
      <c r="AS103" s="750"/>
      <c r="AT103" s="750">
        <f>AS103-AR103</f>
        <v>0</v>
      </c>
      <c r="AU103" s="750"/>
      <c r="AV103" s="377"/>
      <c r="AW103" s="376"/>
      <c r="AX103" s="751">
        <f t="shared" si="122"/>
        <v>0</v>
      </c>
      <c r="AY103" s="751"/>
      <c r="AZ103" s="376"/>
      <c r="BA103" s="376"/>
      <c r="BB103" s="751">
        <v>0</v>
      </c>
      <c r="BC103" s="751"/>
      <c r="BD103" s="376"/>
      <c r="BE103" s="376"/>
      <c r="BF103" s="751">
        <f t="shared" si="123"/>
        <v>0</v>
      </c>
      <c r="BG103" s="751"/>
      <c r="BH103" s="376"/>
      <c r="BI103" s="376"/>
      <c r="BJ103" s="751">
        <f t="shared" si="124"/>
        <v>0</v>
      </c>
      <c r="BK103" s="751"/>
      <c r="BL103" s="376"/>
      <c r="BM103" s="376"/>
      <c r="BN103" s="751">
        <f t="shared" si="125"/>
        <v>0</v>
      </c>
      <c r="BO103" s="751"/>
      <c r="BP103" s="376"/>
      <c r="BQ103" s="376"/>
      <c r="BR103" s="751">
        <f t="shared" si="126"/>
        <v>0</v>
      </c>
      <c r="BS103" s="750"/>
      <c r="BT103" s="377"/>
      <c r="BU103" s="377"/>
      <c r="BV103" s="750">
        <f t="shared" si="127"/>
        <v>0</v>
      </c>
      <c r="BW103" s="750"/>
      <c r="BX103" s="377"/>
      <c r="BY103" s="377"/>
      <c r="BZ103" s="750">
        <f t="shared" si="128"/>
        <v>0</v>
      </c>
      <c r="CA103" s="750"/>
      <c r="CB103" s="377"/>
      <c r="CC103" s="377"/>
      <c r="CD103" s="750">
        <f t="shared" si="129"/>
        <v>0</v>
      </c>
      <c r="CE103" s="750"/>
      <c r="CF103" s="377"/>
      <c r="CG103" s="377"/>
      <c r="CH103" s="750">
        <f t="shared" si="130"/>
        <v>0</v>
      </c>
      <c r="CI103" s="750"/>
      <c r="CJ103" s="377"/>
      <c r="CK103" s="377"/>
      <c r="CL103" s="750">
        <f t="shared" si="131"/>
        <v>0</v>
      </c>
      <c r="CM103" s="386"/>
      <c r="CN103" s="751"/>
      <c r="CO103" s="751"/>
      <c r="CP103" s="751">
        <v>0</v>
      </c>
      <c r="CQ103" s="751"/>
      <c r="CR103" s="374"/>
      <c r="CS103" s="374"/>
      <c r="CT103" s="744"/>
      <c r="CU103" s="745"/>
      <c r="CV103" s="373"/>
      <c r="CW103" s="373"/>
      <c r="CX103" s="744"/>
      <c r="CY103" s="745"/>
      <c r="CZ103" s="373"/>
      <c r="DA103" s="373"/>
      <c r="DB103" s="744">
        <f t="shared" si="132"/>
        <v>0</v>
      </c>
      <c r="DC103" s="745"/>
      <c r="DG103" s="746"/>
      <c r="DH103" s="746"/>
      <c r="DI103" s="746"/>
      <c r="DJ103" s="747"/>
      <c r="DK103" s="718"/>
      <c r="DL103" s="718"/>
    </row>
    <row r="104" spans="1:116" ht="12" customHeight="1">
      <c r="A104" s="738"/>
      <c r="B104" s="739">
        <v>1718002020</v>
      </c>
      <c r="C104" s="738" t="s">
        <v>908</v>
      </c>
      <c r="D104" s="748"/>
      <c r="E104" s="377">
        <v>0.9</v>
      </c>
      <c r="F104" s="783">
        <f t="shared" si="111"/>
        <v>0</v>
      </c>
      <c r="G104" s="749">
        <f t="shared" si="70"/>
        <v>-0.9</v>
      </c>
      <c r="H104" s="749">
        <f t="shared" si="96"/>
        <v>0</v>
      </c>
      <c r="I104" s="377">
        <v>0.9</v>
      </c>
      <c r="J104" s="376"/>
      <c r="K104" s="750">
        <f t="shared" si="118"/>
        <v>-0.9</v>
      </c>
      <c r="L104" s="750"/>
      <c r="M104" s="377"/>
      <c r="N104" s="377"/>
      <c r="O104" s="750">
        <f t="shared" si="114"/>
        <v>0</v>
      </c>
      <c r="P104" s="750"/>
      <c r="Q104" s="377"/>
      <c r="R104" s="377"/>
      <c r="S104" s="750">
        <f t="shared" si="115"/>
        <v>0</v>
      </c>
      <c r="T104" s="750"/>
      <c r="U104" s="377"/>
      <c r="V104" s="377"/>
      <c r="W104" s="750">
        <f t="shared" si="116"/>
        <v>0</v>
      </c>
      <c r="X104" s="750"/>
      <c r="Y104" s="377">
        <f t="shared" si="113"/>
        <v>0</v>
      </c>
      <c r="Z104" s="377">
        <f t="shared" si="113"/>
        <v>0</v>
      </c>
      <c r="AA104" s="750">
        <f t="shared" si="119"/>
        <v>0</v>
      </c>
      <c r="AB104" s="750"/>
      <c r="AC104" s="377"/>
      <c r="AD104" s="377"/>
      <c r="AE104" s="750">
        <f t="shared" si="120"/>
        <v>0</v>
      </c>
      <c r="AF104" s="750"/>
      <c r="AG104" s="377"/>
      <c r="AH104" s="377"/>
      <c r="AI104" s="750"/>
      <c r="AJ104" s="377"/>
      <c r="AK104" s="377"/>
      <c r="AL104" s="750">
        <f t="shared" si="121"/>
        <v>0</v>
      </c>
      <c r="AM104" s="750"/>
      <c r="AN104" s="377"/>
      <c r="AO104" s="377"/>
      <c r="AP104" s="750">
        <f t="shared" si="117"/>
        <v>0</v>
      </c>
      <c r="AQ104" s="750"/>
      <c r="AR104" s="750"/>
      <c r="AS104" s="750"/>
      <c r="AT104" s="750"/>
      <c r="AU104" s="750"/>
      <c r="AV104" s="377"/>
      <c r="AW104" s="376"/>
      <c r="AX104" s="751">
        <f t="shared" si="122"/>
        <v>0</v>
      </c>
      <c r="AY104" s="751"/>
      <c r="AZ104" s="376"/>
      <c r="BA104" s="376"/>
      <c r="BB104" s="751">
        <v>0</v>
      </c>
      <c r="BC104" s="751"/>
      <c r="BD104" s="376"/>
      <c r="BE104" s="376"/>
      <c r="BF104" s="751">
        <f t="shared" si="123"/>
        <v>0</v>
      </c>
      <c r="BG104" s="751"/>
      <c r="BH104" s="376"/>
      <c r="BI104" s="376"/>
      <c r="BJ104" s="751">
        <f t="shared" si="124"/>
        <v>0</v>
      </c>
      <c r="BK104" s="751"/>
      <c r="BL104" s="376"/>
      <c r="BM104" s="376"/>
      <c r="BN104" s="751">
        <f t="shared" si="125"/>
        <v>0</v>
      </c>
      <c r="BO104" s="751"/>
      <c r="BP104" s="376"/>
      <c r="BQ104" s="376"/>
      <c r="BR104" s="751">
        <f t="shared" si="126"/>
        <v>0</v>
      </c>
      <c r="BS104" s="750"/>
      <c r="BT104" s="377"/>
      <c r="BU104" s="377"/>
      <c r="BV104" s="750">
        <f t="shared" si="127"/>
        <v>0</v>
      </c>
      <c r="BW104" s="750"/>
      <c r="BX104" s="377"/>
      <c r="BY104" s="377"/>
      <c r="BZ104" s="750">
        <f t="shared" si="128"/>
        <v>0</v>
      </c>
      <c r="CA104" s="750"/>
      <c r="CB104" s="377"/>
      <c r="CC104" s="377"/>
      <c r="CD104" s="750">
        <f t="shared" si="129"/>
        <v>0</v>
      </c>
      <c r="CE104" s="750"/>
      <c r="CF104" s="377"/>
      <c r="CG104" s="377"/>
      <c r="CH104" s="750">
        <f t="shared" si="130"/>
        <v>0</v>
      </c>
      <c r="CI104" s="750"/>
      <c r="CJ104" s="377"/>
      <c r="CK104" s="377"/>
      <c r="CL104" s="750">
        <f t="shared" si="131"/>
        <v>0</v>
      </c>
      <c r="CM104" s="386"/>
      <c r="CN104" s="751"/>
      <c r="CO104" s="751"/>
      <c r="CP104" s="751">
        <v>0</v>
      </c>
      <c r="CQ104" s="751"/>
      <c r="CR104" s="374"/>
      <c r="CS104" s="374"/>
      <c r="CT104" s="744"/>
      <c r="CU104" s="745"/>
      <c r="CV104" s="373"/>
      <c r="CW104" s="373"/>
      <c r="CX104" s="744"/>
      <c r="CY104" s="745"/>
      <c r="CZ104" s="373"/>
      <c r="DA104" s="373"/>
      <c r="DB104" s="744">
        <f t="shared" si="132"/>
        <v>0</v>
      </c>
      <c r="DC104" s="745"/>
      <c r="DG104" s="746"/>
      <c r="DH104" s="746"/>
      <c r="DI104" s="746"/>
      <c r="DJ104" s="747"/>
      <c r="DK104" s="718"/>
      <c r="DL104" s="718"/>
    </row>
    <row r="105" spans="1:116" ht="13.5" customHeight="1">
      <c r="A105" s="738"/>
      <c r="B105" s="739">
        <v>1701036078</v>
      </c>
      <c r="C105" s="738" t="s">
        <v>599</v>
      </c>
      <c r="D105" s="748">
        <v>123.7</v>
      </c>
      <c r="E105" s="377">
        <v>298</v>
      </c>
      <c r="F105" s="783">
        <f t="shared" si="111"/>
        <v>4.3419999999999996</v>
      </c>
      <c r="G105" s="749">
        <f t="shared" si="70"/>
        <v>-293.65800000000002</v>
      </c>
      <c r="H105" s="749">
        <f t="shared" si="96"/>
        <v>1.4570469798657717E-2</v>
      </c>
      <c r="I105" s="376">
        <v>298.03500000000003</v>
      </c>
      <c r="J105" s="376"/>
      <c r="K105" s="750">
        <f t="shared" si="118"/>
        <v>-298.03500000000003</v>
      </c>
      <c r="L105" s="750"/>
      <c r="M105" s="377"/>
      <c r="N105" s="376">
        <v>4.3419999999999996</v>
      </c>
      <c r="O105" s="750">
        <f t="shared" si="114"/>
        <v>4.3419999999999996</v>
      </c>
      <c r="P105" s="750"/>
      <c r="Q105" s="377"/>
      <c r="R105" s="377"/>
      <c r="S105" s="750">
        <f t="shared" si="115"/>
        <v>0</v>
      </c>
      <c r="T105" s="750"/>
      <c r="U105" s="377"/>
      <c r="V105" s="377"/>
      <c r="W105" s="750">
        <f t="shared" si="116"/>
        <v>0</v>
      </c>
      <c r="X105" s="750"/>
      <c r="Y105" s="377">
        <f t="shared" si="113"/>
        <v>0</v>
      </c>
      <c r="Z105" s="377">
        <f t="shared" si="113"/>
        <v>0</v>
      </c>
      <c r="AA105" s="750">
        <f t="shared" si="119"/>
        <v>0</v>
      </c>
      <c r="AB105" s="750"/>
      <c r="AC105" s="377"/>
      <c r="AD105" s="377"/>
      <c r="AE105" s="750">
        <f t="shared" si="120"/>
        <v>0</v>
      </c>
      <c r="AF105" s="750"/>
      <c r="AG105" s="377"/>
      <c r="AH105" s="377"/>
      <c r="AI105" s="750"/>
      <c r="AJ105" s="377"/>
      <c r="AK105" s="377"/>
      <c r="AL105" s="750">
        <f t="shared" si="121"/>
        <v>0</v>
      </c>
      <c r="AM105" s="750"/>
      <c r="AN105" s="377"/>
      <c r="AO105" s="377"/>
      <c r="AP105" s="750">
        <f t="shared" si="117"/>
        <v>0</v>
      </c>
      <c r="AQ105" s="750"/>
      <c r="AR105" s="750"/>
      <c r="AS105" s="750"/>
      <c r="AT105" s="750"/>
      <c r="AU105" s="750"/>
      <c r="AV105" s="377"/>
      <c r="AW105" s="376"/>
      <c r="AX105" s="751">
        <f t="shared" si="122"/>
        <v>0</v>
      </c>
      <c r="AY105" s="751"/>
      <c r="AZ105" s="376"/>
      <c r="BA105" s="376"/>
      <c r="BB105" s="751">
        <v>0</v>
      </c>
      <c r="BC105" s="751"/>
      <c r="BD105" s="376"/>
      <c r="BE105" s="376"/>
      <c r="BF105" s="751">
        <f t="shared" si="123"/>
        <v>0</v>
      </c>
      <c r="BG105" s="751"/>
      <c r="BH105" s="376"/>
      <c r="BI105" s="376"/>
      <c r="BJ105" s="751">
        <f t="shared" si="124"/>
        <v>0</v>
      </c>
      <c r="BK105" s="751"/>
      <c r="BL105" s="376"/>
      <c r="BM105" s="376"/>
      <c r="BN105" s="751">
        <f t="shared" si="125"/>
        <v>0</v>
      </c>
      <c r="BO105" s="751"/>
      <c r="BP105" s="376"/>
      <c r="BQ105" s="376"/>
      <c r="BR105" s="751">
        <f t="shared" si="126"/>
        <v>0</v>
      </c>
      <c r="BS105" s="750"/>
      <c r="BT105" s="377"/>
      <c r="BU105" s="377"/>
      <c r="BV105" s="750">
        <f t="shared" si="127"/>
        <v>0</v>
      </c>
      <c r="BW105" s="750"/>
      <c r="BX105" s="377"/>
      <c r="BY105" s="377"/>
      <c r="BZ105" s="750">
        <f t="shared" si="128"/>
        <v>0</v>
      </c>
      <c r="CA105" s="750"/>
      <c r="CB105" s="377"/>
      <c r="CC105" s="377"/>
      <c r="CD105" s="750">
        <f t="shared" si="129"/>
        <v>0</v>
      </c>
      <c r="CE105" s="750"/>
      <c r="CF105" s="377"/>
      <c r="CG105" s="376"/>
      <c r="CH105" s="750">
        <f t="shared" si="130"/>
        <v>0</v>
      </c>
      <c r="CI105" s="750"/>
      <c r="CJ105" s="377"/>
      <c r="CK105" s="377"/>
      <c r="CL105" s="750">
        <f t="shared" si="131"/>
        <v>0</v>
      </c>
      <c r="CM105" s="386"/>
      <c r="CN105" s="751"/>
      <c r="CO105" s="751"/>
      <c r="CP105" s="751">
        <v>0</v>
      </c>
      <c r="CQ105" s="751"/>
      <c r="CR105" s="374"/>
      <c r="CS105" s="374"/>
      <c r="CT105" s="744"/>
      <c r="CU105" s="745"/>
      <c r="CV105" s="373"/>
      <c r="CW105" s="373"/>
      <c r="CX105" s="744"/>
      <c r="CY105" s="745"/>
      <c r="CZ105" s="373"/>
      <c r="DA105" s="373"/>
      <c r="DB105" s="744">
        <f t="shared" si="132"/>
        <v>0</v>
      </c>
      <c r="DC105" s="745"/>
      <c r="DG105" s="746"/>
      <c r="DH105" s="746"/>
      <c r="DI105" s="746"/>
      <c r="DJ105" s="747"/>
      <c r="DK105" s="718"/>
      <c r="DL105" s="718"/>
    </row>
    <row r="106" spans="1:116">
      <c r="A106" s="738"/>
      <c r="B106" s="771" t="s">
        <v>835</v>
      </c>
      <c r="C106" s="738" t="s">
        <v>901</v>
      </c>
      <c r="D106" s="748">
        <v>3</v>
      </c>
      <c r="E106" s="377">
        <v>727.6</v>
      </c>
      <c r="F106" s="783">
        <f t="shared" si="111"/>
        <v>3.0059999999999998</v>
      </c>
      <c r="G106" s="749">
        <f t="shared" si="70"/>
        <v>-724.59400000000005</v>
      </c>
      <c r="H106" s="749">
        <f t="shared" si="96"/>
        <v>4.1313908741066512E-3</v>
      </c>
      <c r="I106" s="377"/>
      <c r="J106" s="376"/>
      <c r="K106" s="750">
        <f t="shared" si="118"/>
        <v>0</v>
      </c>
      <c r="L106" s="750"/>
      <c r="M106" s="377"/>
      <c r="N106" s="377"/>
      <c r="O106" s="750">
        <f t="shared" si="114"/>
        <v>0</v>
      </c>
      <c r="P106" s="750"/>
      <c r="Q106" s="377"/>
      <c r="R106" s="377"/>
      <c r="S106" s="750">
        <f t="shared" si="115"/>
        <v>0</v>
      </c>
      <c r="T106" s="750"/>
      <c r="U106" s="377"/>
      <c r="V106" s="377"/>
      <c r="W106" s="750">
        <f t="shared" si="116"/>
        <v>0</v>
      </c>
      <c r="X106" s="750"/>
      <c r="Y106" s="377">
        <f t="shared" si="113"/>
        <v>0</v>
      </c>
      <c r="Z106" s="377">
        <f t="shared" si="113"/>
        <v>0</v>
      </c>
      <c r="AA106" s="750">
        <f t="shared" si="119"/>
        <v>0</v>
      </c>
      <c r="AB106" s="750"/>
      <c r="AC106" s="377"/>
      <c r="AD106" s="377"/>
      <c r="AE106" s="750">
        <f t="shared" si="120"/>
        <v>0</v>
      </c>
      <c r="AF106" s="750"/>
      <c r="AG106" s="377"/>
      <c r="AH106" s="377"/>
      <c r="AI106" s="750"/>
      <c r="AJ106" s="377"/>
      <c r="AK106" s="377"/>
      <c r="AL106" s="750">
        <f t="shared" si="121"/>
        <v>0</v>
      </c>
      <c r="AM106" s="750"/>
      <c r="AN106" s="377"/>
      <c r="AO106" s="377"/>
      <c r="AP106" s="750">
        <f t="shared" si="117"/>
        <v>0</v>
      </c>
      <c r="AQ106" s="750"/>
      <c r="AR106" s="750"/>
      <c r="AS106" s="750"/>
      <c r="AT106" s="750"/>
      <c r="AU106" s="750"/>
      <c r="AV106" s="377"/>
      <c r="AW106" s="376"/>
      <c r="AX106" s="751">
        <f t="shared" si="122"/>
        <v>0</v>
      </c>
      <c r="AY106" s="751"/>
      <c r="AZ106" s="376"/>
      <c r="BA106" s="376"/>
      <c r="BB106" s="751">
        <v>0</v>
      </c>
      <c r="BC106" s="751"/>
      <c r="BD106" s="376"/>
      <c r="BE106" s="376"/>
      <c r="BF106" s="751">
        <f t="shared" si="123"/>
        <v>0</v>
      </c>
      <c r="BG106" s="751"/>
      <c r="BH106" s="376"/>
      <c r="BI106" s="376"/>
      <c r="BJ106" s="751">
        <f t="shared" si="124"/>
        <v>0</v>
      </c>
      <c r="BK106" s="751"/>
      <c r="BL106" s="376"/>
      <c r="BM106" s="376"/>
      <c r="BN106" s="751">
        <f t="shared" si="125"/>
        <v>0</v>
      </c>
      <c r="BO106" s="751"/>
      <c r="BP106" s="376"/>
      <c r="BQ106" s="376">
        <v>3.0059999999999998</v>
      </c>
      <c r="BR106" s="751">
        <f t="shared" si="126"/>
        <v>3.0059999999999998</v>
      </c>
      <c r="BS106" s="750"/>
      <c r="BT106" s="377"/>
      <c r="BU106" s="377"/>
      <c r="BV106" s="750">
        <f t="shared" si="127"/>
        <v>0</v>
      </c>
      <c r="BW106" s="750"/>
      <c r="BX106" s="377"/>
      <c r="BY106" s="377"/>
      <c r="BZ106" s="750">
        <f t="shared" si="128"/>
        <v>0</v>
      </c>
      <c r="CA106" s="750"/>
      <c r="CB106" s="377"/>
      <c r="CC106" s="377"/>
      <c r="CD106" s="750">
        <f t="shared" si="129"/>
        <v>0</v>
      </c>
      <c r="CE106" s="750"/>
      <c r="CF106" s="376">
        <v>727.62199999999996</v>
      </c>
      <c r="CG106" s="376"/>
      <c r="CH106" s="750">
        <f t="shared" si="130"/>
        <v>-727.62199999999996</v>
      </c>
      <c r="CI106" s="750"/>
      <c r="CJ106" s="377"/>
      <c r="CK106" s="377"/>
      <c r="CL106" s="750">
        <f t="shared" si="131"/>
        <v>0</v>
      </c>
      <c r="CM106" s="386"/>
      <c r="CN106" s="751"/>
      <c r="CO106" s="751"/>
      <c r="CP106" s="751">
        <v>0</v>
      </c>
      <c r="CQ106" s="751"/>
      <c r="CR106" s="374"/>
      <c r="CS106" s="374"/>
      <c r="CT106" s="744"/>
      <c r="CU106" s="745"/>
      <c r="CV106" s="373"/>
      <c r="CW106" s="373"/>
      <c r="CX106" s="744"/>
      <c r="CY106" s="745"/>
      <c r="CZ106" s="373"/>
      <c r="DA106" s="373"/>
      <c r="DB106" s="744">
        <f t="shared" si="132"/>
        <v>0</v>
      </c>
      <c r="DC106" s="745"/>
      <c r="DG106" s="746"/>
      <c r="DH106" s="746"/>
      <c r="DI106" s="746"/>
      <c r="DJ106" s="747"/>
      <c r="DK106" s="718"/>
      <c r="DL106" s="718"/>
    </row>
    <row r="107" spans="1:116" ht="14.25" hidden="1" customHeight="1">
      <c r="A107" s="738"/>
      <c r="B107" s="739">
        <v>1701059029</v>
      </c>
      <c r="C107" s="738" t="s">
        <v>558</v>
      </c>
      <c r="D107" s="748"/>
      <c r="E107" s="377">
        <v>10.5</v>
      </c>
      <c r="F107" s="783">
        <f t="shared" si="111"/>
        <v>0</v>
      </c>
      <c r="G107" s="749">
        <f t="shared" si="70"/>
        <v>-10.5</v>
      </c>
      <c r="H107" s="749">
        <f t="shared" si="96"/>
        <v>0</v>
      </c>
      <c r="I107" s="377"/>
      <c r="J107" s="377"/>
      <c r="K107" s="750">
        <f t="shared" si="118"/>
        <v>0</v>
      </c>
      <c r="L107" s="750">
        <v>0</v>
      </c>
      <c r="M107" s="377"/>
      <c r="N107" s="377"/>
      <c r="O107" s="750">
        <f t="shared" si="114"/>
        <v>0</v>
      </c>
      <c r="P107" s="750"/>
      <c r="Q107" s="377"/>
      <c r="R107" s="377"/>
      <c r="S107" s="750">
        <f t="shared" si="115"/>
        <v>0</v>
      </c>
      <c r="T107" s="750"/>
      <c r="U107" s="377"/>
      <c r="V107" s="377"/>
      <c r="W107" s="750">
        <f t="shared" si="116"/>
        <v>0</v>
      </c>
      <c r="X107" s="750"/>
      <c r="Y107" s="377">
        <f t="shared" si="113"/>
        <v>0</v>
      </c>
      <c r="Z107" s="377">
        <f t="shared" si="113"/>
        <v>0</v>
      </c>
      <c r="AA107" s="750">
        <f t="shared" si="119"/>
        <v>0</v>
      </c>
      <c r="AB107" s="750"/>
      <c r="AC107" s="377"/>
      <c r="AD107" s="377"/>
      <c r="AE107" s="750">
        <f t="shared" si="120"/>
        <v>0</v>
      </c>
      <c r="AF107" s="750"/>
      <c r="AG107" s="377"/>
      <c r="AH107" s="377"/>
      <c r="AI107" s="750"/>
      <c r="AJ107" s="377"/>
      <c r="AK107" s="377"/>
      <c r="AL107" s="750">
        <f t="shared" si="121"/>
        <v>0</v>
      </c>
      <c r="AM107" s="750"/>
      <c r="AN107" s="377"/>
      <c r="AO107" s="377"/>
      <c r="AP107" s="750">
        <f t="shared" si="117"/>
        <v>0</v>
      </c>
      <c r="AQ107" s="750"/>
      <c r="AR107" s="750"/>
      <c r="AS107" s="750"/>
      <c r="AT107" s="750">
        <f>AS107-AR107</f>
        <v>0</v>
      </c>
      <c r="AU107" s="750"/>
      <c r="AV107" s="376">
        <v>1.6E-2</v>
      </c>
      <c r="AW107" s="376"/>
      <c r="AX107" s="751">
        <f t="shared" si="122"/>
        <v>-1.6E-2</v>
      </c>
      <c r="AY107" s="751"/>
      <c r="AZ107" s="376"/>
      <c r="BA107" s="376"/>
      <c r="BB107" s="751">
        <v>0</v>
      </c>
      <c r="BC107" s="751"/>
      <c r="BD107" s="376"/>
      <c r="BE107" s="376"/>
      <c r="BF107" s="751">
        <f t="shared" si="123"/>
        <v>0</v>
      </c>
      <c r="BG107" s="751"/>
      <c r="BH107" s="376"/>
      <c r="BI107" s="376"/>
      <c r="BJ107" s="751">
        <f t="shared" si="124"/>
        <v>0</v>
      </c>
      <c r="BK107" s="751"/>
      <c r="BL107" s="376"/>
      <c r="BM107" s="376"/>
      <c r="BN107" s="751">
        <f t="shared" si="125"/>
        <v>0</v>
      </c>
      <c r="BO107" s="751"/>
      <c r="BP107" s="376"/>
      <c r="BQ107" s="376"/>
      <c r="BR107" s="751">
        <f t="shared" si="126"/>
        <v>0</v>
      </c>
      <c r="BS107" s="750"/>
      <c r="BT107" s="377"/>
      <c r="BU107" s="377"/>
      <c r="BV107" s="750">
        <f t="shared" si="127"/>
        <v>0</v>
      </c>
      <c r="BW107" s="750"/>
      <c r="BX107" s="377"/>
      <c r="BY107" s="377"/>
      <c r="BZ107" s="750">
        <f t="shared" si="128"/>
        <v>0</v>
      </c>
      <c r="CA107" s="750"/>
      <c r="CB107" s="377"/>
      <c r="CC107" s="377"/>
      <c r="CD107" s="750">
        <f t="shared" si="129"/>
        <v>0</v>
      </c>
      <c r="CE107" s="750"/>
      <c r="CF107" s="376">
        <v>10.503</v>
      </c>
      <c r="CG107" s="376"/>
      <c r="CH107" s="750">
        <f t="shared" si="130"/>
        <v>-10.503</v>
      </c>
      <c r="CI107" s="750"/>
      <c r="CJ107" s="377"/>
      <c r="CK107" s="377"/>
      <c r="CL107" s="750">
        <f t="shared" si="131"/>
        <v>0</v>
      </c>
      <c r="CM107" s="386"/>
      <c r="CN107" s="751"/>
      <c r="CO107" s="751"/>
      <c r="CP107" s="751">
        <v>0</v>
      </c>
      <c r="CQ107" s="751"/>
      <c r="CR107" s="374"/>
      <c r="CS107" s="374"/>
      <c r="CT107" s="744"/>
      <c r="CU107" s="745"/>
      <c r="CV107" s="373"/>
      <c r="CW107" s="373"/>
      <c r="CX107" s="744"/>
      <c r="CY107" s="745"/>
      <c r="CZ107" s="373"/>
      <c r="DA107" s="373"/>
      <c r="DB107" s="744">
        <f t="shared" si="132"/>
        <v>0</v>
      </c>
      <c r="DC107" s="745"/>
      <c r="DG107" s="746"/>
      <c r="DH107" s="746"/>
      <c r="DI107" s="746"/>
      <c r="DJ107" s="747"/>
      <c r="DK107" s="718"/>
      <c r="DL107" s="718"/>
    </row>
    <row r="108" spans="1:116" ht="16.5" hidden="1" customHeight="1">
      <c r="A108" s="738"/>
      <c r="B108" s="739"/>
      <c r="C108" s="738" t="s">
        <v>374</v>
      </c>
      <c r="D108" s="748"/>
      <c r="E108" s="377">
        <f t="shared" si="110"/>
        <v>0</v>
      </c>
      <c r="F108" s="783">
        <f t="shared" si="111"/>
        <v>0</v>
      </c>
      <c r="G108" s="749">
        <f t="shared" si="70"/>
        <v>0</v>
      </c>
      <c r="H108" s="749" t="e">
        <f t="shared" si="96"/>
        <v>#DIV/0!</v>
      </c>
      <c r="I108" s="377"/>
      <c r="J108" s="377"/>
      <c r="K108" s="750">
        <f t="shared" si="118"/>
        <v>0</v>
      </c>
      <c r="L108" s="750"/>
      <c r="M108" s="377"/>
      <c r="N108" s="377"/>
      <c r="O108" s="750">
        <f t="shared" si="114"/>
        <v>0</v>
      </c>
      <c r="P108" s="750"/>
      <c r="Q108" s="377"/>
      <c r="R108" s="377"/>
      <c r="S108" s="750">
        <f t="shared" si="115"/>
        <v>0</v>
      </c>
      <c r="T108" s="750"/>
      <c r="U108" s="377"/>
      <c r="V108" s="377"/>
      <c r="W108" s="750">
        <f t="shared" si="116"/>
        <v>0</v>
      </c>
      <c r="X108" s="750"/>
      <c r="Y108" s="377">
        <f t="shared" si="113"/>
        <v>0</v>
      </c>
      <c r="Z108" s="377">
        <f t="shared" si="113"/>
        <v>0</v>
      </c>
      <c r="AA108" s="750">
        <f t="shared" si="119"/>
        <v>0</v>
      </c>
      <c r="AB108" s="750"/>
      <c r="AC108" s="377"/>
      <c r="AD108" s="377"/>
      <c r="AE108" s="750">
        <f t="shared" si="120"/>
        <v>0</v>
      </c>
      <c r="AF108" s="750"/>
      <c r="AG108" s="377"/>
      <c r="AH108" s="377"/>
      <c r="AI108" s="750"/>
      <c r="AJ108" s="377"/>
      <c r="AK108" s="377"/>
      <c r="AL108" s="750">
        <f t="shared" si="121"/>
        <v>0</v>
      </c>
      <c r="AM108" s="750"/>
      <c r="AN108" s="377"/>
      <c r="AO108" s="377"/>
      <c r="AP108" s="750">
        <f t="shared" si="117"/>
        <v>0</v>
      </c>
      <c r="AQ108" s="750"/>
      <c r="AR108" s="750"/>
      <c r="AS108" s="750"/>
      <c r="AT108" s="750">
        <f>AS108-AR108</f>
        <v>0</v>
      </c>
      <c r="AU108" s="750"/>
      <c r="AV108" s="377"/>
      <c r="AW108" s="376"/>
      <c r="AX108" s="751">
        <f t="shared" si="122"/>
        <v>0</v>
      </c>
      <c r="AY108" s="751"/>
      <c r="AZ108" s="376"/>
      <c r="BA108" s="376"/>
      <c r="BB108" s="751">
        <v>0</v>
      </c>
      <c r="BC108" s="751"/>
      <c r="BD108" s="376"/>
      <c r="BE108" s="376"/>
      <c r="BF108" s="751">
        <f t="shared" si="123"/>
        <v>0</v>
      </c>
      <c r="BG108" s="751"/>
      <c r="BH108" s="376"/>
      <c r="BI108" s="376"/>
      <c r="BJ108" s="751">
        <f t="shared" si="124"/>
        <v>0</v>
      </c>
      <c r="BK108" s="751"/>
      <c r="BL108" s="376"/>
      <c r="BM108" s="376"/>
      <c r="BN108" s="751">
        <f t="shared" si="125"/>
        <v>0</v>
      </c>
      <c r="BO108" s="751"/>
      <c r="BP108" s="376"/>
      <c r="BQ108" s="376"/>
      <c r="BR108" s="751">
        <f t="shared" si="126"/>
        <v>0</v>
      </c>
      <c r="BS108" s="750"/>
      <c r="BT108" s="377"/>
      <c r="BU108" s="377"/>
      <c r="BV108" s="750">
        <f t="shared" si="127"/>
        <v>0</v>
      </c>
      <c r="BW108" s="750"/>
      <c r="BX108" s="377"/>
      <c r="BY108" s="377"/>
      <c r="BZ108" s="750">
        <f t="shared" si="128"/>
        <v>0</v>
      </c>
      <c r="CA108" s="750"/>
      <c r="CB108" s="377"/>
      <c r="CC108" s="377"/>
      <c r="CD108" s="750">
        <f t="shared" si="129"/>
        <v>0</v>
      </c>
      <c r="CE108" s="750"/>
      <c r="CF108" s="377"/>
      <c r="CG108" s="376"/>
      <c r="CH108" s="750">
        <f t="shared" si="130"/>
        <v>0</v>
      </c>
      <c r="CI108" s="750"/>
      <c r="CJ108" s="377"/>
      <c r="CK108" s="377"/>
      <c r="CL108" s="750">
        <f t="shared" si="131"/>
        <v>0</v>
      </c>
      <c r="CM108" s="386"/>
      <c r="CN108" s="751"/>
      <c r="CO108" s="751"/>
      <c r="CP108" s="751">
        <v>0</v>
      </c>
      <c r="CQ108" s="751"/>
      <c r="CR108" s="374"/>
      <c r="CS108" s="374"/>
      <c r="CT108" s="744"/>
      <c r="CU108" s="745"/>
      <c r="CV108" s="373"/>
      <c r="CW108" s="373"/>
      <c r="CX108" s="744"/>
      <c r="CY108" s="745"/>
      <c r="CZ108" s="373"/>
      <c r="DA108" s="373"/>
      <c r="DB108" s="744">
        <f t="shared" si="132"/>
        <v>0</v>
      </c>
      <c r="DC108" s="745"/>
      <c r="DG108" s="746"/>
      <c r="DH108" s="746"/>
      <c r="DI108" s="746"/>
      <c r="DJ108" s="747"/>
      <c r="DK108" s="718"/>
      <c r="DL108" s="718"/>
    </row>
    <row r="109" spans="1:116" ht="16.5" customHeight="1">
      <c r="A109" s="738"/>
      <c r="B109" s="739">
        <v>1718002630</v>
      </c>
      <c r="C109" s="738" t="s">
        <v>645</v>
      </c>
      <c r="D109" s="748"/>
      <c r="E109" s="377">
        <f>I109+M109+Q109+U109+Y109+AJ109+AN109+AR109+AV109+BD109+BH109+BX109+CF109+CJ109+CN109+CR109+CV109+CZ109+AZ109+BL109+BT109</f>
        <v>0</v>
      </c>
      <c r="F109" s="783">
        <f t="shared" si="111"/>
        <v>19.29683</v>
      </c>
      <c r="G109" s="749">
        <f>F109-E109</f>
        <v>19.29683</v>
      </c>
      <c r="H109" s="749">
        <v>0</v>
      </c>
      <c r="I109" s="377"/>
      <c r="J109" s="377"/>
      <c r="K109" s="750">
        <f>J109-I109</f>
        <v>0</v>
      </c>
      <c r="L109" s="750"/>
      <c r="M109" s="377"/>
      <c r="N109" s="377"/>
      <c r="O109" s="750">
        <f>N109-M109</f>
        <v>0</v>
      </c>
      <c r="P109" s="750"/>
      <c r="Q109" s="377"/>
      <c r="R109" s="377"/>
      <c r="S109" s="750">
        <f>R109-Q109</f>
        <v>0</v>
      </c>
      <c r="T109" s="750"/>
      <c r="U109" s="377"/>
      <c r="V109" s="377"/>
      <c r="W109" s="750">
        <f>V109-U109</f>
        <v>0</v>
      </c>
      <c r="X109" s="750"/>
      <c r="Y109" s="377">
        <f>AC109</f>
        <v>0</v>
      </c>
      <c r="Z109" s="377">
        <f>AD109</f>
        <v>0</v>
      </c>
      <c r="AA109" s="750">
        <f>Z109-Y109</f>
        <v>0</v>
      </c>
      <c r="AB109" s="750"/>
      <c r="AC109" s="377"/>
      <c r="AD109" s="377"/>
      <c r="AE109" s="750">
        <f>AD109-AC109</f>
        <v>0</v>
      </c>
      <c r="AF109" s="750"/>
      <c r="AG109" s="377"/>
      <c r="AH109" s="377"/>
      <c r="AI109" s="750"/>
      <c r="AJ109" s="377"/>
      <c r="AK109" s="377"/>
      <c r="AL109" s="750">
        <f>AK109-AJ109</f>
        <v>0</v>
      </c>
      <c r="AM109" s="750"/>
      <c r="AN109" s="377"/>
      <c r="AO109" s="377"/>
      <c r="AP109" s="750">
        <f>AO109-AN109</f>
        <v>0</v>
      </c>
      <c r="AQ109" s="750"/>
      <c r="AR109" s="750"/>
      <c r="AS109" s="750"/>
      <c r="AT109" s="750">
        <f>AS109-AR109</f>
        <v>0</v>
      </c>
      <c r="AU109" s="750"/>
      <c r="AV109" s="377"/>
      <c r="AW109" s="376"/>
      <c r="AX109" s="751">
        <f>AW109-AV109</f>
        <v>0</v>
      </c>
      <c r="AY109" s="751"/>
      <c r="AZ109" s="376"/>
      <c r="BA109" s="376"/>
      <c r="BB109" s="751">
        <v>0</v>
      </c>
      <c r="BC109" s="751"/>
      <c r="BD109" s="376"/>
      <c r="BE109" s="376"/>
      <c r="BF109" s="751">
        <f>BE109-BD109</f>
        <v>0</v>
      </c>
      <c r="BG109" s="751"/>
      <c r="BH109" s="376"/>
      <c r="BI109" s="376"/>
      <c r="BJ109" s="751">
        <f>BI109-BH109</f>
        <v>0</v>
      </c>
      <c r="BK109" s="751"/>
      <c r="BL109" s="376"/>
      <c r="BM109" s="376"/>
      <c r="BN109" s="751">
        <f>BM109-BL109</f>
        <v>0</v>
      </c>
      <c r="BO109" s="751"/>
      <c r="BP109" s="376"/>
      <c r="BQ109" s="376">
        <v>19.29683</v>
      </c>
      <c r="BR109" s="751">
        <f>BQ109-BP109</f>
        <v>19.29683</v>
      </c>
      <c r="BS109" s="750"/>
      <c r="BT109" s="377"/>
      <c r="BU109" s="377"/>
      <c r="BV109" s="750">
        <f>BU109-BT109</f>
        <v>0</v>
      </c>
      <c r="BW109" s="750"/>
      <c r="BX109" s="377"/>
      <c r="BY109" s="377"/>
      <c r="BZ109" s="750">
        <f>BY109-BX109</f>
        <v>0</v>
      </c>
      <c r="CA109" s="750"/>
      <c r="CB109" s="377"/>
      <c r="CC109" s="377"/>
      <c r="CD109" s="750">
        <f>CC109-CB109</f>
        <v>0</v>
      </c>
      <c r="CE109" s="750"/>
      <c r="CF109" s="377"/>
      <c r="CG109" s="376"/>
      <c r="CH109" s="750">
        <f>CG109-CF109</f>
        <v>0</v>
      </c>
      <c r="CI109" s="750"/>
      <c r="CJ109" s="377"/>
      <c r="CK109" s="377"/>
      <c r="CL109" s="750">
        <f>CK109-CJ109</f>
        <v>0</v>
      </c>
      <c r="CM109" s="386"/>
      <c r="CN109" s="751"/>
      <c r="CO109" s="751"/>
      <c r="CP109" s="751">
        <v>0</v>
      </c>
      <c r="CQ109" s="751"/>
      <c r="CR109" s="374"/>
      <c r="CS109" s="374"/>
      <c r="CT109" s="744"/>
      <c r="CU109" s="745"/>
      <c r="CV109" s="373"/>
      <c r="CW109" s="373"/>
      <c r="CX109" s="744"/>
      <c r="CY109" s="745"/>
      <c r="CZ109" s="373"/>
      <c r="DA109" s="373"/>
      <c r="DB109" s="744">
        <f>DA109-CZ109</f>
        <v>0</v>
      </c>
      <c r="DC109" s="745"/>
      <c r="DG109" s="746"/>
      <c r="DH109" s="746"/>
      <c r="DI109" s="746"/>
      <c r="DJ109" s="747"/>
      <c r="DK109" s="718"/>
      <c r="DL109" s="718"/>
    </row>
    <row r="110" spans="1:116" ht="16.5" customHeight="1">
      <c r="A110" s="738"/>
      <c r="B110" s="739">
        <v>1718002415</v>
      </c>
      <c r="C110" s="738" t="s">
        <v>604</v>
      </c>
      <c r="D110" s="748">
        <v>2.2000000000000002</v>
      </c>
      <c r="E110" s="377">
        <v>0</v>
      </c>
      <c r="F110" s="783">
        <f t="shared" si="111"/>
        <v>0</v>
      </c>
      <c r="G110" s="749">
        <f>F110-E110</f>
        <v>0</v>
      </c>
      <c r="H110" s="749">
        <v>0</v>
      </c>
      <c r="I110" s="377"/>
      <c r="J110" s="377"/>
      <c r="K110" s="750">
        <f>J110-I110</f>
        <v>0</v>
      </c>
      <c r="L110" s="750"/>
      <c r="M110" s="377"/>
      <c r="N110" s="377"/>
      <c r="O110" s="750">
        <f>N110-M110</f>
        <v>0</v>
      </c>
      <c r="P110" s="750"/>
      <c r="Q110" s="377"/>
      <c r="R110" s="377"/>
      <c r="S110" s="750">
        <f>R110-Q110</f>
        <v>0</v>
      </c>
      <c r="T110" s="750"/>
      <c r="U110" s="377"/>
      <c r="V110" s="377"/>
      <c r="W110" s="750">
        <f>V110-U110</f>
        <v>0</v>
      </c>
      <c r="X110" s="750"/>
      <c r="Y110" s="377">
        <f>AC110</f>
        <v>0</v>
      </c>
      <c r="Z110" s="377">
        <f>AD110</f>
        <v>0</v>
      </c>
      <c r="AA110" s="750">
        <f>Z110-Y110</f>
        <v>0</v>
      </c>
      <c r="AB110" s="750"/>
      <c r="AC110" s="377"/>
      <c r="AD110" s="377"/>
      <c r="AE110" s="750">
        <f>AD110-AC110</f>
        <v>0</v>
      </c>
      <c r="AF110" s="750"/>
      <c r="AG110" s="377"/>
      <c r="AH110" s="377"/>
      <c r="AI110" s="750"/>
      <c r="AJ110" s="377"/>
      <c r="AK110" s="377"/>
      <c r="AL110" s="750">
        <f>AK110-AJ110</f>
        <v>0</v>
      </c>
      <c r="AM110" s="750"/>
      <c r="AN110" s="377"/>
      <c r="AO110" s="377"/>
      <c r="AP110" s="750">
        <f>AO110-AN110</f>
        <v>0</v>
      </c>
      <c r="AQ110" s="750"/>
      <c r="AR110" s="750"/>
      <c r="AS110" s="750"/>
      <c r="AT110" s="750">
        <f>AS110-AR110</f>
        <v>0</v>
      </c>
      <c r="AU110" s="750"/>
      <c r="AV110" s="377"/>
      <c r="AW110" s="376"/>
      <c r="AX110" s="751">
        <f>AW110-AV110</f>
        <v>0</v>
      </c>
      <c r="AY110" s="751"/>
      <c r="AZ110" s="376"/>
      <c r="BA110" s="376"/>
      <c r="BB110" s="751">
        <v>0</v>
      </c>
      <c r="BC110" s="751"/>
      <c r="BD110" s="376"/>
      <c r="BE110" s="376"/>
      <c r="BF110" s="751">
        <f>BE110-BD110</f>
        <v>0</v>
      </c>
      <c r="BG110" s="751"/>
      <c r="BH110" s="376"/>
      <c r="BI110" s="376"/>
      <c r="BJ110" s="751">
        <f>BI110-BH110</f>
        <v>0</v>
      </c>
      <c r="BK110" s="751"/>
      <c r="BL110" s="376"/>
      <c r="BM110" s="376"/>
      <c r="BN110" s="751">
        <f>BM110-BL110</f>
        <v>0</v>
      </c>
      <c r="BO110" s="751"/>
      <c r="BP110" s="376"/>
      <c r="BQ110" s="376"/>
      <c r="BR110" s="751">
        <f>BQ110-BP110</f>
        <v>0</v>
      </c>
      <c r="BS110" s="750"/>
      <c r="BT110" s="377"/>
      <c r="BU110" s="377"/>
      <c r="BV110" s="750">
        <f>BU110-BT110</f>
        <v>0</v>
      </c>
      <c r="BW110" s="750"/>
      <c r="BX110" s="377"/>
      <c r="BY110" s="377"/>
      <c r="BZ110" s="750">
        <f>BY110-BX110</f>
        <v>0</v>
      </c>
      <c r="CA110" s="750"/>
      <c r="CB110" s="377"/>
      <c r="CC110" s="377"/>
      <c r="CD110" s="750">
        <f>CC110-CB110</f>
        <v>0</v>
      </c>
      <c r="CE110" s="750"/>
      <c r="CF110" s="377"/>
      <c r="CG110" s="376"/>
      <c r="CH110" s="750">
        <f>CG110-CF110</f>
        <v>0</v>
      </c>
      <c r="CI110" s="750"/>
      <c r="CJ110" s="377"/>
      <c r="CK110" s="377"/>
      <c r="CL110" s="750">
        <f>CK110-CJ110</f>
        <v>0</v>
      </c>
      <c r="CM110" s="386"/>
      <c r="CN110" s="751"/>
      <c r="CO110" s="751"/>
      <c r="CP110" s="751">
        <v>0</v>
      </c>
      <c r="CQ110" s="751"/>
      <c r="CR110" s="374"/>
      <c r="CS110" s="374"/>
      <c r="CT110" s="744"/>
      <c r="CU110" s="745"/>
      <c r="CV110" s="373"/>
      <c r="CW110" s="373"/>
      <c r="CX110" s="744"/>
      <c r="CY110" s="745"/>
      <c r="CZ110" s="373"/>
      <c r="DA110" s="373"/>
      <c r="DB110" s="744">
        <f>DA110-CZ110</f>
        <v>0</v>
      </c>
      <c r="DC110" s="745"/>
      <c r="DG110" s="746"/>
      <c r="DH110" s="746"/>
      <c r="DI110" s="746"/>
      <c r="DJ110" s="747"/>
      <c r="DK110" s="718"/>
      <c r="DL110" s="718"/>
    </row>
    <row r="111" spans="1:116" ht="16.5" hidden="1" customHeight="1">
      <c r="A111" s="738"/>
      <c r="B111" s="739"/>
      <c r="C111" s="738" t="s">
        <v>375</v>
      </c>
      <c r="D111" s="748">
        <v>1.7</v>
      </c>
      <c r="E111" s="377">
        <v>835</v>
      </c>
      <c r="F111" s="783">
        <f t="shared" si="111"/>
        <v>0</v>
      </c>
      <c r="G111" s="749">
        <f t="shared" si="70"/>
        <v>-835</v>
      </c>
      <c r="H111" s="749">
        <f t="shared" si="96"/>
        <v>0</v>
      </c>
      <c r="I111" s="377">
        <v>835</v>
      </c>
      <c r="J111" s="377"/>
      <c r="K111" s="750">
        <f t="shared" si="118"/>
        <v>-835</v>
      </c>
      <c r="L111" s="750">
        <f t="shared" ref="L111:L115" si="133">J111/I111</f>
        <v>0</v>
      </c>
      <c r="M111" s="377"/>
      <c r="N111" s="377"/>
      <c r="O111" s="750">
        <f t="shared" si="114"/>
        <v>0</v>
      </c>
      <c r="P111" s="750"/>
      <c r="Q111" s="376">
        <v>6.0000000000000001E-3</v>
      </c>
      <c r="R111" s="376"/>
      <c r="S111" s="750">
        <f t="shared" si="115"/>
        <v>-6.0000000000000001E-3</v>
      </c>
      <c r="T111" s="750"/>
      <c r="U111" s="377"/>
      <c r="V111" s="377"/>
      <c r="W111" s="750">
        <f t="shared" si="116"/>
        <v>0</v>
      </c>
      <c r="X111" s="750"/>
      <c r="Y111" s="377">
        <f t="shared" si="113"/>
        <v>0</v>
      </c>
      <c r="Z111" s="377">
        <f t="shared" si="113"/>
        <v>0</v>
      </c>
      <c r="AA111" s="750">
        <f t="shared" si="119"/>
        <v>0</v>
      </c>
      <c r="AB111" s="750"/>
      <c r="AC111" s="377"/>
      <c r="AD111" s="377"/>
      <c r="AE111" s="750">
        <f t="shared" si="120"/>
        <v>0</v>
      </c>
      <c r="AF111" s="750"/>
      <c r="AG111" s="377"/>
      <c r="AH111" s="377"/>
      <c r="AI111" s="750"/>
      <c r="AJ111" s="377"/>
      <c r="AK111" s="377"/>
      <c r="AL111" s="750">
        <f t="shared" si="121"/>
        <v>0</v>
      </c>
      <c r="AM111" s="750"/>
      <c r="AN111" s="377"/>
      <c r="AO111" s="377"/>
      <c r="AP111" s="750">
        <f t="shared" si="117"/>
        <v>0</v>
      </c>
      <c r="AQ111" s="750"/>
      <c r="AR111" s="750"/>
      <c r="AS111" s="750"/>
      <c r="AT111" s="750"/>
      <c r="AU111" s="750"/>
      <c r="AV111" s="377"/>
      <c r="AW111" s="376"/>
      <c r="AX111" s="751">
        <f t="shared" si="122"/>
        <v>0</v>
      </c>
      <c r="AY111" s="751"/>
      <c r="AZ111" s="376"/>
      <c r="BA111" s="376"/>
      <c r="BB111" s="751">
        <v>0</v>
      </c>
      <c r="BC111" s="751"/>
      <c r="BD111" s="376"/>
      <c r="BE111" s="376"/>
      <c r="BF111" s="751">
        <f t="shared" si="123"/>
        <v>0</v>
      </c>
      <c r="BG111" s="751"/>
      <c r="BH111" s="376"/>
      <c r="BI111" s="376"/>
      <c r="BJ111" s="751">
        <f t="shared" si="124"/>
        <v>0</v>
      </c>
      <c r="BK111" s="751"/>
      <c r="BL111" s="376"/>
      <c r="BM111" s="376"/>
      <c r="BN111" s="751">
        <f t="shared" si="125"/>
        <v>0</v>
      </c>
      <c r="BO111" s="751"/>
      <c r="BP111" s="376"/>
      <c r="BQ111" s="376"/>
      <c r="BR111" s="751">
        <f t="shared" si="126"/>
        <v>0</v>
      </c>
      <c r="BS111" s="750"/>
      <c r="BT111" s="377"/>
      <c r="BU111" s="377"/>
      <c r="BV111" s="750">
        <f t="shared" si="127"/>
        <v>0</v>
      </c>
      <c r="BW111" s="750"/>
      <c r="BX111" s="377"/>
      <c r="BY111" s="377"/>
      <c r="BZ111" s="750">
        <f t="shared" si="128"/>
        <v>0</v>
      </c>
      <c r="CA111" s="750"/>
      <c r="CB111" s="377"/>
      <c r="CC111" s="377"/>
      <c r="CD111" s="750">
        <f t="shared" si="129"/>
        <v>0</v>
      </c>
      <c r="CE111" s="750"/>
      <c r="CF111" s="377"/>
      <c r="CG111" s="376"/>
      <c r="CH111" s="750">
        <f t="shared" si="130"/>
        <v>0</v>
      </c>
      <c r="CI111" s="750"/>
      <c r="CJ111" s="377"/>
      <c r="CK111" s="377"/>
      <c r="CL111" s="750">
        <f t="shared" si="131"/>
        <v>0</v>
      </c>
      <c r="CM111" s="386"/>
      <c r="CN111" s="751"/>
      <c r="CO111" s="751"/>
      <c r="CP111" s="751">
        <v>0</v>
      </c>
      <c r="CQ111" s="751"/>
      <c r="CR111" s="374"/>
      <c r="CS111" s="374"/>
      <c r="CT111" s="744"/>
      <c r="CU111" s="745"/>
      <c r="CV111" s="373"/>
      <c r="CW111" s="373"/>
      <c r="CX111" s="744"/>
      <c r="CY111" s="745"/>
      <c r="CZ111" s="373"/>
      <c r="DA111" s="373"/>
      <c r="DB111" s="744">
        <f t="shared" si="132"/>
        <v>0</v>
      </c>
      <c r="DC111" s="745"/>
      <c r="DG111" s="746"/>
      <c r="DH111" s="746"/>
      <c r="DI111" s="746"/>
      <c r="DJ111" s="747"/>
      <c r="DK111" s="718"/>
      <c r="DL111" s="718"/>
    </row>
    <row r="112" spans="1:116" ht="16.5" hidden="1" customHeight="1">
      <c r="A112" s="738"/>
      <c r="B112" s="739">
        <v>1718002581</v>
      </c>
      <c r="C112" s="738" t="s">
        <v>704</v>
      </c>
      <c r="D112" s="748"/>
      <c r="E112" s="377">
        <f>I112+M112+Q112+U112+Y112+AJ112+AN112+AR112+AV112+BD112+BH112+BX112+CF112+CJ112+CN112+CR112+CV112+CZ112+AZ112+BL112+BT112</f>
        <v>0</v>
      </c>
      <c r="F112" s="783">
        <f t="shared" si="111"/>
        <v>0</v>
      </c>
      <c r="G112" s="749">
        <f>F112-E112</f>
        <v>0</v>
      </c>
      <c r="H112" s="749" t="e">
        <f>F112/E112</f>
        <v>#DIV/0!</v>
      </c>
      <c r="I112" s="377"/>
      <c r="J112" s="377"/>
      <c r="K112" s="750">
        <f>J112-I112</f>
        <v>0</v>
      </c>
      <c r="L112" s="750" t="e">
        <f t="shared" si="133"/>
        <v>#DIV/0!</v>
      </c>
      <c r="M112" s="377"/>
      <c r="N112" s="377"/>
      <c r="O112" s="750">
        <f>N112-M112</f>
        <v>0</v>
      </c>
      <c r="P112" s="750"/>
      <c r="Q112" s="377"/>
      <c r="R112" s="377"/>
      <c r="S112" s="750">
        <f>R112-Q112</f>
        <v>0</v>
      </c>
      <c r="T112" s="750"/>
      <c r="U112" s="377"/>
      <c r="V112" s="377"/>
      <c r="W112" s="750">
        <f>V112-U112</f>
        <v>0</v>
      </c>
      <c r="X112" s="750"/>
      <c r="Y112" s="377">
        <f>AC112</f>
        <v>0</v>
      </c>
      <c r="Z112" s="377">
        <f>AD112</f>
        <v>0</v>
      </c>
      <c r="AA112" s="750">
        <f>Z112-Y112</f>
        <v>0</v>
      </c>
      <c r="AB112" s="750"/>
      <c r="AC112" s="377"/>
      <c r="AD112" s="377"/>
      <c r="AE112" s="750">
        <f>AD112-AC112</f>
        <v>0</v>
      </c>
      <c r="AF112" s="750"/>
      <c r="AG112" s="377"/>
      <c r="AH112" s="377"/>
      <c r="AI112" s="750"/>
      <c r="AJ112" s="377"/>
      <c r="AK112" s="377"/>
      <c r="AL112" s="750">
        <f>AK112-AJ112</f>
        <v>0</v>
      </c>
      <c r="AM112" s="750"/>
      <c r="AN112" s="377"/>
      <c r="AO112" s="377"/>
      <c r="AP112" s="750">
        <f>AO112-AN112</f>
        <v>0</v>
      </c>
      <c r="AQ112" s="750"/>
      <c r="AR112" s="750"/>
      <c r="AS112" s="750"/>
      <c r="AT112" s="750"/>
      <c r="AU112" s="750"/>
      <c r="AV112" s="377"/>
      <c r="AW112" s="376"/>
      <c r="AX112" s="751">
        <f>AW112-AV112</f>
        <v>0</v>
      </c>
      <c r="AY112" s="751"/>
      <c r="AZ112" s="376"/>
      <c r="BA112" s="376"/>
      <c r="BB112" s="751">
        <v>0</v>
      </c>
      <c r="BC112" s="751"/>
      <c r="BD112" s="376"/>
      <c r="BE112" s="376"/>
      <c r="BF112" s="751">
        <f>BE112-BD112</f>
        <v>0</v>
      </c>
      <c r="BG112" s="751"/>
      <c r="BH112" s="376"/>
      <c r="BI112" s="376"/>
      <c r="BJ112" s="751">
        <f>BI112-BH112</f>
        <v>0</v>
      </c>
      <c r="BK112" s="751"/>
      <c r="BL112" s="376"/>
      <c r="BM112" s="376"/>
      <c r="BN112" s="751">
        <f>BM112-BL112</f>
        <v>0</v>
      </c>
      <c r="BO112" s="751"/>
      <c r="BP112" s="376"/>
      <c r="BQ112" s="376"/>
      <c r="BR112" s="751">
        <f>BQ112-BP112</f>
        <v>0</v>
      </c>
      <c r="BS112" s="750"/>
      <c r="BT112" s="377"/>
      <c r="BU112" s="377"/>
      <c r="BV112" s="750">
        <f>BU112-BT112</f>
        <v>0</v>
      </c>
      <c r="BW112" s="750"/>
      <c r="BX112" s="377"/>
      <c r="BY112" s="377"/>
      <c r="BZ112" s="750">
        <f>BY112-BX112</f>
        <v>0</v>
      </c>
      <c r="CA112" s="750"/>
      <c r="CB112" s="377"/>
      <c r="CC112" s="377"/>
      <c r="CD112" s="750">
        <f>CC112-CB112</f>
        <v>0</v>
      </c>
      <c r="CE112" s="750"/>
      <c r="CF112" s="377"/>
      <c r="CG112" s="376"/>
      <c r="CH112" s="750">
        <f>CG112-CF112</f>
        <v>0</v>
      </c>
      <c r="CI112" s="750"/>
      <c r="CJ112" s="377"/>
      <c r="CK112" s="377"/>
      <c r="CL112" s="750">
        <f>CK112-CJ112</f>
        <v>0</v>
      </c>
      <c r="CM112" s="386"/>
      <c r="CN112" s="751"/>
      <c r="CO112" s="751"/>
      <c r="CP112" s="751">
        <v>0</v>
      </c>
      <c r="CQ112" s="751"/>
      <c r="CR112" s="374"/>
      <c r="CS112" s="374"/>
      <c r="CT112" s="744"/>
      <c r="CU112" s="745"/>
      <c r="CV112" s="373"/>
      <c r="CW112" s="373"/>
      <c r="CX112" s="744"/>
      <c r="CY112" s="745"/>
      <c r="CZ112" s="373"/>
      <c r="DA112" s="373"/>
      <c r="DB112" s="744">
        <f>DA112-CZ112</f>
        <v>0</v>
      </c>
      <c r="DC112" s="745"/>
      <c r="DG112" s="746"/>
      <c r="DH112" s="746"/>
      <c r="DI112" s="746"/>
      <c r="DJ112" s="747"/>
      <c r="DK112" s="718"/>
      <c r="DL112" s="718"/>
    </row>
    <row r="113" spans="1:116" ht="16.5" hidden="1" customHeight="1">
      <c r="A113" s="738"/>
      <c r="B113" s="739">
        <v>1718001796</v>
      </c>
      <c r="C113" s="738" t="s">
        <v>569</v>
      </c>
      <c r="D113" s="748"/>
      <c r="E113" s="377">
        <v>1</v>
      </c>
      <c r="F113" s="783">
        <f t="shared" si="111"/>
        <v>0</v>
      </c>
      <c r="G113" s="749">
        <f t="shared" si="70"/>
        <v>-1</v>
      </c>
      <c r="H113" s="749">
        <f t="shared" si="96"/>
        <v>0</v>
      </c>
      <c r="I113" s="376">
        <v>3.46E-3</v>
      </c>
      <c r="J113" s="376"/>
      <c r="K113" s="750">
        <f t="shared" si="118"/>
        <v>-3.46E-3</v>
      </c>
      <c r="L113" s="750">
        <f t="shared" si="133"/>
        <v>0</v>
      </c>
      <c r="M113" s="377"/>
      <c r="N113" s="377"/>
      <c r="O113" s="750">
        <f t="shared" si="114"/>
        <v>0</v>
      </c>
      <c r="P113" s="750"/>
      <c r="Q113" s="377"/>
      <c r="R113" s="377"/>
      <c r="S113" s="750">
        <f t="shared" si="115"/>
        <v>0</v>
      </c>
      <c r="T113" s="750"/>
      <c r="U113" s="377"/>
      <c r="V113" s="377"/>
      <c r="W113" s="750">
        <f t="shared" si="116"/>
        <v>0</v>
      </c>
      <c r="X113" s="750"/>
      <c r="Y113" s="377">
        <f t="shared" si="113"/>
        <v>0</v>
      </c>
      <c r="Z113" s="377">
        <f t="shared" si="113"/>
        <v>0</v>
      </c>
      <c r="AA113" s="750">
        <f t="shared" si="119"/>
        <v>0</v>
      </c>
      <c r="AB113" s="750"/>
      <c r="AC113" s="377"/>
      <c r="AD113" s="377"/>
      <c r="AE113" s="750">
        <f t="shared" si="120"/>
        <v>0</v>
      </c>
      <c r="AF113" s="750"/>
      <c r="AG113" s="377"/>
      <c r="AH113" s="377"/>
      <c r="AI113" s="750"/>
      <c r="AJ113" s="377"/>
      <c r="AK113" s="377"/>
      <c r="AL113" s="750">
        <f t="shared" si="121"/>
        <v>0</v>
      </c>
      <c r="AM113" s="750"/>
      <c r="AN113" s="377"/>
      <c r="AO113" s="377"/>
      <c r="AP113" s="750">
        <f t="shared" si="117"/>
        <v>0</v>
      </c>
      <c r="AQ113" s="750"/>
      <c r="AR113" s="750"/>
      <c r="AS113" s="750"/>
      <c r="AT113" s="750"/>
      <c r="AU113" s="750"/>
      <c r="AV113" s="377"/>
      <c r="AW113" s="376"/>
      <c r="AX113" s="751">
        <f t="shared" si="122"/>
        <v>0</v>
      </c>
      <c r="AY113" s="751"/>
      <c r="AZ113" s="376"/>
      <c r="BA113" s="376"/>
      <c r="BB113" s="751">
        <v>0</v>
      </c>
      <c r="BC113" s="751"/>
      <c r="BD113" s="376"/>
      <c r="BE113" s="376"/>
      <c r="BF113" s="751">
        <f t="shared" si="123"/>
        <v>0</v>
      </c>
      <c r="BG113" s="751"/>
      <c r="BH113" s="376"/>
      <c r="BI113" s="376"/>
      <c r="BJ113" s="751">
        <f t="shared" si="124"/>
        <v>0</v>
      </c>
      <c r="BK113" s="751"/>
      <c r="BL113" s="376"/>
      <c r="BM113" s="376"/>
      <c r="BN113" s="751">
        <f t="shared" si="125"/>
        <v>0</v>
      </c>
      <c r="BO113" s="751"/>
      <c r="BP113" s="376"/>
      <c r="BQ113" s="376"/>
      <c r="BR113" s="751">
        <f t="shared" si="126"/>
        <v>0</v>
      </c>
      <c r="BS113" s="750"/>
      <c r="BT113" s="377"/>
      <c r="BU113" s="377"/>
      <c r="BV113" s="750">
        <f t="shared" si="127"/>
        <v>0</v>
      </c>
      <c r="BW113" s="750"/>
      <c r="BX113" s="377"/>
      <c r="BY113" s="377"/>
      <c r="BZ113" s="750">
        <f t="shared" si="128"/>
        <v>0</v>
      </c>
      <c r="CA113" s="750"/>
      <c r="CB113" s="377"/>
      <c r="CC113" s="377"/>
      <c r="CD113" s="750">
        <f t="shared" si="129"/>
        <v>0</v>
      </c>
      <c r="CE113" s="750"/>
      <c r="CF113" s="376">
        <v>1</v>
      </c>
      <c r="CG113" s="376"/>
      <c r="CH113" s="750">
        <f t="shared" si="130"/>
        <v>-1</v>
      </c>
      <c r="CI113" s="750"/>
      <c r="CJ113" s="377"/>
      <c r="CK113" s="377"/>
      <c r="CL113" s="750">
        <f t="shared" si="131"/>
        <v>0</v>
      </c>
      <c r="CM113" s="386"/>
      <c r="CN113" s="751"/>
      <c r="CO113" s="751"/>
      <c r="CP113" s="751">
        <v>0</v>
      </c>
      <c r="CQ113" s="751"/>
      <c r="CR113" s="374"/>
      <c r="CS113" s="374"/>
      <c r="CT113" s="744"/>
      <c r="CU113" s="745"/>
      <c r="CV113" s="373"/>
      <c r="CW113" s="373"/>
      <c r="CX113" s="744"/>
      <c r="CY113" s="745"/>
      <c r="CZ113" s="373"/>
      <c r="DA113" s="373"/>
      <c r="DB113" s="744">
        <f t="shared" si="132"/>
        <v>0</v>
      </c>
      <c r="DC113" s="745"/>
      <c r="DG113" s="746"/>
      <c r="DH113" s="746"/>
      <c r="DI113" s="746"/>
      <c r="DJ113" s="747"/>
      <c r="DK113" s="718"/>
      <c r="DL113" s="718"/>
    </row>
    <row r="114" spans="1:116" ht="16.5" hidden="1" customHeight="1">
      <c r="A114" s="738"/>
      <c r="B114" s="739"/>
      <c r="C114" s="738" t="s">
        <v>705</v>
      </c>
      <c r="D114" s="748"/>
      <c r="E114" s="377">
        <f t="shared" si="110"/>
        <v>0</v>
      </c>
      <c r="F114" s="783">
        <f t="shared" si="111"/>
        <v>0</v>
      </c>
      <c r="G114" s="749">
        <f t="shared" si="70"/>
        <v>0</v>
      </c>
      <c r="H114" s="749" t="e">
        <f t="shared" si="96"/>
        <v>#DIV/0!</v>
      </c>
      <c r="I114" s="377"/>
      <c r="J114" s="376"/>
      <c r="K114" s="750">
        <f t="shared" si="118"/>
        <v>0</v>
      </c>
      <c r="L114" s="750" t="e">
        <f t="shared" si="133"/>
        <v>#DIV/0!</v>
      </c>
      <c r="M114" s="377"/>
      <c r="N114" s="377"/>
      <c r="O114" s="750">
        <f t="shared" si="114"/>
        <v>0</v>
      </c>
      <c r="P114" s="750"/>
      <c r="Q114" s="377"/>
      <c r="R114" s="377"/>
      <c r="S114" s="750">
        <f t="shared" si="115"/>
        <v>0</v>
      </c>
      <c r="T114" s="750"/>
      <c r="U114" s="377"/>
      <c r="V114" s="377"/>
      <c r="W114" s="750">
        <f t="shared" si="116"/>
        <v>0</v>
      </c>
      <c r="X114" s="750"/>
      <c r="Y114" s="377">
        <f t="shared" si="113"/>
        <v>0</v>
      </c>
      <c r="Z114" s="377">
        <f t="shared" si="113"/>
        <v>0</v>
      </c>
      <c r="AA114" s="750">
        <f t="shared" si="119"/>
        <v>0</v>
      </c>
      <c r="AB114" s="750"/>
      <c r="AC114" s="377"/>
      <c r="AD114" s="377"/>
      <c r="AE114" s="750">
        <f t="shared" si="120"/>
        <v>0</v>
      </c>
      <c r="AF114" s="750"/>
      <c r="AG114" s="377"/>
      <c r="AH114" s="377"/>
      <c r="AI114" s="750"/>
      <c r="AJ114" s="377"/>
      <c r="AK114" s="377"/>
      <c r="AL114" s="750">
        <f t="shared" si="121"/>
        <v>0</v>
      </c>
      <c r="AM114" s="750"/>
      <c r="AN114" s="377"/>
      <c r="AO114" s="377"/>
      <c r="AP114" s="750">
        <f t="shared" si="117"/>
        <v>0</v>
      </c>
      <c r="AQ114" s="750"/>
      <c r="AR114" s="750"/>
      <c r="AS114" s="750"/>
      <c r="AT114" s="750"/>
      <c r="AU114" s="750"/>
      <c r="AV114" s="377"/>
      <c r="AW114" s="376"/>
      <c r="AX114" s="751">
        <f t="shared" si="122"/>
        <v>0</v>
      </c>
      <c r="AY114" s="751"/>
      <c r="AZ114" s="376"/>
      <c r="BA114" s="376"/>
      <c r="BB114" s="751">
        <v>0</v>
      </c>
      <c r="BC114" s="751"/>
      <c r="BD114" s="376"/>
      <c r="BE114" s="376"/>
      <c r="BF114" s="751">
        <f t="shared" si="123"/>
        <v>0</v>
      </c>
      <c r="BG114" s="751"/>
      <c r="BH114" s="376"/>
      <c r="BI114" s="376"/>
      <c r="BJ114" s="751">
        <f t="shared" si="124"/>
        <v>0</v>
      </c>
      <c r="BK114" s="751"/>
      <c r="BL114" s="376"/>
      <c r="BM114" s="376"/>
      <c r="BN114" s="751">
        <f t="shared" si="125"/>
        <v>0</v>
      </c>
      <c r="BO114" s="751"/>
      <c r="BP114" s="376"/>
      <c r="BQ114" s="376"/>
      <c r="BR114" s="751">
        <f t="shared" si="126"/>
        <v>0</v>
      </c>
      <c r="BS114" s="750"/>
      <c r="BT114" s="377"/>
      <c r="BU114" s="377"/>
      <c r="BV114" s="750">
        <f t="shared" si="127"/>
        <v>0</v>
      </c>
      <c r="BW114" s="750"/>
      <c r="BX114" s="377"/>
      <c r="BY114" s="377"/>
      <c r="BZ114" s="750">
        <f t="shared" si="128"/>
        <v>0</v>
      </c>
      <c r="CA114" s="750"/>
      <c r="CB114" s="377"/>
      <c r="CC114" s="377"/>
      <c r="CD114" s="750">
        <f t="shared" si="129"/>
        <v>0</v>
      </c>
      <c r="CE114" s="750"/>
      <c r="CF114" s="377"/>
      <c r="CG114" s="376"/>
      <c r="CH114" s="750">
        <f t="shared" si="130"/>
        <v>0</v>
      </c>
      <c r="CI114" s="750"/>
      <c r="CJ114" s="377"/>
      <c r="CK114" s="377"/>
      <c r="CL114" s="750">
        <f t="shared" si="131"/>
        <v>0</v>
      </c>
      <c r="CM114" s="386"/>
      <c r="CN114" s="751"/>
      <c r="CO114" s="751"/>
      <c r="CP114" s="751">
        <v>0</v>
      </c>
      <c r="CQ114" s="751"/>
      <c r="CR114" s="374"/>
      <c r="CS114" s="374"/>
      <c r="CT114" s="744"/>
      <c r="CU114" s="745"/>
      <c r="CV114" s="373"/>
      <c r="CW114" s="373"/>
      <c r="CX114" s="744"/>
      <c r="CY114" s="745"/>
      <c r="CZ114" s="373"/>
      <c r="DA114" s="373"/>
      <c r="DB114" s="744">
        <f t="shared" si="132"/>
        <v>0</v>
      </c>
      <c r="DC114" s="745"/>
      <c r="DG114" s="746"/>
      <c r="DH114" s="746"/>
      <c r="DI114" s="746"/>
      <c r="DJ114" s="747"/>
      <c r="DK114" s="718"/>
      <c r="DL114" s="718"/>
    </row>
    <row r="115" spans="1:116" hidden="1">
      <c r="A115" s="738"/>
      <c r="B115" s="739"/>
      <c r="C115" s="738" t="s">
        <v>644</v>
      </c>
      <c r="D115" s="748"/>
      <c r="E115" s="377">
        <f t="shared" si="110"/>
        <v>0</v>
      </c>
      <c r="F115" s="783">
        <f t="shared" si="111"/>
        <v>0</v>
      </c>
      <c r="G115" s="749">
        <f t="shared" si="70"/>
        <v>0</v>
      </c>
      <c r="H115" s="749" t="e">
        <f t="shared" si="96"/>
        <v>#DIV/0!</v>
      </c>
      <c r="I115" s="377"/>
      <c r="J115" s="376"/>
      <c r="K115" s="750">
        <f t="shared" si="118"/>
        <v>0</v>
      </c>
      <c r="L115" s="750" t="e">
        <f t="shared" si="133"/>
        <v>#DIV/0!</v>
      </c>
      <c r="M115" s="377"/>
      <c r="N115" s="377"/>
      <c r="O115" s="750">
        <f t="shared" si="114"/>
        <v>0</v>
      </c>
      <c r="P115" s="750"/>
      <c r="Q115" s="377"/>
      <c r="R115" s="377"/>
      <c r="S115" s="750">
        <f t="shared" si="115"/>
        <v>0</v>
      </c>
      <c r="T115" s="750"/>
      <c r="U115" s="377"/>
      <c r="V115" s="377"/>
      <c r="W115" s="750">
        <f t="shared" si="116"/>
        <v>0</v>
      </c>
      <c r="X115" s="750"/>
      <c r="Y115" s="377">
        <f t="shared" si="113"/>
        <v>0</v>
      </c>
      <c r="Z115" s="377">
        <f t="shared" si="113"/>
        <v>0</v>
      </c>
      <c r="AA115" s="750">
        <f t="shared" si="119"/>
        <v>0</v>
      </c>
      <c r="AB115" s="750"/>
      <c r="AC115" s="377"/>
      <c r="AD115" s="377"/>
      <c r="AE115" s="750">
        <f t="shared" si="120"/>
        <v>0</v>
      </c>
      <c r="AF115" s="750"/>
      <c r="AG115" s="377"/>
      <c r="AH115" s="377"/>
      <c r="AI115" s="750"/>
      <c r="AJ115" s="377"/>
      <c r="AK115" s="377"/>
      <c r="AL115" s="750">
        <f t="shared" si="121"/>
        <v>0</v>
      </c>
      <c r="AM115" s="750"/>
      <c r="AN115" s="377"/>
      <c r="AO115" s="377"/>
      <c r="AP115" s="750">
        <f t="shared" si="117"/>
        <v>0</v>
      </c>
      <c r="AQ115" s="750"/>
      <c r="AR115" s="750"/>
      <c r="AS115" s="750"/>
      <c r="AT115" s="750">
        <f>AS115-AR115</f>
        <v>0</v>
      </c>
      <c r="AU115" s="750"/>
      <c r="AV115" s="377"/>
      <c r="AW115" s="377"/>
      <c r="AX115" s="750">
        <f t="shared" si="122"/>
        <v>0</v>
      </c>
      <c r="AY115" s="750"/>
      <c r="AZ115" s="377"/>
      <c r="BA115" s="377"/>
      <c r="BB115" s="750">
        <v>0</v>
      </c>
      <c r="BC115" s="750"/>
      <c r="BD115" s="377"/>
      <c r="BE115" s="377"/>
      <c r="BF115" s="750">
        <f t="shared" si="123"/>
        <v>0</v>
      </c>
      <c r="BG115" s="750"/>
      <c r="BH115" s="377"/>
      <c r="BI115" s="377"/>
      <c r="BJ115" s="750">
        <f t="shared" si="124"/>
        <v>0</v>
      </c>
      <c r="BK115" s="750"/>
      <c r="BL115" s="377"/>
      <c r="BM115" s="377"/>
      <c r="BN115" s="750">
        <f t="shared" si="125"/>
        <v>0</v>
      </c>
      <c r="BO115" s="750"/>
      <c r="BP115" s="377"/>
      <c r="BQ115" s="377"/>
      <c r="BR115" s="750">
        <f t="shared" si="126"/>
        <v>0</v>
      </c>
      <c r="BS115" s="750"/>
      <c r="BT115" s="377"/>
      <c r="BU115" s="377"/>
      <c r="BV115" s="750">
        <f t="shared" si="127"/>
        <v>0</v>
      </c>
      <c r="BW115" s="750" t="e">
        <f>BU115/BT115</f>
        <v>#DIV/0!</v>
      </c>
      <c r="BX115" s="377"/>
      <c r="BY115" s="377"/>
      <c r="BZ115" s="750">
        <f t="shared" si="128"/>
        <v>0</v>
      </c>
      <c r="CA115" s="750"/>
      <c r="CB115" s="377"/>
      <c r="CC115" s="377"/>
      <c r="CD115" s="750">
        <f t="shared" si="129"/>
        <v>0</v>
      </c>
      <c r="CE115" s="750"/>
      <c r="CF115" s="377"/>
      <c r="CG115" s="376"/>
      <c r="CH115" s="750">
        <f t="shared" si="130"/>
        <v>0</v>
      </c>
      <c r="CI115" s="750"/>
      <c r="CJ115" s="377"/>
      <c r="CK115" s="377"/>
      <c r="CL115" s="750">
        <f t="shared" si="131"/>
        <v>0</v>
      </c>
      <c r="CM115" s="386"/>
      <c r="CN115" s="751"/>
      <c r="CO115" s="751"/>
      <c r="CP115" s="751">
        <v>0</v>
      </c>
      <c r="CQ115" s="751"/>
      <c r="CR115" s="374"/>
      <c r="CS115" s="374"/>
      <c r="CT115" s="744"/>
      <c r="CU115" s="745"/>
      <c r="CV115" s="373"/>
      <c r="CW115" s="373"/>
      <c r="CX115" s="744"/>
      <c r="CY115" s="745"/>
      <c r="CZ115" s="373"/>
      <c r="DA115" s="373"/>
      <c r="DB115" s="744">
        <f t="shared" si="132"/>
        <v>0</v>
      </c>
      <c r="DC115" s="745"/>
      <c r="DG115" s="746"/>
      <c r="DH115" s="746"/>
      <c r="DI115" s="746"/>
      <c r="DJ115" s="747"/>
      <c r="DK115" s="718"/>
      <c r="DL115" s="718"/>
    </row>
    <row r="116" spans="1:116">
      <c r="A116" s="738"/>
      <c r="B116" s="770" t="s">
        <v>905</v>
      </c>
      <c r="C116" s="738" t="s">
        <v>559</v>
      </c>
      <c r="D116" s="748"/>
      <c r="E116" s="377">
        <f>I116+M116+Q116+U116+Y116+AJ116+AN116+AR116+AV116+BD116+BH116+BX116+CF116+CJ116+CN116+CR116+CV116+CZ116+AZ116+BL116+BT116</f>
        <v>0</v>
      </c>
      <c r="F116" s="783">
        <f t="shared" si="111"/>
        <v>0</v>
      </c>
      <c r="G116" s="749">
        <f>F116-E116</f>
        <v>0</v>
      </c>
      <c r="H116" s="749">
        <v>0</v>
      </c>
      <c r="I116" s="377"/>
      <c r="J116" s="376"/>
      <c r="K116" s="750">
        <f>J116-I116</f>
        <v>0</v>
      </c>
      <c r="L116" s="750">
        <v>0</v>
      </c>
      <c r="M116" s="377"/>
      <c r="N116" s="377"/>
      <c r="O116" s="750">
        <f>N116-M116</f>
        <v>0</v>
      </c>
      <c r="P116" s="750"/>
      <c r="Q116" s="377"/>
      <c r="R116" s="377"/>
      <c r="S116" s="750">
        <f>R116-Q116</f>
        <v>0</v>
      </c>
      <c r="T116" s="750"/>
      <c r="U116" s="377"/>
      <c r="V116" s="377"/>
      <c r="W116" s="750">
        <f>V116-U116</f>
        <v>0</v>
      </c>
      <c r="X116" s="750"/>
      <c r="Y116" s="377">
        <f>AC116</f>
        <v>0</v>
      </c>
      <c r="Z116" s="377">
        <f>AD116</f>
        <v>0</v>
      </c>
      <c r="AA116" s="750">
        <f>Z116-Y116</f>
        <v>0</v>
      </c>
      <c r="AB116" s="750"/>
      <c r="AC116" s="377"/>
      <c r="AD116" s="377"/>
      <c r="AE116" s="750">
        <f>AD116-AC116</f>
        <v>0</v>
      </c>
      <c r="AF116" s="750"/>
      <c r="AG116" s="377"/>
      <c r="AH116" s="377"/>
      <c r="AI116" s="750"/>
      <c r="AJ116" s="377"/>
      <c r="AK116" s="377"/>
      <c r="AL116" s="750">
        <f>AK116-AJ116</f>
        <v>0</v>
      </c>
      <c r="AM116" s="750"/>
      <c r="AN116" s="377"/>
      <c r="AO116" s="377"/>
      <c r="AP116" s="750">
        <f>AO116-AN116</f>
        <v>0</v>
      </c>
      <c r="AQ116" s="750"/>
      <c r="AR116" s="750"/>
      <c r="AS116" s="750"/>
      <c r="AT116" s="750">
        <f>AS116-AR116</f>
        <v>0</v>
      </c>
      <c r="AU116" s="750"/>
      <c r="AV116" s="377"/>
      <c r="AW116" s="377"/>
      <c r="AX116" s="750">
        <f>AW116-AV116</f>
        <v>0</v>
      </c>
      <c r="AY116" s="750"/>
      <c r="AZ116" s="377"/>
      <c r="BA116" s="377"/>
      <c r="BB116" s="750">
        <v>0</v>
      </c>
      <c r="BC116" s="750"/>
      <c r="BD116" s="377"/>
      <c r="BE116" s="377"/>
      <c r="BF116" s="750">
        <f>BE116-BD116</f>
        <v>0</v>
      </c>
      <c r="BG116" s="750"/>
      <c r="BH116" s="377"/>
      <c r="BI116" s="377"/>
      <c r="BJ116" s="750">
        <f>BI116-BH116</f>
        <v>0</v>
      </c>
      <c r="BK116" s="750"/>
      <c r="BL116" s="377"/>
      <c r="BM116" s="377"/>
      <c r="BN116" s="750">
        <f>BM116-BL116</f>
        <v>0</v>
      </c>
      <c r="BO116" s="750"/>
      <c r="BP116" s="377"/>
      <c r="BQ116" s="377"/>
      <c r="BR116" s="750">
        <f>BQ116-BP116</f>
        <v>0</v>
      </c>
      <c r="BS116" s="750"/>
      <c r="BT116" s="377"/>
      <c r="BU116" s="377"/>
      <c r="BV116" s="750">
        <f>BU116-BT116</f>
        <v>0</v>
      </c>
      <c r="BW116" s="750" t="e">
        <f>BU116/BT116</f>
        <v>#DIV/0!</v>
      </c>
      <c r="BX116" s="377"/>
      <c r="BY116" s="377"/>
      <c r="BZ116" s="750">
        <f>BY116-BX116</f>
        <v>0</v>
      </c>
      <c r="CA116" s="750"/>
      <c r="CB116" s="377"/>
      <c r="CC116" s="377"/>
      <c r="CD116" s="750">
        <f>CC116-CB116</f>
        <v>0</v>
      </c>
      <c r="CE116" s="750"/>
      <c r="CF116" s="377"/>
      <c r="CG116" s="377"/>
      <c r="CH116" s="750">
        <f>CG116-CF116</f>
        <v>0</v>
      </c>
      <c r="CI116" s="750"/>
      <c r="CJ116" s="377"/>
      <c r="CK116" s="377"/>
      <c r="CL116" s="750">
        <f>CK116-CJ116</f>
        <v>0</v>
      </c>
      <c r="CM116" s="386"/>
      <c r="CN116" s="751"/>
      <c r="CO116" s="751"/>
      <c r="CP116" s="751">
        <v>0</v>
      </c>
      <c r="CQ116" s="751"/>
      <c r="CR116" s="374"/>
      <c r="CS116" s="374"/>
      <c r="CT116" s="744"/>
      <c r="CU116" s="745"/>
      <c r="CV116" s="373"/>
      <c r="CW116" s="373"/>
      <c r="CX116" s="744"/>
      <c r="CY116" s="745"/>
      <c r="CZ116" s="373"/>
      <c r="DA116" s="373"/>
      <c r="DB116" s="744">
        <f>DA116-CZ116</f>
        <v>0</v>
      </c>
      <c r="DC116" s="745"/>
      <c r="DG116" s="746"/>
      <c r="DH116" s="746"/>
      <c r="DI116" s="746"/>
      <c r="DJ116" s="747"/>
      <c r="DK116" s="718"/>
      <c r="DL116" s="718"/>
    </row>
    <row r="117" spans="1:116" ht="12.75" hidden="1" customHeight="1">
      <c r="A117" s="738"/>
      <c r="B117" s="739"/>
      <c r="C117" s="738" t="s">
        <v>560</v>
      </c>
      <c r="D117" s="748"/>
      <c r="E117" s="377">
        <f t="shared" si="110"/>
        <v>0</v>
      </c>
      <c r="F117" s="783">
        <f t="shared" si="111"/>
        <v>0</v>
      </c>
      <c r="G117" s="749">
        <f t="shared" si="70"/>
        <v>0</v>
      </c>
      <c r="H117" s="749" t="e">
        <f t="shared" si="96"/>
        <v>#DIV/0!</v>
      </c>
      <c r="I117" s="377"/>
      <c r="J117" s="376"/>
      <c r="K117" s="750">
        <f t="shared" si="118"/>
        <v>0</v>
      </c>
      <c r="L117" s="750"/>
      <c r="M117" s="377"/>
      <c r="N117" s="377"/>
      <c r="O117" s="750">
        <f t="shared" si="114"/>
        <v>0</v>
      </c>
      <c r="P117" s="750"/>
      <c r="Q117" s="377"/>
      <c r="R117" s="377"/>
      <c r="S117" s="750">
        <f t="shared" si="115"/>
        <v>0</v>
      </c>
      <c r="T117" s="750"/>
      <c r="U117" s="377"/>
      <c r="V117" s="377"/>
      <c r="W117" s="750">
        <f t="shared" si="116"/>
        <v>0</v>
      </c>
      <c r="X117" s="750"/>
      <c r="Y117" s="377">
        <f t="shared" si="113"/>
        <v>0</v>
      </c>
      <c r="Z117" s="377">
        <f t="shared" si="113"/>
        <v>0</v>
      </c>
      <c r="AA117" s="750">
        <f t="shared" si="119"/>
        <v>0</v>
      </c>
      <c r="AB117" s="750"/>
      <c r="AC117" s="377"/>
      <c r="AD117" s="377"/>
      <c r="AE117" s="750">
        <f t="shared" si="120"/>
        <v>0</v>
      </c>
      <c r="AF117" s="750"/>
      <c r="AG117" s="377"/>
      <c r="AH117" s="377"/>
      <c r="AI117" s="750"/>
      <c r="AJ117" s="377"/>
      <c r="AK117" s="377"/>
      <c r="AL117" s="750">
        <f t="shared" si="121"/>
        <v>0</v>
      </c>
      <c r="AM117" s="750"/>
      <c r="AN117" s="377"/>
      <c r="AO117" s="377"/>
      <c r="AP117" s="750">
        <f t="shared" si="117"/>
        <v>0</v>
      </c>
      <c r="AQ117" s="750"/>
      <c r="AR117" s="750"/>
      <c r="AS117" s="750"/>
      <c r="AT117" s="750">
        <f>AS117-AR117</f>
        <v>0</v>
      </c>
      <c r="AU117" s="750"/>
      <c r="AV117" s="377"/>
      <c r="AW117" s="377"/>
      <c r="AX117" s="750">
        <f t="shared" si="122"/>
        <v>0</v>
      </c>
      <c r="AY117" s="750"/>
      <c r="AZ117" s="377"/>
      <c r="BA117" s="377"/>
      <c r="BB117" s="750">
        <v>0</v>
      </c>
      <c r="BC117" s="750"/>
      <c r="BD117" s="377"/>
      <c r="BE117" s="377"/>
      <c r="BF117" s="750">
        <f t="shared" si="123"/>
        <v>0</v>
      </c>
      <c r="BG117" s="750"/>
      <c r="BH117" s="377"/>
      <c r="BI117" s="377"/>
      <c r="BJ117" s="750">
        <f t="shared" si="124"/>
        <v>0</v>
      </c>
      <c r="BK117" s="750"/>
      <c r="BL117" s="377"/>
      <c r="BM117" s="377"/>
      <c r="BN117" s="750">
        <f t="shared" si="125"/>
        <v>0</v>
      </c>
      <c r="BO117" s="750"/>
      <c r="BP117" s="377"/>
      <c r="BQ117" s="377"/>
      <c r="BR117" s="750">
        <f t="shared" si="126"/>
        <v>0</v>
      </c>
      <c r="BS117" s="750"/>
      <c r="BT117" s="377"/>
      <c r="BU117" s="377"/>
      <c r="BV117" s="750">
        <f t="shared" si="127"/>
        <v>0</v>
      </c>
      <c r="BW117" s="750" t="e">
        <f t="shared" ref="BW117:BW129" si="134">BU117/BT117</f>
        <v>#DIV/0!</v>
      </c>
      <c r="BX117" s="377"/>
      <c r="BY117" s="377"/>
      <c r="BZ117" s="750">
        <f t="shared" si="128"/>
        <v>0</v>
      </c>
      <c r="CA117" s="750"/>
      <c r="CB117" s="377"/>
      <c r="CC117" s="377"/>
      <c r="CD117" s="750">
        <f t="shared" si="129"/>
        <v>0</v>
      </c>
      <c r="CE117" s="750"/>
      <c r="CF117" s="377"/>
      <c r="CG117" s="377"/>
      <c r="CH117" s="750">
        <f t="shared" si="130"/>
        <v>0</v>
      </c>
      <c r="CI117" s="750"/>
      <c r="CJ117" s="377"/>
      <c r="CK117" s="377"/>
      <c r="CL117" s="750">
        <f t="shared" si="131"/>
        <v>0</v>
      </c>
      <c r="CM117" s="386"/>
      <c r="CN117" s="751"/>
      <c r="CO117" s="751"/>
      <c r="CP117" s="751">
        <v>0</v>
      </c>
      <c r="CQ117" s="751"/>
      <c r="CR117" s="374"/>
      <c r="CS117" s="374"/>
      <c r="CT117" s="744"/>
      <c r="CU117" s="745"/>
      <c r="CV117" s="373"/>
      <c r="CW117" s="373"/>
      <c r="CX117" s="744"/>
      <c r="CY117" s="745"/>
      <c r="CZ117" s="373"/>
      <c r="DA117" s="373"/>
      <c r="DB117" s="744">
        <f t="shared" si="132"/>
        <v>0</v>
      </c>
      <c r="DC117" s="745"/>
      <c r="DG117" s="746"/>
      <c r="DH117" s="746"/>
      <c r="DI117" s="746"/>
      <c r="DJ117" s="747"/>
      <c r="DK117" s="718"/>
      <c r="DL117" s="718"/>
    </row>
    <row r="118" spans="1:116">
      <c r="A118" s="380"/>
      <c r="B118" s="784">
        <v>1718002334</v>
      </c>
      <c r="C118" s="380" t="s">
        <v>561</v>
      </c>
      <c r="D118" s="373"/>
      <c r="E118" s="376">
        <v>44.6</v>
      </c>
      <c r="F118" s="783">
        <f t="shared" si="111"/>
        <v>0</v>
      </c>
      <c r="G118" s="745">
        <f t="shared" si="70"/>
        <v>-44.6</v>
      </c>
      <c r="H118" s="745">
        <f t="shared" si="96"/>
        <v>0</v>
      </c>
      <c r="I118" s="376">
        <v>33.598999999999997</v>
      </c>
      <c r="J118" s="376"/>
      <c r="K118" s="751">
        <f t="shared" si="118"/>
        <v>-33.598999999999997</v>
      </c>
      <c r="L118" s="751"/>
      <c r="M118" s="376">
        <v>10.978999999999999</v>
      </c>
      <c r="N118" s="376"/>
      <c r="O118" s="751">
        <f t="shared" si="114"/>
        <v>-10.978999999999999</v>
      </c>
      <c r="P118" s="751"/>
      <c r="Q118" s="376"/>
      <c r="R118" s="376"/>
      <c r="S118" s="751">
        <f t="shared" si="115"/>
        <v>0</v>
      </c>
      <c r="T118" s="751"/>
      <c r="U118" s="376"/>
      <c r="V118" s="376"/>
      <c r="W118" s="751">
        <f t="shared" si="116"/>
        <v>0</v>
      </c>
      <c r="X118" s="751"/>
      <c r="Y118" s="376">
        <f t="shared" si="113"/>
        <v>0</v>
      </c>
      <c r="Z118" s="376">
        <f t="shared" si="113"/>
        <v>0</v>
      </c>
      <c r="AA118" s="751">
        <f t="shared" si="119"/>
        <v>0</v>
      </c>
      <c r="AB118" s="751"/>
      <c r="AC118" s="376"/>
      <c r="AD118" s="376"/>
      <c r="AE118" s="751">
        <f t="shared" si="120"/>
        <v>0</v>
      </c>
      <c r="AF118" s="751"/>
      <c r="AG118" s="376"/>
      <c r="AH118" s="376"/>
      <c r="AI118" s="751"/>
      <c r="AJ118" s="376"/>
      <c r="AK118" s="376"/>
      <c r="AL118" s="751">
        <f t="shared" si="121"/>
        <v>0</v>
      </c>
      <c r="AM118" s="751"/>
      <c r="AN118" s="376"/>
      <c r="AO118" s="376"/>
      <c r="AP118" s="751">
        <f t="shared" si="117"/>
        <v>0</v>
      </c>
      <c r="AQ118" s="751"/>
      <c r="AR118" s="751"/>
      <c r="AS118" s="751"/>
      <c r="AT118" s="751"/>
      <c r="AU118" s="751"/>
      <c r="AV118" s="376"/>
      <c r="AW118" s="376"/>
      <c r="AX118" s="751">
        <f t="shared" si="122"/>
        <v>0</v>
      </c>
      <c r="AY118" s="751"/>
      <c r="AZ118" s="376"/>
      <c r="BA118" s="376"/>
      <c r="BB118" s="751">
        <v>0</v>
      </c>
      <c r="BC118" s="751"/>
      <c r="BD118" s="376"/>
      <c r="BE118" s="376"/>
      <c r="BF118" s="751">
        <f t="shared" si="123"/>
        <v>0</v>
      </c>
      <c r="BG118" s="751"/>
      <c r="BH118" s="376"/>
      <c r="BI118" s="376"/>
      <c r="BJ118" s="751">
        <f t="shared" si="124"/>
        <v>0</v>
      </c>
      <c r="BK118" s="751"/>
      <c r="BL118" s="376"/>
      <c r="BM118" s="376"/>
      <c r="BN118" s="751">
        <f t="shared" si="125"/>
        <v>0</v>
      </c>
      <c r="BO118" s="751"/>
      <c r="BP118" s="376"/>
      <c r="BQ118" s="376"/>
      <c r="BR118" s="751">
        <f t="shared" si="126"/>
        <v>0</v>
      </c>
      <c r="BS118" s="751"/>
      <c r="BT118" s="376"/>
      <c r="BU118" s="376"/>
      <c r="BV118" s="751">
        <f t="shared" si="127"/>
        <v>0</v>
      </c>
      <c r="BW118" s="751"/>
      <c r="BX118" s="376"/>
      <c r="BY118" s="376"/>
      <c r="BZ118" s="751">
        <f t="shared" si="128"/>
        <v>0</v>
      </c>
      <c r="CA118" s="751"/>
      <c r="CB118" s="376"/>
      <c r="CC118" s="376"/>
      <c r="CD118" s="751">
        <f t="shared" si="129"/>
        <v>0</v>
      </c>
      <c r="CE118" s="751"/>
      <c r="CF118" s="376"/>
      <c r="CG118" s="376"/>
      <c r="CH118" s="751">
        <f t="shared" si="130"/>
        <v>0</v>
      </c>
      <c r="CI118" s="751"/>
      <c r="CJ118" s="376"/>
      <c r="CK118" s="376"/>
      <c r="CL118" s="751">
        <f t="shared" si="131"/>
        <v>0</v>
      </c>
      <c r="CM118" s="386"/>
      <c r="CN118" s="751"/>
      <c r="CO118" s="751"/>
      <c r="CP118" s="751">
        <v>0</v>
      </c>
      <c r="CQ118" s="751"/>
      <c r="CR118" s="374"/>
      <c r="CS118" s="374"/>
      <c r="CT118" s="744"/>
      <c r="CU118" s="745"/>
      <c r="CV118" s="373"/>
      <c r="CW118" s="373"/>
      <c r="CX118" s="744"/>
      <c r="CY118" s="745"/>
      <c r="CZ118" s="373"/>
      <c r="DA118" s="373"/>
      <c r="DB118" s="744">
        <f t="shared" si="132"/>
        <v>0</v>
      </c>
      <c r="DC118" s="745"/>
      <c r="DG118" s="746"/>
      <c r="DH118" s="746"/>
      <c r="DI118" s="746"/>
      <c r="DJ118" s="747"/>
      <c r="DK118" s="718"/>
      <c r="DL118" s="718"/>
    </row>
    <row r="119" spans="1:116" ht="12.75" customHeight="1">
      <c r="A119" s="738"/>
      <c r="B119" s="739">
        <v>1718002567</v>
      </c>
      <c r="C119" s="738" t="s">
        <v>562</v>
      </c>
      <c r="D119" s="748">
        <v>9.6</v>
      </c>
      <c r="E119" s="377">
        <v>53</v>
      </c>
      <c r="F119" s="783">
        <f t="shared" si="111"/>
        <v>0</v>
      </c>
      <c r="G119" s="749">
        <f t="shared" si="70"/>
        <v>-53</v>
      </c>
      <c r="H119" s="749">
        <f t="shared" si="96"/>
        <v>0</v>
      </c>
      <c r="I119" s="377"/>
      <c r="J119" s="376"/>
      <c r="K119" s="750">
        <f t="shared" si="118"/>
        <v>0</v>
      </c>
      <c r="L119" s="750"/>
      <c r="M119" s="377"/>
      <c r="N119" s="377"/>
      <c r="O119" s="750">
        <f t="shared" si="114"/>
        <v>0</v>
      </c>
      <c r="P119" s="750"/>
      <c r="Q119" s="377"/>
      <c r="R119" s="377"/>
      <c r="S119" s="750">
        <f t="shared" si="115"/>
        <v>0</v>
      </c>
      <c r="T119" s="750"/>
      <c r="U119" s="377"/>
      <c r="V119" s="377"/>
      <c r="W119" s="750">
        <f t="shared" si="116"/>
        <v>0</v>
      </c>
      <c r="X119" s="750"/>
      <c r="Y119" s="377">
        <f t="shared" si="113"/>
        <v>0</v>
      </c>
      <c r="Z119" s="377">
        <f t="shared" si="113"/>
        <v>0</v>
      </c>
      <c r="AA119" s="750">
        <f t="shared" si="119"/>
        <v>0</v>
      </c>
      <c r="AB119" s="750"/>
      <c r="AC119" s="377"/>
      <c r="AD119" s="377"/>
      <c r="AE119" s="750">
        <f t="shared" si="120"/>
        <v>0</v>
      </c>
      <c r="AF119" s="750" t="e">
        <f>AD119/AC119</f>
        <v>#DIV/0!</v>
      </c>
      <c r="AG119" s="377"/>
      <c r="AH119" s="377"/>
      <c r="AI119" s="750"/>
      <c r="AJ119" s="377">
        <v>48.493000000000002</v>
      </c>
      <c r="AK119" s="377"/>
      <c r="AL119" s="750">
        <f t="shared" si="121"/>
        <v>-48.493000000000002</v>
      </c>
      <c r="AM119" s="750"/>
      <c r="AN119" s="377"/>
      <c r="AO119" s="377"/>
      <c r="AP119" s="750">
        <f t="shared" si="117"/>
        <v>0</v>
      </c>
      <c r="AQ119" s="750"/>
      <c r="AR119" s="750"/>
      <c r="AS119" s="750"/>
      <c r="AT119" s="750">
        <f>AS119-AR119</f>
        <v>0</v>
      </c>
      <c r="AU119" s="750"/>
      <c r="AV119" s="377"/>
      <c r="AW119" s="377"/>
      <c r="AX119" s="750">
        <f t="shared" si="122"/>
        <v>0</v>
      </c>
      <c r="AY119" s="750"/>
      <c r="AZ119" s="377"/>
      <c r="BA119" s="377"/>
      <c r="BB119" s="750">
        <v>0</v>
      </c>
      <c r="BC119" s="750"/>
      <c r="BD119" s="377"/>
      <c r="BE119" s="377"/>
      <c r="BF119" s="750">
        <f t="shared" si="123"/>
        <v>0</v>
      </c>
      <c r="BG119" s="750"/>
      <c r="BH119" s="377"/>
      <c r="BI119" s="377"/>
      <c r="BJ119" s="750">
        <f t="shared" si="124"/>
        <v>0</v>
      </c>
      <c r="BK119" s="750"/>
      <c r="BL119" s="376">
        <v>4.4820000000000002</v>
      </c>
      <c r="BM119" s="376"/>
      <c r="BN119" s="750">
        <f t="shared" si="125"/>
        <v>-4.4820000000000002</v>
      </c>
      <c r="BO119" s="750"/>
      <c r="BP119" s="377"/>
      <c r="BQ119" s="377"/>
      <c r="BR119" s="750">
        <f t="shared" si="126"/>
        <v>0</v>
      </c>
      <c r="BS119" s="750"/>
      <c r="BT119" s="377"/>
      <c r="BU119" s="377"/>
      <c r="BV119" s="750">
        <f t="shared" si="127"/>
        <v>0</v>
      </c>
      <c r="BW119" s="750" t="e">
        <f t="shared" si="134"/>
        <v>#DIV/0!</v>
      </c>
      <c r="BX119" s="377"/>
      <c r="BY119" s="377"/>
      <c r="BZ119" s="750">
        <f t="shared" si="128"/>
        <v>0</v>
      </c>
      <c r="CA119" s="750"/>
      <c r="CB119" s="377"/>
      <c r="CC119" s="377"/>
      <c r="CD119" s="750">
        <f t="shared" si="129"/>
        <v>0</v>
      </c>
      <c r="CE119" s="750"/>
      <c r="CF119" s="377"/>
      <c r="CG119" s="377"/>
      <c r="CH119" s="750">
        <f t="shared" si="130"/>
        <v>0</v>
      </c>
      <c r="CI119" s="750"/>
      <c r="CJ119" s="377"/>
      <c r="CK119" s="377"/>
      <c r="CL119" s="750">
        <f t="shared" si="131"/>
        <v>0</v>
      </c>
      <c r="CM119" s="386"/>
      <c r="CN119" s="751"/>
      <c r="CO119" s="751"/>
      <c r="CP119" s="751">
        <v>0</v>
      </c>
      <c r="CQ119" s="751"/>
      <c r="CR119" s="374"/>
      <c r="CS119" s="374"/>
      <c r="CT119" s="744">
        <f>CS119-CR119</f>
        <v>0</v>
      </c>
      <c r="CU119" s="745"/>
      <c r="CV119" s="373"/>
      <c r="CW119" s="373"/>
      <c r="CX119" s="744"/>
      <c r="CY119" s="745"/>
      <c r="CZ119" s="373"/>
      <c r="DA119" s="373"/>
      <c r="DB119" s="744">
        <f t="shared" si="132"/>
        <v>0</v>
      </c>
      <c r="DC119" s="745"/>
      <c r="DG119" s="746"/>
      <c r="DH119" s="746"/>
      <c r="DI119" s="746"/>
      <c r="DJ119" s="747"/>
      <c r="DK119" s="718"/>
      <c r="DL119" s="718"/>
    </row>
    <row r="120" spans="1:116" ht="12.75" customHeight="1">
      <c r="A120" s="738"/>
      <c r="B120" s="739">
        <v>1701059340</v>
      </c>
      <c r="C120" s="738" t="s">
        <v>706</v>
      </c>
      <c r="D120" s="748"/>
      <c r="E120" s="377">
        <v>0.2</v>
      </c>
      <c r="F120" s="783">
        <f t="shared" si="111"/>
        <v>0</v>
      </c>
      <c r="G120" s="749">
        <f t="shared" si="70"/>
        <v>-0.2</v>
      </c>
      <c r="H120" s="749">
        <f>F120/E120</f>
        <v>0</v>
      </c>
      <c r="I120" s="377"/>
      <c r="J120" s="377"/>
      <c r="K120" s="750">
        <f>J120-I120</f>
        <v>0</v>
      </c>
      <c r="L120" s="750"/>
      <c r="M120" s="377"/>
      <c r="N120" s="377"/>
      <c r="O120" s="750">
        <f>N120-M120</f>
        <v>0</v>
      </c>
      <c r="P120" s="750"/>
      <c r="Q120" s="377"/>
      <c r="R120" s="377"/>
      <c r="S120" s="750">
        <f>R120-Q120</f>
        <v>0</v>
      </c>
      <c r="T120" s="750"/>
      <c r="U120" s="377"/>
      <c r="V120" s="377"/>
      <c r="W120" s="750">
        <f>V120-U120</f>
        <v>0</v>
      </c>
      <c r="X120" s="750"/>
      <c r="Y120" s="377">
        <f>AC120</f>
        <v>0</v>
      </c>
      <c r="Z120" s="377">
        <f>AD120</f>
        <v>0</v>
      </c>
      <c r="AA120" s="750">
        <f>Z120-Y120</f>
        <v>0</v>
      </c>
      <c r="AB120" s="750"/>
      <c r="AC120" s="377"/>
      <c r="AD120" s="377"/>
      <c r="AE120" s="750">
        <f>AD120-AC120</f>
        <v>0</v>
      </c>
      <c r="AF120" s="750" t="e">
        <f>AD120/AC120</f>
        <v>#DIV/0!</v>
      </c>
      <c r="AG120" s="377"/>
      <c r="AH120" s="377"/>
      <c r="AI120" s="750"/>
      <c r="AJ120" s="377"/>
      <c r="AK120" s="377"/>
      <c r="AL120" s="750">
        <f>AK120-AJ120</f>
        <v>0</v>
      </c>
      <c r="AM120" s="750"/>
      <c r="AN120" s="377"/>
      <c r="AO120" s="377"/>
      <c r="AP120" s="750">
        <f>AO120-AN120</f>
        <v>0</v>
      </c>
      <c r="AQ120" s="750"/>
      <c r="AR120" s="750"/>
      <c r="AS120" s="750"/>
      <c r="AT120" s="750"/>
      <c r="AU120" s="750"/>
      <c r="AV120" s="377"/>
      <c r="AW120" s="377"/>
      <c r="AX120" s="750">
        <f>AW120-AV120</f>
        <v>0</v>
      </c>
      <c r="AY120" s="750"/>
      <c r="AZ120" s="377"/>
      <c r="BA120" s="377"/>
      <c r="BB120" s="750">
        <v>0</v>
      </c>
      <c r="BC120" s="750"/>
      <c r="BD120" s="377"/>
      <c r="BE120" s="377"/>
      <c r="BF120" s="750">
        <f>BE120-BD120</f>
        <v>0</v>
      </c>
      <c r="BG120" s="750"/>
      <c r="BH120" s="377"/>
      <c r="BI120" s="377"/>
      <c r="BJ120" s="750">
        <f>BI120-BH120</f>
        <v>0</v>
      </c>
      <c r="BK120" s="750"/>
      <c r="BL120" s="377">
        <v>0.20200000000000001</v>
      </c>
      <c r="BM120" s="377"/>
      <c r="BN120" s="750">
        <f>BM120-BL120</f>
        <v>-0.20200000000000001</v>
      </c>
      <c r="BO120" s="750"/>
      <c r="BP120" s="377"/>
      <c r="BQ120" s="377"/>
      <c r="BR120" s="750">
        <f>BQ120-BP120</f>
        <v>0</v>
      </c>
      <c r="BS120" s="750"/>
      <c r="BT120" s="377"/>
      <c r="BU120" s="377"/>
      <c r="BV120" s="750">
        <f>BU120-BT120</f>
        <v>0</v>
      </c>
      <c r="BW120" s="750" t="e">
        <f>BU120/BT120</f>
        <v>#DIV/0!</v>
      </c>
      <c r="BX120" s="377"/>
      <c r="BY120" s="377"/>
      <c r="BZ120" s="750">
        <f>BY120-BX120</f>
        <v>0</v>
      </c>
      <c r="CA120" s="750"/>
      <c r="CB120" s="377"/>
      <c r="CC120" s="377"/>
      <c r="CD120" s="750">
        <f>CC120-CB120</f>
        <v>0</v>
      </c>
      <c r="CE120" s="750"/>
      <c r="CF120" s="377"/>
      <c r="CG120" s="377"/>
      <c r="CH120" s="750">
        <f>CG120-CF120</f>
        <v>0</v>
      </c>
      <c r="CI120" s="750"/>
      <c r="CJ120" s="377"/>
      <c r="CK120" s="377"/>
      <c r="CL120" s="750">
        <f>CK120-CJ120</f>
        <v>0</v>
      </c>
      <c r="CM120" s="386"/>
      <c r="CN120" s="751"/>
      <c r="CO120" s="751"/>
      <c r="CP120" s="751">
        <v>0</v>
      </c>
      <c r="CQ120" s="751"/>
      <c r="CR120" s="374"/>
      <c r="CS120" s="374"/>
      <c r="CT120" s="744"/>
      <c r="CU120" s="745"/>
      <c r="CV120" s="373"/>
      <c r="CW120" s="373"/>
      <c r="CX120" s="744"/>
      <c r="CY120" s="745"/>
      <c r="CZ120" s="373"/>
      <c r="DA120" s="373"/>
      <c r="DB120" s="744">
        <f>DA120-CZ120</f>
        <v>0</v>
      </c>
      <c r="DC120" s="745"/>
      <c r="DG120" s="746"/>
      <c r="DH120" s="746"/>
      <c r="DI120" s="746"/>
      <c r="DJ120" s="747"/>
      <c r="DK120" s="718"/>
      <c r="DL120" s="718"/>
    </row>
    <row r="121" spans="1:116" ht="12.75" customHeight="1">
      <c r="A121" s="738"/>
      <c r="B121" s="739">
        <v>1718002648</v>
      </c>
      <c r="C121" s="738" t="s">
        <v>707</v>
      </c>
      <c r="D121" s="748"/>
      <c r="E121" s="377">
        <f>I121+M121+Q121+U121+Y121+AJ121+AN121+AR121+AV121+BD121+BH121+BX121+CF121+CJ121+CN121+CR121+CV121+CZ121+AZ121+BL121+BT121</f>
        <v>0</v>
      </c>
      <c r="F121" s="783">
        <f t="shared" si="111"/>
        <v>0</v>
      </c>
      <c r="G121" s="749">
        <f t="shared" si="70"/>
        <v>0</v>
      </c>
      <c r="H121" s="749">
        <v>0</v>
      </c>
      <c r="I121" s="377"/>
      <c r="J121" s="377"/>
      <c r="K121" s="750">
        <f>J121-I121</f>
        <v>0</v>
      </c>
      <c r="L121" s="750"/>
      <c r="M121" s="377"/>
      <c r="N121" s="377"/>
      <c r="O121" s="750">
        <f>N121-M121</f>
        <v>0</v>
      </c>
      <c r="P121" s="750"/>
      <c r="Q121" s="377"/>
      <c r="R121" s="377"/>
      <c r="S121" s="750">
        <f>R121-Q121</f>
        <v>0</v>
      </c>
      <c r="T121" s="750"/>
      <c r="U121" s="377"/>
      <c r="V121" s="377"/>
      <c r="W121" s="750">
        <f>V121-U121</f>
        <v>0</v>
      </c>
      <c r="X121" s="750"/>
      <c r="Y121" s="377">
        <f>AC121</f>
        <v>0</v>
      </c>
      <c r="Z121" s="377">
        <f>AD121</f>
        <v>0</v>
      </c>
      <c r="AA121" s="750">
        <f>Z121-Y121</f>
        <v>0</v>
      </c>
      <c r="AB121" s="750"/>
      <c r="AC121" s="377"/>
      <c r="AD121" s="377"/>
      <c r="AE121" s="750">
        <f>AD121-AC121</f>
        <v>0</v>
      </c>
      <c r="AF121" s="750" t="e">
        <f>AD121/AC121</f>
        <v>#DIV/0!</v>
      </c>
      <c r="AG121" s="377"/>
      <c r="AH121" s="377"/>
      <c r="AI121" s="750"/>
      <c r="AJ121" s="377"/>
      <c r="AK121" s="377"/>
      <c r="AL121" s="750">
        <f>AK121-AJ121</f>
        <v>0</v>
      </c>
      <c r="AM121" s="750"/>
      <c r="AN121" s="377"/>
      <c r="AO121" s="377"/>
      <c r="AP121" s="750">
        <f>AO121-AN121</f>
        <v>0</v>
      </c>
      <c r="AQ121" s="750"/>
      <c r="AR121" s="750"/>
      <c r="AS121" s="750"/>
      <c r="AT121" s="750"/>
      <c r="AU121" s="750"/>
      <c r="AV121" s="377"/>
      <c r="AW121" s="377"/>
      <c r="AX121" s="750">
        <f>AW121-AV121</f>
        <v>0</v>
      </c>
      <c r="AY121" s="750"/>
      <c r="AZ121" s="377"/>
      <c r="BA121" s="377"/>
      <c r="BB121" s="750">
        <v>0</v>
      </c>
      <c r="BC121" s="750"/>
      <c r="BD121" s="377"/>
      <c r="BE121" s="377"/>
      <c r="BF121" s="750">
        <f>BE121-BD121</f>
        <v>0</v>
      </c>
      <c r="BG121" s="750"/>
      <c r="BH121" s="377"/>
      <c r="BI121" s="377"/>
      <c r="BJ121" s="750">
        <f>BI121-BH121</f>
        <v>0</v>
      </c>
      <c r="BK121" s="750"/>
      <c r="BL121" s="377"/>
      <c r="BM121" s="377"/>
      <c r="BN121" s="750">
        <f>BM121-BL121</f>
        <v>0</v>
      </c>
      <c r="BO121" s="750"/>
      <c r="BP121" s="377"/>
      <c r="BQ121" s="377"/>
      <c r="BR121" s="750">
        <f>BQ121-BP121</f>
        <v>0</v>
      </c>
      <c r="BS121" s="750"/>
      <c r="BT121" s="377"/>
      <c r="BU121" s="377"/>
      <c r="BV121" s="750">
        <f>BU121-BT121</f>
        <v>0</v>
      </c>
      <c r="BW121" s="750" t="e">
        <f>BU121/BT121</f>
        <v>#DIV/0!</v>
      </c>
      <c r="BX121" s="377"/>
      <c r="BY121" s="377"/>
      <c r="BZ121" s="750">
        <f>BY121-BX121</f>
        <v>0</v>
      </c>
      <c r="CA121" s="750"/>
      <c r="CB121" s="377"/>
      <c r="CC121" s="377"/>
      <c r="CD121" s="750">
        <f>CC121-CB121</f>
        <v>0</v>
      </c>
      <c r="CE121" s="750"/>
      <c r="CF121" s="377"/>
      <c r="CG121" s="377"/>
      <c r="CH121" s="750">
        <f>CG121-CF121</f>
        <v>0</v>
      </c>
      <c r="CI121" s="750"/>
      <c r="CJ121" s="377"/>
      <c r="CK121" s="377"/>
      <c r="CL121" s="750">
        <f>CK121-CJ121</f>
        <v>0</v>
      </c>
      <c r="CM121" s="386"/>
      <c r="CN121" s="751"/>
      <c r="CO121" s="751"/>
      <c r="CP121" s="751">
        <v>0</v>
      </c>
      <c r="CQ121" s="751"/>
      <c r="CR121" s="374"/>
      <c r="CS121" s="374"/>
      <c r="CT121" s="744"/>
      <c r="CU121" s="745"/>
      <c r="CV121" s="373"/>
      <c r="CW121" s="373"/>
      <c r="CX121" s="744"/>
      <c r="CY121" s="745"/>
      <c r="CZ121" s="373"/>
      <c r="DA121" s="373"/>
      <c r="DB121" s="744">
        <f>DA121-CZ121</f>
        <v>0</v>
      </c>
      <c r="DC121" s="745"/>
      <c r="DG121" s="746"/>
      <c r="DH121" s="746"/>
      <c r="DI121" s="746"/>
      <c r="DJ121" s="747"/>
      <c r="DK121" s="718"/>
      <c r="DL121" s="718"/>
    </row>
    <row r="122" spans="1:116" ht="12.75" customHeight="1">
      <c r="A122" s="738"/>
      <c r="B122" s="770" t="s">
        <v>904</v>
      </c>
      <c r="C122" s="738" t="s">
        <v>774</v>
      </c>
      <c r="D122" s="748"/>
      <c r="E122" s="377">
        <f t="shared" si="110"/>
        <v>0</v>
      </c>
      <c r="F122" s="783">
        <f t="shared" si="111"/>
        <v>5.2607900000000001</v>
      </c>
      <c r="G122" s="749">
        <f t="shared" si="70"/>
        <v>5.2607900000000001</v>
      </c>
      <c r="H122" s="749">
        <v>0</v>
      </c>
      <c r="I122" s="377"/>
      <c r="J122" s="377"/>
      <c r="K122" s="750">
        <f t="shared" si="118"/>
        <v>0</v>
      </c>
      <c r="L122" s="750"/>
      <c r="M122" s="377"/>
      <c r="N122" s="377"/>
      <c r="O122" s="750">
        <f t="shared" si="114"/>
        <v>0</v>
      </c>
      <c r="P122" s="750"/>
      <c r="Q122" s="377"/>
      <c r="R122" s="377"/>
      <c r="S122" s="750">
        <f t="shared" si="115"/>
        <v>0</v>
      </c>
      <c r="T122" s="750"/>
      <c r="U122" s="377"/>
      <c r="V122" s="377"/>
      <c r="W122" s="750">
        <f t="shared" si="116"/>
        <v>0</v>
      </c>
      <c r="X122" s="750"/>
      <c r="Y122" s="377">
        <f t="shared" si="113"/>
        <v>0</v>
      </c>
      <c r="Z122" s="377">
        <f t="shared" si="113"/>
        <v>0</v>
      </c>
      <c r="AA122" s="750">
        <f t="shared" si="119"/>
        <v>0</v>
      </c>
      <c r="AB122" s="750"/>
      <c r="AC122" s="377"/>
      <c r="AD122" s="377"/>
      <c r="AE122" s="750">
        <f t="shared" si="120"/>
        <v>0</v>
      </c>
      <c r="AF122" s="750" t="e">
        <f>AD122/AC122</f>
        <v>#DIV/0!</v>
      </c>
      <c r="AG122" s="377"/>
      <c r="AH122" s="377"/>
      <c r="AI122" s="750"/>
      <c r="AJ122" s="377"/>
      <c r="AK122" s="377"/>
      <c r="AL122" s="750">
        <f t="shared" si="121"/>
        <v>0</v>
      </c>
      <c r="AM122" s="750"/>
      <c r="AN122" s="377"/>
      <c r="AO122" s="377"/>
      <c r="AP122" s="750">
        <f t="shared" si="117"/>
        <v>0</v>
      </c>
      <c r="AQ122" s="750"/>
      <c r="AR122" s="750"/>
      <c r="AS122" s="750"/>
      <c r="AT122" s="750"/>
      <c r="AU122" s="750"/>
      <c r="AV122" s="377"/>
      <c r="AW122" s="377"/>
      <c r="AX122" s="750">
        <f t="shared" si="122"/>
        <v>0</v>
      </c>
      <c r="AY122" s="750"/>
      <c r="AZ122" s="377"/>
      <c r="BA122" s="377"/>
      <c r="BB122" s="750">
        <v>0</v>
      </c>
      <c r="BC122" s="750"/>
      <c r="BD122" s="377"/>
      <c r="BE122" s="377"/>
      <c r="BF122" s="750">
        <f t="shared" si="123"/>
        <v>0</v>
      </c>
      <c r="BG122" s="750"/>
      <c r="BH122" s="377"/>
      <c r="BI122" s="377"/>
      <c r="BJ122" s="750">
        <f t="shared" si="124"/>
        <v>0</v>
      </c>
      <c r="BK122" s="750"/>
      <c r="BL122" s="377"/>
      <c r="BM122" s="377"/>
      <c r="BN122" s="750">
        <f t="shared" si="125"/>
        <v>0</v>
      </c>
      <c r="BO122" s="750"/>
      <c r="BP122" s="377"/>
      <c r="BQ122" s="377"/>
      <c r="BR122" s="750">
        <f t="shared" si="126"/>
        <v>0</v>
      </c>
      <c r="BS122" s="750"/>
      <c r="BT122" s="377"/>
      <c r="BU122" s="377"/>
      <c r="BV122" s="750">
        <f t="shared" si="127"/>
        <v>0</v>
      </c>
      <c r="BW122" s="750" t="e">
        <f t="shared" si="134"/>
        <v>#DIV/0!</v>
      </c>
      <c r="BX122" s="377"/>
      <c r="BY122" s="377"/>
      <c r="BZ122" s="750">
        <f t="shared" si="128"/>
        <v>0</v>
      </c>
      <c r="CA122" s="750"/>
      <c r="CB122" s="377"/>
      <c r="CC122" s="377"/>
      <c r="CD122" s="750">
        <f t="shared" si="129"/>
        <v>0</v>
      </c>
      <c r="CE122" s="750"/>
      <c r="CF122" s="377"/>
      <c r="CG122" s="377"/>
      <c r="CH122" s="750">
        <f t="shared" si="130"/>
        <v>0</v>
      </c>
      <c r="CI122" s="750"/>
      <c r="CJ122" s="377"/>
      <c r="CK122" s="377">
        <f>4.48479+0.776</f>
        <v>5.2607900000000001</v>
      </c>
      <c r="CL122" s="750">
        <f t="shared" si="131"/>
        <v>5.2607900000000001</v>
      </c>
      <c r="CM122" s="386"/>
      <c r="CN122" s="751"/>
      <c r="CO122" s="751"/>
      <c r="CP122" s="751">
        <v>0</v>
      </c>
      <c r="CQ122" s="751"/>
      <c r="CR122" s="374"/>
      <c r="CS122" s="374"/>
      <c r="CT122" s="744"/>
      <c r="CU122" s="745"/>
      <c r="CV122" s="373"/>
      <c r="CW122" s="373"/>
      <c r="CX122" s="744"/>
      <c r="CY122" s="745"/>
      <c r="CZ122" s="373"/>
      <c r="DA122" s="373"/>
      <c r="DB122" s="744">
        <f t="shared" si="132"/>
        <v>0</v>
      </c>
      <c r="DC122" s="745"/>
      <c r="DG122" s="746"/>
      <c r="DH122" s="746"/>
      <c r="DI122" s="746"/>
      <c r="DJ122" s="747"/>
      <c r="DK122" s="718"/>
      <c r="DL122" s="718"/>
    </row>
    <row r="123" spans="1:116" ht="12.75" hidden="1" customHeight="1">
      <c r="A123" s="738"/>
      <c r="B123" s="739"/>
      <c r="C123" s="738" t="s">
        <v>564</v>
      </c>
      <c r="D123" s="748"/>
      <c r="E123" s="377">
        <f t="shared" si="110"/>
        <v>0</v>
      </c>
      <c r="F123" s="783">
        <f t="shared" si="111"/>
        <v>0</v>
      </c>
      <c r="G123" s="749">
        <f t="shared" si="70"/>
        <v>0</v>
      </c>
      <c r="H123" s="749">
        <v>0</v>
      </c>
      <c r="I123" s="377"/>
      <c r="J123" s="377"/>
      <c r="K123" s="750">
        <f t="shared" si="118"/>
        <v>0</v>
      </c>
      <c r="L123" s="750" t="e">
        <f t="shared" ref="L123:L127" si="135">J123/I123</f>
        <v>#DIV/0!</v>
      </c>
      <c r="M123" s="377"/>
      <c r="N123" s="377"/>
      <c r="O123" s="750">
        <f t="shared" si="114"/>
        <v>0</v>
      </c>
      <c r="P123" s="750"/>
      <c r="Q123" s="377"/>
      <c r="R123" s="377"/>
      <c r="S123" s="750">
        <f t="shared" si="115"/>
        <v>0</v>
      </c>
      <c r="T123" s="750"/>
      <c r="U123" s="377"/>
      <c r="V123" s="377"/>
      <c r="W123" s="750">
        <f t="shared" si="116"/>
        <v>0</v>
      </c>
      <c r="X123" s="750"/>
      <c r="Y123" s="377">
        <f t="shared" si="113"/>
        <v>0</v>
      </c>
      <c r="Z123" s="377">
        <f t="shared" si="113"/>
        <v>0</v>
      </c>
      <c r="AA123" s="750">
        <f t="shared" si="119"/>
        <v>0</v>
      </c>
      <c r="AB123" s="750"/>
      <c r="AC123" s="377"/>
      <c r="AD123" s="377"/>
      <c r="AE123" s="750">
        <f t="shared" si="120"/>
        <v>0</v>
      </c>
      <c r="AF123" s="750"/>
      <c r="AG123" s="377"/>
      <c r="AH123" s="377"/>
      <c r="AI123" s="750"/>
      <c r="AJ123" s="377"/>
      <c r="AK123" s="377"/>
      <c r="AL123" s="750">
        <f t="shared" si="121"/>
        <v>0</v>
      </c>
      <c r="AM123" s="750"/>
      <c r="AN123" s="377"/>
      <c r="AO123" s="377"/>
      <c r="AP123" s="750">
        <f t="shared" si="117"/>
        <v>0</v>
      </c>
      <c r="AQ123" s="750"/>
      <c r="AR123" s="750"/>
      <c r="AS123" s="750"/>
      <c r="AT123" s="750">
        <f>AS123-AR123</f>
        <v>0</v>
      </c>
      <c r="AU123" s="750"/>
      <c r="AV123" s="377"/>
      <c r="AW123" s="377"/>
      <c r="AX123" s="750">
        <f t="shared" si="122"/>
        <v>0</v>
      </c>
      <c r="AY123" s="750"/>
      <c r="AZ123" s="377"/>
      <c r="BA123" s="377"/>
      <c r="BB123" s="750">
        <v>0</v>
      </c>
      <c r="BC123" s="750"/>
      <c r="BD123" s="377"/>
      <c r="BE123" s="377"/>
      <c r="BF123" s="750">
        <f t="shared" si="123"/>
        <v>0</v>
      </c>
      <c r="BG123" s="750"/>
      <c r="BH123" s="377"/>
      <c r="BI123" s="377"/>
      <c r="BJ123" s="750">
        <f t="shared" si="124"/>
        <v>0</v>
      </c>
      <c r="BK123" s="750"/>
      <c r="BL123" s="377"/>
      <c r="BM123" s="377"/>
      <c r="BN123" s="750">
        <f t="shared" si="125"/>
        <v>0</v>
      </c>
      <c r="BO123" s="750"/>
      <c r="BP123" s="377"/>
      <c r="BQ123" s="377"/>
      <c r="BR123" s="750">
        <f t="shared" si="126"/>
        <v>0</v>
      </c>
      <c r="BS123" s="750"/>
      <c r="BT123" s="377"/>
      <c r="BU123" s="377"/>
      <c r="BV123" s="750">
        <f t="shared" si="127"/>
        <v>0</v>
      </c>
      <c r="BW123" s="750" t="e">
        <f t="shared" si="134"/>
        <v>#DIV/0!</v>
      </c>
      <c r="BX123" s="377"/>
      <c r="BY123" s="377"/>
      <c r="BZ123" s="750">
        <f t="shared" si="128"/>
        <v>0</v>
      </c>
      <c r="CA123" s="750"/>
      <c r="CB123" s="377"/>
      <c r="CC123" s="377"/>
      <c r="CD123" s="750">
        <f t="shared" si="129"/>
        <v>0</v>
      </c>
      <c r="CE123" s="750"/>
      <c r="CF123" s="377"/>
      <c r="CG123" s="377"/>
      <c r="CH123" s="750">
        <f t="shared" si="130"/>
        <v>0</v>
      </c>
      <c r="CI123" s="750"/>
      <c r="CJ123" s="377"/>
      <c r="CK123" s="377"/>
      <c r="CL123" s="750">
        <f t="shared" si="131"/>
        <v>0</v>
      </c>
      <c r="CM123" s="386"/>
      <c r="CN123" s="751"/>
      <c r="CO123" s="751"/>
      <c r="CP123" s="751">
        <v>0</v>
      </c>
      <c r="CQ123" s="751"/>
      <c r="CR123" s="374"/>
      <c r="CS123" s="374"/>
      <c r="CT123" s="744">
        <f>CS123-CR123</f>
        <v>0</v>
      </c>
      <c r="CU123" s="745"/>
      <c r="CV123" s="373"/>
      <c r="CW123" s="373"/>
      <c r="CX123" s="744"/>
      <c r="CY123" s="745"/>
      <c r="CZ123" s="373"/>
      <c r="DA123" s="373"/>
      <c r="DB123" s="744">
        <f t="shared" si="132"/>
        <v>0</v>
      </c>
      <c r="DC123" s="745"/>
      <c r="DG123" s="746"/>
      <c r="DH123" s="746"/>
      <c r="DI123" s="746"/>
      <c r="DJ123" s="747"/>
      <c r="DK123" s="718"/>
      <c r="DL123" s="718"/>
    </row>
    <row r="124" spans="1:116" ht="12.75" hidden="1" customHeight="1">
      <c r="A124" s="738"/>
      <c r="B124" s="739">
        <v>7704412966</v>
      </c>
      <c r="C124" s="738" t="s">
        <v>849</v>
      </c>
      <c r="D124" s="748"/>
      <c r="E124" s="377">
        <f t="shared" si="110"/>
        <v>0</v>
      </c>
      <c r="F124" s="783">
        <f t="shared" si="111"/>
        <v>0</v>
      </c>
      <c r="G124" s="749">
        <f t="shared" si="70"/>
        <v>0</v>
      </c>
      <c r="H124" s="749">
        <v>0</v>
      </c>
      <c r="I124" s="377"/>
      <c r="J124" s="377"/>
      <c r="K124" s="750">
        <f t="shared" si="118"/>
        <v>0</v>
      </c>
      <c r="L124" s="750"/>
      <c r="M124" s="377"/>
      <c r="N124" s="377"/>
      <c r="O124" s="750">
        <f t="shared" si="114"/>
        <v>0</v>
      </c>
      <c r="P124" s="750"/>
      <c r="Q124" s="377"/>
      <c r="R124" s="377"/>
      <c r="S124" s="750">
        <f t="shared" si="115"/>
        <v>0</v>
      </c>
      <c r="T124" s="750"/>
      <c r="U124" s="377"/>
      <c r="V124" s="377"/>
      <c r="W124" s="750">
        <f t="shared" si="116"/>
        <v>0</v>
      </c>
      <c r="X124" s="750"/>
      <c r="Y124" s="377"/>
      <c r="Z124" s="377"/>
      <c r="AA124" s="750"/>
      <c r="AB124" s="750"/>
      <c r="AC124" s="377"/>
      <c r="AD124" s="377"/>
      <c r="AE124" s="750"/>
      <c r="AF124" s="750"/>
      <c r="AG124" s="377"/>
      <c r="AH124" s="377"/>
      <c r="AI124" s="750"/>
      <c r="AJ124" s="377"/>
      <c r="AK124" s="377"/>
      <c r="AL124" s="750">
        <f t="shared" si="121"/>
        <v>0</v>
      </c>
      <c r="AM124" s="750"/>
      <c r="AN124" s="377"/>
      <c r="AO124" s="377"/>
      <c r="AP124" s="750">
        <f t="shared" si="117"/>
        <v>0</v>
      </c>
      <c r="AQ124" s="750"/>
      <c r="AR124" s="750"/>
      <c r="AS124" s="750"/>
      <c r="AT124" s="750"/>
      <c r="AU124" s="750"/>
      <c r="AV124" s="377"/>
      <c r="AW124" s="377"/>
      <c r="AX124" s="750">
        <f t="shared" si="122"/>
        <v>0</v>
      </c>
      <c r="AY124" s="750"/>
      <c r="AZ124" s="377"/>
      <c r="BA124" s="377"/>
      <c r="BB124" s="750"/>
      <c r="BC124" s="750"/>
      <c r="BD124" s="377"/>
      <c r="BE124" s="377"/>
      <c r="BF124" s="750"/>
      <c r="BG124" s="750"/>
      <c r="BH124" s="377"/>
      <c r="BI124" s="377"/>
      <c r="BJ124" s="750"/>
      <c r="BK124" s="750"/>
      <c r="BL124" s="377"/>
      <c r="BM124" s="377"/>
      <c r="BN124" s="750">
        <f t="shared" si="125"/>
        <v>0</v>
      </c>
      <c r="BO124" s="750"/>
      <c r="BP124" s="377"/>
      <c r="BQ124" s="377"/>
      <c r="BR124" s="750">
        <f t="shared" si="126"/>
        <v>0</v>
      </c>
      <c r="BS124" s="750"/>
      <c r="BT124" s="377"/>
      <c r="BU124" s="377"/>
      <c r="BV124" s="750"/>
      <c r="BW124" s="750"/>
      <c r="BX124" s="377"/>
      <c r="BY124" s="377"/>
      <c r="BZ124" s="750"/>
      <c r="CA124" s="750"/>
      <c r="CB124" s="377"/>
      <c r="CC124" s="377"/>
      <c r="CD124" s="750"/>
      <c r="CE124" s="750"/>
      <c r="CF124" s="377"/>
      <c r="CG124" s="377"/>
      <c r="CH124" s="750">
        <f t="shared" si="130"/>
        <v>0</v>
      </c>
      <c r="CI124" s="750"/>
      <c r="CJ124" s="377"/>
      <c r="CK124" s="377"/>
      <c r="CL124" s="750">
        <f t="shared" si="131"/>
        <v>0</v>
      </c>
      <c r="CM124" s="386"/>
      <c r="CN124" s="751"/>
      <c r="CO124" s="751"/>
      <c r="CP124" s="751">
        <v>0</v>
      </c>
      <c r="CQ124" s="751"/>
      <c r="CR124" s="374"/>
      <c r="CS124" s="374"/>
      <c r="CT124" s="744"/>
      <c r="CU124" s="745"/>
      <c r="CV124" s="373"/>
      <c r="CW124" s="373"/>
      <c r="CX124" s="744"/>
      <c r="CY124" s="745"/>
      <c r="CZ124" s="373"/>
      <c r="DA124" s="373"/>
      <c r="DB124" s="744"/>
      <c r="DC124" s="745"/>
      <c r="DG124" s="746"/>
      <c r="DH124" s="746"/>
      <c r="DI124" s="746"/>
      <c r="DJ124" s="747"/>
      <c r="DK124" s="718"/>
      <c r="DL124" s="718"/>
    </row>
    <row r="125" spans="1:116" ht="12.75" hidden="1" customHeight="1">
      <c r="A125" s="738"/>
      <c r="B125" s="739"/>
      <c r="C125" s="738" t="s">
        <v>378</v>
      </c>
      <c r="D125" s="748"/>
      <c r="E125" s="377">
        <f t="shared" si="110"/>
        <v>0</v>
      </c>
      <c r="F125" s="783">
        <f t="shared" si="111"/>
        <v>0</v>
      </c>
      <c r="G125" s="749">
        <f t="shared" si="70"/>
        <v>0</v>
      </c>
      <c r="H125" s="749">
        <v>0</v>
      </c>
      <c r="I125" s="377"/>
      <c r="J125" s="377"/>
      <c r="K125" s="750">
        <f t="shared" si="118"/>
        <v>0</v>
      </c>
      <c r="L125" s="750" t="e">
        <f t="shared" si="135"/>
        <v>#DIV/0!</v>
      </c>
      <c r="M125" s="377"/>
      <c r="N125" s="377"/>
      <c r="O125" s="750">
        <f t="shared" si="114"/>
        <v>0</v>
      </c>
      <c r="P125" s="750"/>
      <c r="Q125" s="377"/>
      <c r="R125" s="377"/>
      <c r="S125" s="750">
        <f t="shared" si="115"/>
        <v>0</v>
      </c>
      <c r="T125" s="750"/>
      <c r="U125" s="377"/>
      <c r="V125" s="377"/>
      <c r="W125" s="750">
        <f t="shared" si="116"/>
        <v>0</v>
      </c>
      <c r="X125" s="750"/>
      <c r="Y125" s="377">
        <f t="shared" si="113"/>
        <v>0</v>
      </c>
      <c r="Z125" s="377">
        <f t="shared" si="113"/>
        <v>0</v>
      </c>
      <c r="AA125" s="750">
        <f t="shared" si="119"/>
        <v>0</v>
      </c>
      <c r="AB125" s="750"/>
      <c r="AC125" s="377"/>
      <c r="AD125" s="377"/>
      <c r="AE125" s="750">
        <f t="shared" si="120"/>
        <v>0</v>
      </c>
      <c r="AF125" s="750"/>
      <c r="AG125" s="377"/>
      <c r="AH125" s="377"/>
      <c r="AI125" s="750"/>
      <c r="AJ125" s="377"/>
      <c r="AK125" s="377"/>
      <c r="AL125" s="750">
        <f t="shared" si="121"/>
        <v>0</v>
      </c>
      <c r="AM125" s="750"/>
      <c r="AN125" s="377"/>
      <c r="AO125" s="377"/>
      <c r="AP125" s="750">
        <f t="shared" si="117"/>
        <v>0</v>
      </c>
      <c r="AQ125" s="750"/>
      <c r="AR125" s="750"/>
      <c r="AS125" s="750"/>
      <c r="AT125" s="750">
        <f>AS125-AR125</f>
        <v>0</v>
      </c>
      <c r="AU125" s="750"/>
      <c r="AV125" s="377"/>
      <c r="AW125" s="377"/>
      <c r="AX125" s="750">
        <f t="shared" si="122"/>
        <v>0</v>
      </c>
      <c r="AY125" s="750"/>
      <c r="AZ125" s="377"/>
      <c r="BA125" s="377"/>
      <c r="BB125" s="750">
        <v>0</v>
      </c>
      <c r="BC125" s="750"/>
      <c r="BD125" s="377"/>
      <c r="BE125" s="377"/>
      <c r="BF125" s="750">
        <f t="shared" si="123"/>
        <v>0</v>
      </c>
      <c r="BG125" s="750"/>
      <c r="BH125" s="377"/>
      <c r="BI125" s="377"/>
      <c r="BJ125" s="750">
        <f t="shared" si="124"/>
        <v>0</v>
      </c>
      <c r="BK125" s="750"/>
      <c r="BL125" s="377"/>
      <c r="BM125" s="377"/>
      <c r="BN125" s="750">
        <f t="shared" si="125"/>
        <v>0</v>
      </c>
      <c r="BO125" s="750"/>
      <c r="BP125" s="377"/>
      <c r="BQ125" s="377"/>
      <c r="BR125" s="750">
        <f t="shared" si="126"/>
        <v>0</v>
      </c>
      <c r="BS125" s="750"/>
      <c r="BT125" s="377"/>
      <c r="BU125" s="377"/>
      <c r="BV125" s="750">
        <f t="shared" si="127"/>
        <v>0</v>
      </c>
      <c r="BW125" s="750" t="e">
        <f t="shared" si="134"/>
        <v>#DIV/0!</v>
      </c>
      <c r="BX125" s="377"/>
      <c r="BY125" s="377"/>
      <c r="BZ125" s="750">
        <f t="shared" si="128"/>
        <v>0</v>
      </c>
      <c r="CA125" s="750"/>
      <c r="CB125" s="377"/>
      <c r="CC125" s="377"/>
      <c r="CD125" s="750">
        <f t="shared" si="129"/>
        <v>0</v>
      </c>
      <c r="CE125" s="750"/>
      <c r="CF125" s="377"/>
      <c r="CG125" s="377"/>
      <c r="CH125" s="750">
        <f t="shared" si="130"/>
        <v>0</v>
      </c>
      <c r="CI125" s="750"/>
      <c r="CJ125" s="377"/>
      <c r="CK125" s="377"/>
      <c r="CL125" s="750">
        <f t="shared" si="131"/>
        <v>0</v>
      </c>
      <c r="CM125" s="386"/>
      <c r="CN125" s="751"/>
      <c r="CO125" s="751"/>
      <c r="CP125" s="751">
        <v>0</v>
      </c>
      <c r="CQ125" s="751"/>
      <c r="CR125" s="374"/>
      <c r="CS125" s="374"/>
      <c r="CT125" s="744">
        <f>CS125-CR125</f>
        <v>0</v>
      </c>
      <c r="CU125" s="745"/>
      <c r="CV125" s="373"/>
      <c r="CW125" s="373"/>
      <c r="CX125" s="744"/>
      <c r="CY125" s="745"/>
      <c r="CZ125" s="373"/>
      <c r="DA125" s="373"/>
      <c r="DB125" s="744">
        <f t="shared" si="132"/>
        <v>0</v>
      </c>
      <c r="DC125" s="745"/>
      <c r="DG125" s="746"/>
      <c r="DH125" s="746"/>
      <c r="DI125" s="746"/>
      <c r="DJ125" s="747"/>
      <c r="DK125" s="718"/>
      <c r="DL125" s="718"/>
    </row>
    <row r="126" spans="1:116" ht="12.75" hidden="1" customHeight="1">
      <c r="A126" s="738"/>
      <c r="B126" s="739"/>
      <c r="C126" s="738" t="s">
        <v>708</v>
      </c>
      <c r="D126" s="748"/>
      <c r="E126" s="377">
        <f t="shared" si="110"/>
        <v>0</v>
      </c>
      <c r="F126" s="783">
        <f t="shared" si="111"/>
        <v>0</v>
      </c>
      <c r="G126" s="749">
        <f t="shared" si="70"/>
        <v>0</v>
      </c>
      <c r="H126" s="749">
        <v>0</v>
      </c>
      <c r="I126" s="377"/>
      <c r="J126" s="377"/>
      <c r="K126" s="750">
        <f t="shared" si="118"/>
        <v>0</v>
      </c>
      <c r="L126" s="750" t="e">
        <f t="shared" si="135"/>
        <v>#DIV/0!</v>
      </c>
      <c r="M126" s="377"/>
      <c r="N126" s="377"/>
      <c r="O126" s="750">
        <f t="shared" si="114"/>
        <v>0</v>
      </c>
      <c r="P126" s="750"/>
      <c r="Q126" s="377"/>
      <c r="R126" s="377"/>
      <c r="S126" s="750">
        <f t="shared" si="115"/>
        <v>0</v>
      </c>
      <c r="T126" s="750"/>
      <c r="U126" s="377"/>
      <c r="V126" s="377"/>
      <c r="W126" s="750">
        <f t="shared" si="116"/>
        <v>0</v>
      </c>
      <c r="X126" s="750"/>
      <c r="Y126" s="377">
        <f t="shared" si="113"/>
        <v>0</v>
      </c>
      <c r="Z126" s="377">
        <f t="shared" si="113"/>
        <v>0</v>
      </c>
      <c r="AA126" s="750">
        <f t="shared" si="119"/>
        <v>0</v>
      </c>
      <c r="AB126" s="750"/>
      <c r="AC126" s="377"/>
      <c r="AD126" s="377"/>
      <c r="AE126" s="750">
        <f t="shared" si="120"/>
        <v>0</v>
      </c>
      <c r="AF126" s="750"/>
      <c r="AG126" s="377"/>
      <c r="AH126" s="377"/>
      <c r="AI126" s="750"/>
      <c r="AJ126" s="377"/>
      <c r="AK126" s="377"/>
      <c r="AL126" s="750">
        <f t="shared" si="121"/>
        <v>0</v>
      </c>
      <c r="AM126" s="750"/>
      <c r="AN126" s="377"/>
      <c r="AO126" s="377"/>
      <c r="AP126" s="750">
        <f t="shared" si="117"/>
        <v>0</v>
      </c>
      <c r="AQ126" s="750"/>
      <c r="AR126" s="750"/>
      <c r="AS126" s="750"/>
      <c r="AT126" s="750"/>
      <c r="AU126" s="750"/>
      <c r="AV126" s="377"/>
      <c r="AW126" s="377"/>
      <c r="AX126" s="750">
        <f t="shared" si="122"/>
        <v>0</v>
      </c>
      <c r="AY126" s="750"/>
      <c r="AZ126" s="377"/>
      <c r="BA126" s="377"/>
      <c r="BB126" s="750">
        <v>0</v>
      </c>
      <c r="BC126" s="750"/>
      <c r="BD126" s="377"/>
      <c r="BE126" s="377"/>
      <c r="BF126" s="750">
        <f t="shared" si="123"/>
        <v>0</v>
      </c>
      <c r="BG126" s="750"/>
      <c r="BH126" s="377"/>
      <c r="BI126" s="377"/>
      <c r="BJ126" s="750">
        <f t="shared" si="124"/>
        <v>0</v>
      </c>
      <c r="BK126" s="750"/>
      <c r="BL126" s="377"/>
      <c r="BM126" s="377"/>
      <c r="BN126" s="750">
        <f t="shared" si="125"/>
        <v>0</v>
      </c>
      <c r="BO126" s="750"/>
      <c r="BP126" s="377"/>
      <c r="BQ126" s="377"/>
      <c r="BR126" s="750">
        <f t="shared" si="126"/>
        <v>0</v>
      </c>
      <c r="BS126" s="750"/>
      <c r="BT126" s="377"/>
      <c r="BU126" s="377"/>
      <c r="BV126" s="750">
        <f t="shared" si="127"/>
        <v>0</v>
      </c>
      <c r="BW126" s="750" t="e">
        <f t="shared" si="134"/>
        <v>#DIV/0!</v>
      </c>
      <c r="BX126" s="377"/>
      <c r="BY126" s="377"/>
      <c r="BZ126" s="750">
        <f t="shared" si="128"/>
        <v>0</v>
      </c>
      <c r="CA126" s="750"/>
      <c r="CB126" s="377"/>
      <c r="CC126" s="377"/>
      <c r="CD126" s="750">
        <f t="shared" si="129"/>
        <v>0</v>
      </c>
      <c r="CE126" s="750"/>
      <c r="CF126" s="377"/>
      <c r="CG126" s="377"/>
      <c r="CH126" s="750">
        <f t="shared" si="130"/>
        <v>0</v>
      </c>
      <c r="CI126" s="750"/>
      <c r="CJ126" s="377"/>
      <c r="CK126" s="377"/>
      <c r="CL126" s="750">
        <f t="shared" si="131"/>
        <v>0</v>
      </c>
      <c r="CM126" s="386"/>
      <c r="CN126" s="751"/>
      <c r="CO126" s="751"/>
      <c r="CP126" s="751">
        <v>0</v>
      </c>
      <c r="CQ126" s="751"/>
      <c r="CR126" s="374"/>
      <c r="CS126" s="374"/>
      <c r="CT126" s="744">
        <f>CS126-CR126</f>
        <v>0</v>
      </c>
      <c r="CU126" s="745"/>
      <c r="CV126" s="373"/>
      <c r="CW126" s="373"/>
      <c r="CX126" s="744"/>
      <c r="CY126" s="745"/>
      <c r="CZ126" s="373"/>
      <c r="DA126" s="373"/>
      <c r="DB126" s="744">
        <f t="shared" si="132"/>
        <v>0</v>
      </c>
      <c r="DC126" s="745"/>
      <c r="DG126" s="746"/>
      <c r="DH126" s="746"/>
      <c r="DI126" s="746"/>
      <c r="DJ126" s="747"/>
      <c r="DK126" s="718"/>
      <c r="DL126" s="718"/>
    </row>
    <row r="127" spans="1:116" ht="16.5" hidden="1" customHeight="1">
      <c r="A127" s="738"/>
      <c r="B127" s="739"/>
      <c r="C127" s="738" t="s">
        <v>379</v>
      </c>
      <c r="D127" s="748"/>
      <c r="E127" s="377">
        <f t="shared" si="110"/>
        <v>0</v>
      </c>
      <c r="F127" s="783">
        <f t="shared" si="111"/>
        <v>0</v>
      </c>
      <c r="G127" s="749">
        <f t="shared" si="70"/>
        <v>0</v>
      </c>
      <c r="H127" s="749">
        <v>0</v>
      </c>
      <c r="I127" s="377"/>
      <c r="J127" s="377"/>
      <c r="K127" s="750">
        <f t="shared" si="118"/>
        <v>0</v>
      </c>
      <c r="L127" s="750" t="e">
        <f t="shared" si="135"/>
        <v>#DIV/0!</v>
      </c>
      <c r="M127" s="377"/>
      <c r="N127" s="377"/>
      <c r="O127" s="750">
        <f t="shared" si="114"/>
        <v>0</v>
      </c>
      <c r="P127" s="750"/>
      <c r="Q127" s="377"/>
      <c r="R127" s="377"/>
      <c r="S127" s="750">
        <f t="shared" si="115"/>
        <v>0</v>
      </c>
      <c r="T127" s="750"/>
      <c r="U127" s="377"/>
      <c r="V127" s="377"/>
      <c r="W127" s="750">
        <f t="shared" si="116"/>
        <v>0</v>
      </c>
      <c r="X127" s="750"/>
      <c r="Y127" s="377">
        <f t="shared" si="113"/>
        <v>0</v>
      </c>
      <c r="Z127" s="377">
        <f t="shared" si="113"/>
        <v>0</v>
      </c>
      <c r="AA127" s="750">
        <f t="shared" si="119"/>
        <v>0</v>
      </c>
      <c r="AB127" s="750"/>
      <c r="AC127" s="377"/>
      <c r="AD127" s="377"/>
      <c r="AE127" s="750">
        <f t="shared" si="120"/>
        <v>0</v>
      </c>
      <c r="AF127" s="750"/>
      <c r="AG127" s="377"/>
      <c r="AH127" s="377"/>
      <c r="AI127" s="750"/>
      <c r="AJ127" s="377"/>
      <c r="AK127" s="377"/>
      <c r="AL127" s="750">
        <f t="shared" si="121"/>
        <v>0</v>
      </c>
      <c r="AM127" s="750"/>
      <c r="AN127" s="377"/>
      <c r="AO127" s="377"/>
      <c r="AP127" s="750">
        <f t="shared" si="117"/>
        <v>0</v>
      </c>
      <c r="AQ127" s="750"/>
      <c r="AR127" s="750"/>
      <c r="AS127" s="750"/>
      <c r="AT127" s="750">
        <f>AS127-AR127</f>
        <v>0</v>
      </c>
      <c r="AU127" s="750"/>
      <c r="AV127" s="377"/>
      <c r="AW127" s="377"/>
      <c r="AX127" s="750">
        <f t="shared" si="122"/>
        <v>0</v>
      </c>
      <c r="AY127" s="750"/>
      <c r="AZ127" s="377"/>
      <c r="BA127" s="377"/>
      <c r="BB127" s="750">
        <v>0</v>
      </c>
      <c r="BC127" s="750"/>
      <c r="BD127" s="377"/>
      <c r="BE127" s="377"/>
      <c r="BF127" s="750">
        <f t="shared" si="123"/>
        <v>0</v>
      </c>
      <c r="BG127" s="750"/>
      <c r="BH127" s="377"/>
      <c r="BI127" s="377"/>
      <c r="BJ127" s="750">
        <f t="shared" si="124"/>
        <v>0</v>
      </c>
      <c r="BK127" s="750"/>
      <c r="BL127" s="377"/>
      <c r="BM127" s="377"/>
      <c r="BN127" s="750">
        <f t="shared" si="125"/>
        <v>0</v>
      </c>
      <c r="BO127" s="750"/>
      <c r="BP127" s="377"/>
      <c r="BQ127" s="377"/>
      <c r="BR127" s="750">
        <f t="shared" si="126"/>
        <v>0</v>
      </c>
      <c r="BS127" s="750"/>
      <c r="BT127" s="377"/>
      <c r="BU127" s="377"/>
      <c r="BV127" s="750">
        <f t="shared" si="127"/>
        <v>0</v>
      </c>
      <c r="BW127" s="750" t="e">
        <f t="shared" si="134"/>
        <v>#DIV/0!</v>
      </c>
      <c r="BX127" s="377"/>
      <c r="BY127" s="377"/>
      <c r="BZ127" s="750">
        <f t="shared" si="128"/>
        <v>0</v>
      </c>
      <c r="CA127" s="750"/>
      <c r="CB127" s="377"/>
      <c r="CC127" s="377"/>
      <c r="CD127" s="750">
        <f t="shared" si="129"/>
        <v>0</v>
      </c>
      <c r="CE127" s="750"/>
      <c r="CF127" s="377"/>
      <c r="CG127" s="377"/>
      <c r="CH127" s="750">
        <f t="shared" si="130"/>
        <v>0</v>
      </c>
      <c r="CI127" s="750"/>
      <c r="CJ127" s="377"/>
      <c r="CK127" s="377"/>
      <c r="CL127" s="750">
        <f t="shared" si="131"/>
        <v>0</v>
      </c>
      <c r="CM127" s="386"/>
      <c r="CN127" s="751"/>
      <c r="CO127" s="751"/>
      <c r="CP127" s="751">
        <v>0</v>
      </c>
      <c r="CQ127" s="751"/>
      <c r="CR127" s="374"/>
      <c r="CS127" s="374"/>
      <c r="CT127" s="744">
        <f>CS127-CR127</f>
        <v>0</v>
      </c>
      <c r="CU127" s="745"/>
      <c r="CV127" s="373"/>
      <c r="CW127" s="373"/>
      <c r="CX127" s="744"/>
      <c r="CY127" s="745"/>
      <c r="CZ127" s="373"/>
      <c r="DA127" s="373"/>
      <c r="DB127" s="744">
        <f t="shared" si="132"/>
        <v>0</v>
      </c>
      <c r="DC127" s="745"/>
      <c r="DG127" s="746"/>
      <c r="DH127" s="746"/>
      <c r="DI127" s="746"/>
      <c r="DJ127" s="747"/>
      <c r="DK127" s="718"/>
      <c r="DL127" s="718"/>
    </row>
    <row r="128" spans="1:116" ht="16.5" hidden="1" customHeight="1">
      <c r="A128" s="738"/>
      <c r="B128" s="739">
        <v>1718001926</v>
      </c>
      <c r="C128" s="738" t="s">
        <v>380</v>
      </c>
      <c r="D128" s="748">
        <v>1197.2</v>
      </c>
      <c r="E128" s="377">
        <f t="shared" si="110"/>
        <v>66.126999999999995</v>
      </c>
      <c r="F128" s="783">
        <f t="shared" si="111"/>
        <v>0</v>
      </c>
      <c r="G128" s="749">
        <f t="shared" si="70"/>
        <v>-66.126999999999995</v>
      </c>
      <c r="H128" s="749">
        <v>0</v>
      </c>
      <c r="I128" s="377"/>
      <c r="J128" s="377"/>
      <c r="K128" s="750">
        <f t="shared" si="118"/>
        <v>0</v>
      </c>
      <c r="L128" s="750"/>
      <c r="M128" s="377"/>
      <c r="N128" s="377"/>
      <c r="O128" s="750">
        <f t="shared" si="114"/>
        <v>0</v>
      </c>
      <c r="P128" s="750"/>
      <c r="Q128" s="377"/>
      <c r="R128" s="377"/>
      <c r="S128" s="750">
        <f t="shared" si="115"/>
        <v>0</v>
      </c>
      <c r="T128" s="750"/>
      <c r="U128" s="377"/>
      <c r="V128" s="377"/>
      <c r="W128" s="750">
        <f t="shared" si="116"/>
        <v>0</v>
      </c>
      <c r="X128" s="750"/>
      <c r="Y128" s="377">
        <f t="shared" si="113"/>
        <v>0</v>
      </c>
      <c r="Z128" s="377">
        <f t="shared" si="113"/>
        <v>0</v>
      </c>
      <c r="AA128" s="750">
        <f t="shared" si="119"/>
        <v>0</v>
      </c>
      <c r="AB128" s="750"/>
      <c r="AC128" s="377"/>
      <c r="AD128" s="377"/>
      <c r="AE128" s="750"/>
      <c r="AF128" s="750"/>
      <c r="AG128" s="377"/>
      <c r="AH128" s="377"/>
      <c r="AI128" s="750"/>
      <c r="AJ128" s="377"/>
      <c r="AK128" s="377"/>
      <c r="AL128" s="750">
        <f t="shared" si="121"/>
        <v>0</v>
      </c>
      <c r="AM128" s="750"/>
      <c r="AN128" s="377"/>
      <c r="AO128" s="377"/>
      <c r="AP128" s="750">
        <f t="shared" si="117"/>
        <v>0</v>
      </c>
      <c r="AQ128" s="750"/>
      <c r="AR128" s="750"/>
      <c r="AS128" s="750"/>
      <c r="AT128" s="750"/>
      <c r="AU128" s="750"/>
      <c r="AV128" s="377"/>
      <c r="AW128" s="377"/>
      <c r="AX128" s="750">
        <f t="shared" si="122"/>
        <v>0</v>
      </c>
      <c r="AY128" s="750"/>
      <c r="AZ128" s="377"/>
      <c r="BA128" s="377"/>
      <c r="BB128" s="750">
        <v>0</v>
      </c>
      <c r="BC128" s="750"/>
      <c r="BD128" s="377"/>
      <c r="BE128" s="377"/>
      <c r="BF128" s="750">
        <f t="shared" si="123"/>
        <v>0</v>
      </c>
      <c r="BG128" s="750"/>
      <c r="BH128" s="377"/>
      <c r="BI128" s="377"/>
      <c r="BJ128" s="750">
        <f t="shared" si="124"/>
        <v>0</v>
      </c>
      <c r="BK128" s="750"/>
      <c r="BL128" s="376">
        <v>66.126999999999995</v>
      </c>
      <c r="BM128" s="376"/>
      <c r="BN128" s="750">
        <f t="shared" si="125"/>
        <v>-66.126999999999995</v>
      </c>
      <c r="BO128" s="750"/>
      <c r="BP128" s="377"/>
      <c r="BQ128" s="377"/>
      <c r="BR128" s="750">
        <f t="shared" si="126"/>
        <v>0</v>
      </c>
      <c r="BS128" s="750"/>
      <c r="BT128" s="377"/>
      <c r="BU128" s="377"/>
      <c r="BV128" s="750">
        <f t="shared" si="127"/>
        <v>0</v>
      </c>
      <c r="BW128" s="750" t="e">
        <f t="shared" si="134"/>
        <v>#DIV/0!</v>
      </c>
      <c r="BX128" s="377"/>
      <c r="BY128" s="377"/>
      <c r="BZ128" s="750">
        <f t="shared" si="128"/>
        <v>0</v>
      </c>
      <c r="CA128" s="750"/>
      <c r="CB128" s="377"/>
      <c r="CC128" s="377"/>
      <c r="CD128" s="750">
        <f t="shared" si="129"/>
        <v>0</v>
      </c>
      <c r="CE128" s="750"/>
      <c r="CF128" s="377"/>
      <c r="CG128" s="376"/>
      <c r="CH128" s="750">
        <f t="shared" si="130"/>
        <v>0</v>
      </c>
      <c r="CI128" s="750"/>
      <c r="CJ128" s="377"/>
      <c r="CK128" s="377"/>
      <c r="CL128" s="750">
        <f t="shared" si="131"/>
        <v>0</v>
      </c>
      <c r="CM128" s="386"/>
      <c r="CN128" s="751"/>
      <c r="CO128" s="751"/>
      <c r="CP128" s="751">
        <v>0</v>
      </c>
      <c r="CQ128" s="751"/>
      <c r="CR128" s="374"/>
      <c r="CS128" s="374"/>
      <c r="CT128" s="744"/>
      <c r="CU128" s="745"/>
      <c r="CV128" s="373"/>
      <c r="CW128" s="373"/>
      <c r="CX128" s="744"/>
      <c r="CY128" s="745"/>
      <c r="CZ128" s="373"/>
      <c r="DA128" s="373"/>
      <c r="DB128" s="744">
        <f t="shared" si="132"/>
        <v>0</v>
      </c>
      <c r="DC128" s="745"/>
      <c r="DG128" s="746"/>
      <c r="DH128" s="746"/>
      <c r="DI128" s="746"/>
      <c r="DJ128" s="747"/>
      <c r="DK128" s="718"/>
      <c r="DL128" s="718"/>
    </row>
    <row r="129" spans="1:16384" hidden="1">
      <c r="A129" s="738"/>
      <c r="B129" s="739"/>
      <c r="C129" s="785" t="s">
        <v>381</v>
      </c>
      <c r="D129" s="748"/>
      <c r="E129" s="377">
        <f t="shared" si="110"/>
        <v>0</v>
      </c>
      <c r="F129" s="783">
        <f t="shared" si="111"/>
        <v>0</v>
      </c>
      <c r="G129" s="749">
        <f t="shared" si="70"/>
        <v>0</v>
      </c>
      <c r="H129" s="749">
        <v>0</v>
      </c>
      <c r="I129" s="377"/>
      <c r="J129" s="377"/>
      <c r="K129" s="750">
        <f t="shared" si="118"/>
        <v>0</v>
      </c>
      <c r="L129" s="750"/>
      <c r="M129" s="377"/>
      <c r="N129" s="377"/>
      <c r="O129" s="750">
        <f t="shared" si="114"/>
        <v>0</v>
      </c>
      <c r="P129" s="750"/>
      <c r="Q129" s="377"/>
      <c r="R129" s="377"/>
      <c r="S129" s="750">
        <f t="shared" si="115"/>
        <v>0</v>
      </c>
      <c r="T129" s="750" t="e">
        <f>R129/Q129</f>
        <v>#DIV/0!</v>
      </c>
      <c r="U129" s="377"/>
      <c r="V129" s="377"/>
      <c r="W129" s="750">
        <f t="shared" si="116"/>
        <v>0</v>
      </c>
      <c r="X129" s="750"/>
      <c r="Y129" s="377">
        <f t="shared" si="113"/>
        <v>0</v>
      </c>
      <c r="Z129" s="377">
        <f t="shared" si="113"/>
        <v>0</v>
      </c>
      <c r="AA129" s="750">
        <f t="shared" si="119"/>
        <v>0</v>
      </c>
      <c r="AB129" s="750"/>
      <c r="AC129" s="377"/>
      <c r="AD129" s="377"/>
      <c r="AE129" s="750">
        <f t="shared" ref="AE129:AE142" si="136">AD129-AC129</f>
        <v>0</v>
      </c>
      <c r="AF129" s="750"/>
      <c r="AG129" s="377"/>
      <c r="AH129" s="377"/>
      <c r="AI129" s="750"/>
      <c r="AJ129" s="377"/>
      <c r="AK129" s="377"/>
      <c r="AL129" s="750">
        <f t="shared" si="121"/>
        <v>0</v>
      </c>
      <c r="AM129" s="750"/>
      <c r="AN129" s="377"/>
      <c r="AO129" s="377"/>
      <c r="AP129" s="750">
        <f t="shared" si="117"/>
        <v>0</v>
      </c>
      <c r="AQ129" s="750"/>
      <c r="AR129" s="750"/>
      <c r="AS129" s="750"/>
      <c r="AT129" s="750"/>
      <c r="AU129" s="750"/>
      <c r="AV129" s="377"/>
      <c r="AW129" s="377"/>
      <c r="AX129" s="750">
        <f t="shared" si="122"/>
        <v>0</v>
      </c>
      <c r="AY129" s="750"/>
      <c r="AZ129" s="377"/>
      <c r="BA129" s="377"/>
      <c r="BB129" s="750">
        <v>0</v>
      </c>
      <c r="BC129" s="750"/>
      <c r="BD129" s="377"/>
      <c r="BE129" s="377"/>
      <c r="BF129" s="750">
        <f t="shared" si="123"/>
        <v>0</v>
      </c>
      <c r="BG129" s="750"/>
      <c r="BH129" s="377"/>
      <c r="BI129" s="377"/>
      <c r="BJ129" s="750">
        <f t="shared" si="124"/>
        <v>0</v>
      </c>
      <c r="BK129" s="750"/>
      <c r="BL129" s="377"/>
      <c r="BM129" s="377"/>
      <c r="BN129" s="750">
        <f t="shared" si="125"/>
        <v>0</v>
      </c>
      <c r="BO129" s="750"/>
      <c r="BP129" s="377"/>
      <c r="BQ129" s="377"/>
      <c r="BR129" s="750">
        <f t="shared" si="126"/>
        <v>0</v>
      </c>
      <c r="BS129" s="750"/>
      <c r="BT129" s="377"/>
      <c r="BU129" s="377"/>
      <c r="BV129" s="750">
        <f t="shared" si="127"/>
        <v>0</v>
      </c>
      <c r="BW129" s="750" t="e">
        <f t="shared" si="134"/>
        <v>#DIV/0!</v>
      </c>
      <c r="BX129" s="377"/>
      <c r="BY129" s="377"/>
      <c r="BZ129" s="750">
        <f t="shared" si="128"/>
        <v>0</v>
      </c>
      <c r="CA129" s="750"/>
      <c r="CB129" s="377"/>
      <c r="CC129" s="377"/>
      <c r="CD129" s="750">
        <f t="shared" si="129"/>
        <v>0</v>
      </c>
      <c r="CE129" s="750"/>
      <c r="CF129" s="377"/>
      <c r="CG129" s="377"/>
      <c r="CH129" s="750">
        <f t="shared" si="130"/>
        <v>0</v>
      </c>
      <c r="CI129" s="750"/>
      <c r="CJ129" s="377"/>
      <c r="CK129" s="377"/>
      <c r="CL129" s="750">
        <f t="shared" si="131"/>
        <v>0</v>
      </c>
      <c r="CM129" s="386"/>
      <c r="CN129" s="751"/>
      <c r="CO129" s="751"/>
      <c r="CP129" s="751">
        <v>0</v>
      </c>
      <c r="CQ129" s="751"/>
      <c r="CR129" s="374"/>
      <c r="CS129" s="374"/>
      <c r="CT129" s="744">
        <f t="shared" ref="CT129:CT144" si="137">CS129-CR129</f>
        <v>0</v>
      </c>
      <c r="CU129" s="745"/>
      <c r="CV129" s="373"/>
      <c r="CW129" s="373"/>
      <c r="CX129" s="744"/>
      <c r="CY129" s="745"/>
      <c r="CZ129" s="373"/>
      <c r="DA129" s="373"/>
      <c r="DB129" s="744">
        <f t="shared" si="132"/>
        <v>0</v>
      </c>
      <c r="DC129" s="745"/>
      <c r="DG129" s="746"/>
      <c r="DH129" s="746"/>
      <c r="DI129" s="746"/>
      <c r="DJ129" s="747"/>
      <c r="DK129" s="718"/>
      <c r="DL129" s="718"/>
    </row>
    <row r="130" spans="1:16384">
      <c r="A130" s="738"/>
      <c r="B130" s="816" t="s">
        <v>958</v>
      </c>
      <c r="C130" s="785" t="s">
        <v>959</v>
      </c>
      <c r="D130" s="748"/>
      <c r="E130" s="377">
        <f t="shared" si="110"/>
        <v>0</v>
      </c>
      <c r="F130" s="783">
        <f t="shared" si="111"/>
        <v>4.5119999999999996</v>
      </c>
      <c r="G130" s="749">
        <f t="shared" si="70"/>
        <v>4.5119999999999996</v>
      </c>
      <c r="H130" s="749">
        <v>0</v>
      </c>
      <c r="I130" s="377"/>
      <c r="J130" s="377"/>
      <c r="K130" s="750">
        <f t="shared" si="118"/>
        <v>0</v>
      </c>
      <c r="L130" s="750"/>
      <c r="M130" s="377"/>
      <c r="N130" s="377"/>
      <c r="O130" s="750">
        <f t="shared" si="114"/>
        <v>0</v>
      </c>
      <c r="P130" s="750"/>
      <c r="Q130" s="377"/>
      <c r="R130" s="377"/>
      <c r="S130" s="750">
        <f t="shared" si="115"/>
        <v>0</v>
      </c>
      <c r="T130" s="750"/>
      <c r="U130" s="377"/>
      <c r="V130" s="377"/>
      <c r="W130" s="750">
        <f t="shared" si="116"/>
        <v>0</v>
      </c>
      <c r="X130" s="750"/>
      <c r="Y130" s="377"/>
      <c r="Z130" s="377"/>
      <c r="AA130" s="750"/>
      <c r="AB130" s="750"/>
      <c r="AC130" s="377"/>
      <c r="AD130" s="377"/>
      <c r="AE130" s="750"/>
      <c r="AF130" s="750"/>
      <c r="AG130" s="377"/>
      <c r="AH130" s="377"/>
      <c r="AI130" s="750"/>
      <c r="AJ130" s="377"/>
      <c r="AK130" s="377"/>
      <c r="AL130" s="750">
        <f t="shared" si="121"/>
        <v>0</v>
      </c>
      <c r="AM130" s="750"/>
      <c r="AN130" s="377"/>
      <c r="AO130" s="377"/>
      <c r="AP130" s="750">
        <f t="shared" si="117"/>
        <v>0</v>
      </c>
      <c r="AQ130" s="750"/>
      <c r="AR130" s="750"/>
      <c r="AS130" s="750"/>
      <c r="AT130" s="750"/>
      <c r="AU130" s="750"/>
      <c r="AV130" s="377"/>
      <c r="AW130" s="377"/>
      <c r="AX130" s="750">
        <f t="shared" si="122"/>
        <v>0</v>
      </c>
      <c r="AY130" s="750"/>
      <c r="AZ130" s="377"/>
      <c r="BA130" s="377"/>
      <c r="BB130" s="750"/>
      <c r="BC130" s="750"/>
      <c r="BD130" s="377"/>
      <c r="BE130" s="377"/>
      <c r="BF130" s="750"/>
      <c r="BG130" s="750"/>
      <c r="BH130" s="377"/>
      <c r="BI130" s="377"/>
      <c r="BJ130" s="750"/>
      <c r="BK130" s="750"/>
      <c r="BL130" s="377"/>
      <c r="BM130" s="377">
        <v>4.5119999999999996</v>
      </c>
      <c r="BN130" s="750">
        <f t="shared" si="125"/>
        <v>4.5119999999999996</v>
      </c>
      <c r="BO130" s="750"/>
      <c r="BP130" s="377"/>
      <c r="BQ130" s="377"/>
      <c r="BR130" s="750">
        <f t="shared" si="126"/>
        <v>0</v>
      </c>
      <c r="BS130" s="750"/>
      <c r="BT130" s="377"/>
      <c r="BU130" s="377"/>
      <c r="BV130" s="750"/>
      <c r="BW130" s="750"/>
      <c r="BX130" s="377"/>
      <c r="BY130" s="377"/>
      <c r="BZ130" s="750"/>
      <c r="CA130" s="750"/>
      <c r="CB130" s="377"/>
      <c r="CC130" s="377"/>
      <c r="CD130" s="750"/>
      <c r="CE130" s="750"/>
      <c r="CF130" s="377"/>
      <c r="CG130" s="377"/>
      <c r="CH130" s="750">
        <f t="shared" si="130"/>
        <v>0</v>
      </c>
      <c r="CI130" s="750"/>
      <c r="CJ130" s="377"/>
      <c r="CK130" s="377"/>
      <c r="CL130" s="750">
        <f t="shared" si="131"/>
        <v>0</v>
      </c>
      <c r="CM130" s="386"/>
      <c r="CN130" s="751"/>
      <c r="CO130" s="751"/>
      <c r="CP130" s="751">
        <v>0</v>
      </c>
      <c r="CQ130" s="751"/>
      <c r="CR130" s="374"/>
      <c r="CS130" s="374"/>
      <c r="CT130" s="744"/>
      <c r="CU130" s="745"/>
      <c r="CV130" s="373"/>
      <c r="CW130" s="373"/>
      <c r="CX130" s="744"/>
      <c r="CY130" s="745"/>
      <c r="CZ130" s="373"/>
      <c r="DA130" s="373"/>
      <c r="DB130" s="744"/>
      <c r="DC130" s="745"/>
      <c r="DG130" s="746"/>
      <c r="DH130" s="746"/>
      <c r="DI130" s="746"/>
      <c r="DJ130" s="747"/>
      <c r="DK130" s="718"/>
      <c r="DL130" s="718"/>
    </row>
    <row r="131" spans="1:16384" ht="12.75" customHeight="1">
      <c r="A131" s="738"/>
      <c r="B131" s="739">
        <v>1718002341</v>
      </c>
      <c r="C131" s="785" t="s">
        <v>566</v>
      </c>
      <c r="D131" s="748"/>
      <c r="E131" s="377">
        <f t="shared" si="110"/>
        <v>0</v>
      </c>
      <c r="F131" s="783">
        <f t="shared" si="111"/>
        <v>3.3079999999999998</v>
      </c>
      <c r="G131" s="749">
        <f t="shared" ref="G131:G145" si="138">F131-E131</f>
        <v>3.3079999999999998</v>
      </c>
      <c r="H131" s="749">
        <v>0</v>
      </c>
      <c r="I131" s="377"/>
      <c r="J131" s="377"/>
      <c r="K131" s="750">
        <f t="shared" si="118"/>
        <v>0</v>
      </c>
      <c r="L131" s="750"/>
      <c r="M131" s="377"/>
      <c r="N131" s="377"/>
      <c r="O131" s="750">
        <f t="shared" si="114"/>
        <v>0</v>
      </c>
      <c r="P131" s="750"/>
      <c r="Q131" s="377"/>
      <c r="R131" s="377">
        <v>3.3079999999999998</v>
      </c>
      <c r="S131" s="750">
        <f t="shared" si="115"/>
        <v>3.3079999999999998</v>
      </c>
      <c r="T131" s="750">
        <v>0</v>
      </c>
      <c r="U131" s="377"/>
      <c r="V131" s="377"/>
      <c r="W131" s="750">
        <f t="shared" si="116"/>
        <v>0</v>
      </c>
      <c r="X131" s="750">
        <v>0</v>
      </c>
      <c r="Y131" s="377">
        <f t="shared" si="113"/>
        <v>0</v>
      </c>
      <c r="Z131" s="377">
        <f t="shared" si="113"/>
        <v>0</v>
      </c>
      <c r="AA131" s="750">
        <f t="shared" si="119"/>
        <v>0</v>
      </c>
      <c r="AB131" s="750" t="e">
        <f>Z131/Y131</f>
        <v>#DIV/0!</v>
      </c>
      <c r="AC131" s="377"/>
      <c r="AD131" s="377"/>
      <c r="AE131" s="750">
        <f t="shared" si="136"/>
        <v>0</v>
      </c>
      <c r="AF131" s="750" t="e">
        <f>AD131/AC131</f>
        <v>#DIV/0!</v>
      </c>
      <c r="AG131" s="377"/>
      <c r="AH131" s="377"/>
      <c r="AI131" s="750">
        <f>AH131-AG131</f>
        <v>0</v>
      </c>
      <c r="AJ131" s="377"/>
      <c r="AK131" s="377"/>
      <c r="AL131" s="750">
        <f t="shared" si="121"/>
        <v>0</v>
      </c>
      <c r="AM131" s="750">
        <v>0</v>
      </c>
      <c r="AN131" s="377"/>
      <c r="AO131" s="377"/>
      <c r="AP131" s="750">
        <f t="shared" si="117"/>
        <v>0</v>
      </c>
      <c r="AQ131" s="750"/>
      <c r="AR131" s="750"/>
      <c r="AS131" s="750"/>
      <c r="AT131" s="750"/>
      <c r="AU131" s="750"/>
      <c r="AV131" s="377"/>
      <c r="AW131" s="377"/>
      <c r="AX131" s="750">
        <f t="shared" si="122"/>
        <v>0</v>
      </c>
      <c r="AY131" s="750"/>
      <c r="AZ131" s="377"/>
      <c r="BA131" s="377"/>
      <c r="BB131" s="750">
        <v>0</v>
      </c>
      <c r="BC131" s="750"/>
      <c r="BD131" s="377"/>
      <c r="BE131" s="377"/>
      <c r="BF131" s="750">
        <f t="shared" si="123"/>
        <v>0</v>
      </c>
      <c r="BG131" s="750"/>
      <c r="BH131" s="377"/>
      <c r="BI131" s="377"/>
      <c r="BJ131" s="750">
        <f t="shared" si="124"/>
        <v>0</v>
      </c>
      <c r="BK131" s="750"/>
      <c r="BL131" s="377"/>
      <c r="BM131" s="377"/>
      <c r="BN131" s="750">
        <f t="shared" si="125"/>
        <v>0</v>
      </c>
      <c r="BO131" s="750"/>
      <c r="BP131" s="377"/>
      <c r="BQ131" s="377"/>
      <c r="BR131" s="750">
        <f t="shared" si="126"/>
        <v>0</v>
      </c>
      <c r="BS131" s="750"/>
      <c r="BT131" s="377"/>
      <c r="BU131" s="377"/>
      <c r="BV131" s="750">
        <f t="shared" si="127"/>
        <v>0</v>
      </c>
      <c r="BW131" s="750"/>
      <c r="BX131" s="377"/>
      <c r="BY131" s="377"/>
      <c r="BZ131" s="750">
        <f t="shared" si="128"/>
        <v>0</v>
      </c>
      <c r="CA131" s="750" t="e">
        <f>BY131/BX131</f>
        <v>#DIV/0!</v>
      </c>
      <c r="CB131" s="377"/>
      <c r="CC131" s="377"/>
      <c r="CD131" s="750">
        <f t="shared" si="129"/>
        <v>0</v>
      </c>
      <c r="CE131" s="750"/>
      <c r="CF131" s="377"/>
      <c r="CG131" s="377"/>
      <c r="CH131" s="750">
        <f t="shared" si="130"/>
        <v>0</v>
      </c>
      <c r="CI131" s="750"/>
      <c r="CJ131" s="377"/>
      <c r="CK131" s="377"/>
      <c r="CL131" s="750">
        <f t="shared" si="131"/>
        <v>0</v>
      </c>
      <c r="CM131" s="386"/>
      <c r="CN131" s="751"/>
      <c r="CO131" s="751"/>
      <c r="CP131" s="751">
        <v>0</v>
      </c>
      <c r="CQ131" s="751"/>
      <c r="CR131" s="374"/>
      <c r="CS131" s="374"/>
      <c r="CT131" s="744">
        <f t="shared" si="137"/>
        <v>0</v>
      </c>
      <c r="CU131" s="745" t="e">
        <f t="shared" ref="CU131:CU142" si="139">CS131/CR131</f>
        <v>#DIV/0!</v>
      </c>
      <c r="CV131" s="373"/>
      <c r="CW131" s="373"/>
      <c r="CX131" s="744">
        <f t="shared" ref="CX131:CX144" si="140">CW131-CV131</f>
        <v>0</v>
      </c>
      <c r="CY131" s="745" t="e">
        <f t="shared" ref="CY131:CY142" si="141">CW131/CV131</f>
        <v>#DIV/0!</v>
      </c>
      <c r="CZ131" s="373"/>
      <c r="DA131" s="373"/>
      <c r="DB131" s="744">
        <f t="shared" si="132"/>
        <v>0</v>
      </c>
      <c r="DC131" s="745" t="e">
        <f t="shared" ref="DC131:DC142" si="142">DA131/CZ131</f>
        <v>#DIV/0!</v>
      </c>
      <c r="DG131" s="746"/>
      <c r="DH131" s="746"/>
      <c r="DI131" s="746"/>
      <c r="DJ131" s="747"/>
      <c r="DK131" s="718"/>
      <c r="DL131" s="718"/>
    </row>
    <row r="132" spans="1:16384" ht="12.75" customHeight="1">
      <c r="A132" s="738"/>
      <c r="B132" s="770" t="s">
        <v>906</v>
      </c>
      <c r="C132" s="785" t="s">
        <v>907</v>
      </c>
      <c r="D132" s="748"/>
      <c r="E132" s="377">
        <f t="shared" si="110"/>
        <v>0</v>
      </c>
      <c r="F132" s="783">
        <f t="shared" si="111"/>
        <v>0</v>
      </c>
      <c r="G132" s="749">
        <f t="shared" si="138"/>
        <v>0</v>
      </c>
      <c r="H132" s="749"/>
      <c r="I132" s="377"/>
      <c r="J132" s="377"/>
      <c r="K132" s="750">
        <f t="shared" si="118"/>
        <v>0</v>
      </c>
      <c r="L132" s="750"/>
      <c r="M132" s="377"/>
      <c r="N132" s="377"/>
      <c r="O132" s="750">
        <f t="shared" si="114"/>
        <v>0</v>
      </c>
      <c r="P132" s="750"/>
      <c r="Q132" s="377"/>
      <c r="R132" s="377"/>
      <c r="S132" s="750">
        <f t="shared" si="115"/>
        <v>0</v>
      </c>
      <c r="T132" s="750"/>
      <c r="U132" s="377"/>
      <c r="V132" s="377"/>
      <c r="W132" s="750">
        <f t="shared" si="116"/>
        <v>0</v>
      </c>
      <c r="X132" s="750"/>
      <c r="Y132" s="377">
        <f t="shared" si="113"/>
        <v>0</v>
      </c>
      <c r="Z132" s="377">
        <f t="shared" si="113"/>
        <v>0</v>
      </c>
      <c r="AA132" s="750">
        <f t="shared" si="119"/>
        <v>0</v>
      </c>
      <c r="AB132" s="750"/>
      <c r="AC132" s="377"/>
      <c r="AD132" s="377"/>
      <c r="AE132" s="750">
        <f t="shared" si="136"/>
        <v>0</v>
      </c>
      <c r="AF132" s="750"/>
      <c r="AG132" s="377"/>
      <c r="AH132" s="377"/>
      <c r="AI132" s="750">
        <f>AH132-AG132</f>
        <v>0</v>
      </c>
      <c r="AJ132" s="377"/>
      <c r="AK132" s="377"/>
      <c r="AL132" s="750">
        <f t="shared" si="121"/>
        <v>0</v>
      </c>
      <c r="AM132" s="750"/>
      <c r="AN132" s="377"/>
      <c r="AO132" s="377"/>
      <c r="AP132" s="750">
        <f t="shared" si="117"/>
        <v>0</v>
      </c>
      <c r="AQ132" s="750"/>
      <c r="AR132" s="750"/>
      <c r="AS132" s="750"/>
      <c r="AT132" s="750"/>
      <c r="AU132" s="750"/>
      <c r="AV132" s="377"/>
      <c r="AW132" s="377"/>
      <c r="AX132" s="750">
        <f t="shared" si="122"/>
        <v>0</v>
      </c>
      <c r="AY132" s="750"/>
      <c r="AZ132" s="377"/>
      <c r="BA132" s="377"/>
      <c r="BB132" s="750">
        <v>0</v>
      </c>
      <c r="BC132" s="750"/>
      <c r="BD132" s="377"/>
      <c r="BE132" s="377"/>
      <c r="BF132" s="750">
        <f t="shared" si="123"/>
        <v>0</v>
      </c>
      <c r="BG132" s="750"/>
      <c r="BH132" s="377"/>
      <c r="BI132" s="377"/>
      <c r="BJ132" s="750">
        <f t="shared" si="124"/>
        <v>0</v>
      </c>
      <c r="BK132" s="750"/>
      <c r="BL132" s="377"/>
      <c r="BM132" s="377"/>
      <c r="BN132" s="750">
        <f t="shared" si="125"/>
        <v>0</v>
      </c>
      <c r="BO132" s="750"/>
      <c r="BP132" s="377"/>
      <c r="BQ132" s="377"/>
      <c r="BR132" s="750">
        <f t="shared" si="126"/>
        <v>0</v>
      </c>
      <c r="BS132" s="750"/>
      <c r="BT132" s="377"/>
      <c r="BU132" s="377"/>
      <c r="BV132" s="750">
        <f t="shared" si="127"/>
        <v>0</v>
      </c>
      <c r="BW132" s="750"/>
      <c r="BX132" s="377"/>
      <c r="BY132" s="377"/>
      <c r="BZ132" s="750">
        <f t="shared" si="128"/>
        <v>0</v>
      </c>
      <c r="CA132" s="750"/>
      <c r="CB132" s="377"/>
      <c r="CC132" s="377"/>
      <c r="CD132" s="750">
        <f t="shared" si="129"/>
        <v>0</v>
      </c>
      <c r="CE132" s="750"/>
      <c r="CF132" s="377"/>
      <c r="CG132" s="377"/>
      <c r="CH132" s="750">
        <f t="shared" si="130"/>
        <v>0</v>
      </c>
      <c r="CI132" s="750"/>
      <c r="CJ132" s="377"/>
      <c r="CK132" s="377"/>
      <c r="CL132" s="750">
        <f t="shared" si="131"/>
        <v>0</v>
      </c>
      <c r="CM132" s="386"/>
      <c r="CN132" s="751"/>
      <c r="CO132" s="751"/>
      <c r="CP132" s="751">
        <v>0</v>
      </c>
      <c r="CQ132" s="751"/>
      <c r="CR132" s="374"/>
      <c r="CS132" s="374"/>
      <c r="CT132" s="744">
        <f t="shared" si="137"/>
        <v>0</v>
      </c>
      <c r="CU132" s="745" t="e">
        <f t="shared" si="139"/>
        <v>#DIV/0!</v>
      </c>
      <c r="CV132" s="373"/>
      <c r="CW132" s="373"/>
      <c r="CX132" s="744">
        <f t="shared" si="140"/>
        <v>0</v>
      </c>
      <c r="CY132" s="745" t="e">
        <f t="shared" si="141"/>
        <v>#DIV/0!</v>
      </c>
      <c r="CZ132" s="373"/>
      <c r="DA132" s="373"/>
      <c r="DB132" s="744">
        <f t="shared" si="132"/>
        <v>0</v>
      </c>
      <c r="DC132" s="745" t="e">
        <f t="shared" si="142"/>
        <v>#DIV/0!</v>
      </c>
      <c r="DG132" s="746"/>
      <c r="DH132" s="746"/>
      <c r="DI132" s="746"/>
      <c r="DJ132" s="747"/>
      <c r="DK132" s="718"/>
      <c r="DL132" s="718"/>
    </row>
    <row r="133" spans="1:16384" hidden="1">
      <c r="A133" s="738"/>
      <c r="B133" s="739"/>
      <c r="C133" s="785" t="s">
        <v>567</v>
      </c>
      <c r="D133" s="748"/>
      <c r="E133" s="377">
        <f t="shared" si="110"/>
        <v>0</v>
      </c>
      <c r="F133" s="783">
        <f t="shared" si="111"/>
        <v>0</v>
      </c>
      <c r="G133" s="749">
        <f t="shared" si="138"/>
        <v>0</v>
      </c>
      <c r="H133" s="749" t="e">
        <f t="shared" ref="H133:H145" si="143">F133/E133</f>
        <v>#DIV/0!</v>
      </c>
      <c r="I133" s="377"/>
      <c r="J133" s="377"/>
      <c r="K133" s="750">
        <f t="shared" si="118"/>
        <v>0</v>
      </c>
      <c r="L133" s="750"/>
      <c r="M133" s="377"/>
      <c r="N133" s="377"/>
      <c r="O133" s="750"/>
      <c r="P133" s="750"/>
      <c r="Q133" s="377"/>
      <c r="R133" s="377"/>
      <c r="S133" s="750"/>
      <c r="T133" s="750"/>
      <c r="U133" s="377"/>
      <c r="V133" s="377"/>
      <c r="W133" s="750"/>
      <c r="X133" s="750"/>
      <c r="Y133" s="377"/>
      <c r="Z133" s="377"/>
      <c r="AA133" s="750"/>
      <c r="AB133" s="750"/>
      <c r="AC133" s="377"/>
      <c r="AD133" s="377"/>
      <c r="AE133" s="750">
        <f t="shared" si="136"/>
        <v>0</v>
      </c>
      <c r="AF133" s="750"/>
      <c r="AG133" s="377"/>
      <c r="AH133" s="377"/>
      <c r="AI133" s="750"/>
      <c r="AJ133" s="377"/>
      <c r="AK133" s="377"/>
      <c r="AL133" s="750"/>
      <c r="AM133" s="750"/>
      <c r="AN133" s="377"/>
      <c r="AO133" s="377"/>
      <c r="AP133" s="750">
        <f t="shared" si="117"/>
        <v>0</v>
      </c>
      <c r="AQ133" s="750"/>
      <c r="AR133" s="750"/>
      <c r="AS133" s="750"/>
      <c r="AT133" s="750"/>
      <c r="AU133" s="750"/>
      <c r="AV133" s="377"/>
      <c r="AW133" s="377"/>
      <c r="AX133" s="750">
        <f t="shared" si="122"/>
        <v>0</v>
      </c>
      <c r="AY133" s="750"/>
      <c r="AZ133" s="377"/>
      <c r="BA133" s="377"/>
      <c r="BB133" s="750">
        <f t="shared" ref="BB133:BB145" si="144">BA133-AZ133</f>
        <v>0</v>
      </c>
      <c r="BC133" s="750"/>
      <c r="BD133" s="377"/>
      <c r="BE133" s="377"/>
      <c r="BF133" s="750">
        <f t="shared" si="123"/>
        <v>0</v>
      </c>
      <c r="BG133" s="750"/>
      <c r="BH133" s="377"/>
      <c r="BI133" s="377"/>
      <c r="BJ133" s="750">
        <f t="shared" si="124"/>
        <v>0</v>
      </c>
      <c r="BK133" s="750"/>
      <c r="BL133" s="377"/>
      <c r="BM133" s="377"/>
      <c r="BN133" s="750">
        <f t="shared" si="125"/>
        <v>0</v>
      </c>
      <c r="BO133" s="750"/>
      <c r="BP133" s="377"/>
      <c r="BQ133" s="377"/>
      <c r="BR133" s="750">
        <f t="shared" si="126"/>
        <v>0</v>
      </c>
      <c r="BS133" s="750"/>
      <c r="BT133" s="377"/>
      <c r="BU133" s="377"/>
      <c r="BV133" s="750">
        <f t="shared" si="127"/>
        <v>0</v>
      </c>
      <c r="BW133" s="750"/>
      <c r="BX133" s="377"/>
      <c r="BY133" s="377"/>
      <c r="BZ133" s="750">
        <f t="shared" si="128"/>
        <v>0</v>
      </c>
      <c r="CA133" s="750" t="e">
        <f t="shared" ref="CA133:CA143" si="145">BY133/BX133</f>
        <v>#DIV/0!</v>
      </c>
      <c r="CB133" s="377"/>
      <c r="CC133" s="377"/>
      <c r="CD133" s="750">
        <f t="shared" si="129"/>
        <v>0</v>
      </c>
      <c r="CE133" s="750"/>
      <c r="CF133" s="780"/>
      <c r="CG133" s="780"/>
      <c r="CH133" s="750">
        <f t="shared" si="130"/>
        <v>0</v>
      </c>
      <c r="CI133" s="750"/>
      <c r="CJ133" s="377"/>
      <c r="CK133" s="377"/>
      <c r="CL133" s="750">
        <f t="shared" si="131"/>
        <v>0</v>
      </c>
      <c r="CM133" s="386"/>
      <c r="CN133" s="751"/>
      <c r="CO133" s="751"/>
      <c r="CP133" s="751">
        <f t="shared" ref="CP133:CP145" si="146">CO133-CN133</f>
        <v>0</v>
      </c>
      <c r="CQ133" s="751"/>
      <c r="CR133" s="374"/>
      <c r="CS133" s="374"/>
      <c r="CT133" s="744">
        <f t="shared" si="137"/>
        <v>0</v>
      </c>
      <c r="CU133" s="745" t="e">
        <f t="shared" si="139"/>
        <v>#DIV/0!</v>
      </c>
      <c r="CV133" s="373"/>
      <c r="CW133" s="373"/>
      <c r="CX133" s="744">
        <f t="shared" si="140"/>
        <v>0</v>
      </c>
      <c r="CY133" s="745" t="e">
        <f t="shared" si="141"/>
        <v>#DIV/0!</v>
      </c>
      <c r="CZ133" s="373"/>
      <c r="DA133" s="373"/>
      <c r="DB133" s="744">
        <f t="shared" si="132"/>
        <v>0</v>
      </c>
      <c r="DC133" s="745" t="e">
        <f t="shared" si="142"/>
        <v>#DIV/0!</v>
      </c>
      <c r="DG133" s="746"/>
      <c r="DH133" s="746"/>
      <c r="DI133" s="746"/>
      <c r="DJ133" s="747"/>
      <c r="DK133" s="718"/>
      <c r="DL133" s="718"/>
    </row>
    <row r="134" spans="1:16384" ht="12.75" hidden="1" customHeight="1">
      <c r="A134" s="738"/>
      <c r="B134" s="739"/>
      <c r="C134" s="738" t="s">
        <v>568</v>
      </c>
      <c r="D134" s="748"/>
      <c r="E134" s="377">
        <f t="shared" si="110"/>
        <v>0</v>
      </c>
      <c r="F134" s="783">
        <f t="shared" si="111"/>
        <v>0</v>
      </c>
      <c r="G134" s="749">
        <f t="shared" si="138"/>
        <v>0</v>
      </c>
      <c r="H134" s="749" t="e">
        <f t="shared" si="143"/>
        <v>#DIV/0!</v>
      </c>
      <c r="I134" s="377"/>
      <c r="J134" s="377"/>
      <c r="K134" s="750">
        <f t="shared" si="118"/>
        <v>0</v>
      </c>
      <c r="L134" s="750"/>
      <c r="M134" s="377"/>
      <c r="N134" s="377"/>
      <c r="O134" s="750"/>
      <c r="P134" s="750"/>
      <c r="Q134" s="377"/>
      <c r="R134" s="377"/>
      <c r="S134" s="750"/>
      <c r="T134" s="750"/>
      <c r="U134" s="377"/>
      <c r="V134" s="377"/>
      <c r="W134" s="750"/>
      <c r="X134" s="750"/>
      <c r="Y134" s="377"/>
      <c r="Z134" s="377"/>
      <c r="AA134" s="750"/>
      <c r="AB134" s="750"/>
      <c r="AC134" s="377"/>
      <c r="AD134" s="377"/>
      <c r="AE134" s="750">
        <f t="shared" si="136"/>
        <v>0</v>
      </c>
      <c r="AF134" s="750"/>
      <c r="AG134" s="377"/>
      <c r="AH134" s="377"/>
      <c r="AI134" s="750"/>
      <c r="AJ134" s="377"/>
      <c r="AK134" s="377"/>
      <c r="AL134" s="750"/>
      <c r="AM134" s="750"/>
      <c r="AN134" s="377"/>
      <c r="AO134" s="377"/>
      <c r="AP134" s="750">
        <f t="shared" si="117"/>
        <v>0</v>
      </c>
      <c r="AQ134" s="750"/>
      <c r="AR134" s="750"/>
      <c r="AS134" s="750"/>
      <c r="AT134" s="750"/>
      <c r="AU134" s="750"/>
      <c r="AV134" s="377"/>
      <c r="AW134" s="377"/>
      <c r="AX134" s="750">
        <f t="shared" si="122"/>
        <v>0</v>
      </c>
      <c r="AY134" s="750"/>
      <c r="AZ134" s="377"/>
      <c r="BA134" s="377"/>
      <c r="BB134" s="750">
        <f t="shared" si="144"/>
        <v>0</v>
      </c>
      <c r="BC134" s="750"/>
      <c r="BD134" s="377"/>
      <c r="BE134" s="377"/>
      <c r="BF134" s="750">
        <f t="shared" si="123"/>
        <v>0</v>
      </c>
      <c r="BG134" s="750"/>
      <c r="BH134" s="377"/>
      <c r="BI134" s="377"/>
      <c r="BJ134" s="750">
        <f t="shared" si="124"/>
        <v>0</v>
      </c>
      <c r="BK134" s="750"/>
      <c r="BL134" s="377"/>
      <c r="BM134" s="377"/>
      <c r="BN134" s="750">
        <f t="shared" si="125"/>
        <v>0</v>
      </c>
      <c r="BO134" s="750"/>
      <c r="BP134" s="377"/>
      <c r="BQ134" s="377"/>
      <c r="BR134" s="750">
        <f t="shared" si="126"/>
        <v>0</v>
      </c>
      <c r="BS134" s="750"/>
      <c r="BT134" s="377"/>
      <c r="BU134" s="377"/>
      <c r="BV134" s="750">
        <f t="shared" si="127"/>
        <v>0</v>
      </c>
      <c r="BW134" s="750"/>
      <c r="BX134" s="377"/>
      <c r="BY134" s="377"/>
      <c r="BZ134" s="750">
        <f t="shared" si="128"/>
        <v>0</v>
      </c>
      <c r="CA134" s="750" t="e">
        <f t="shared" si="145"/>
        <v>#DIV/0!</v>
      </c>
      <c r="CB134" s="377"/>
      <c r="CC134" s="377"/>
      <c r="CD134" s="750">
        <f t="shared" si="129"/>
        <v>0</v>
      </c>
      <c r="CE134" s="750"/>
      <c r="CF134" s="377"/>
      <c r="CG134" s="377"/>
      <c r="CH134" s="750">
        <f t="shared" si="130"/>
        <v>0</v>
      </c>
      <c r="CI134" s="750"/>
      <c r="CJ134" s="377"/>
      <c r="CK134" s="377"/>
      <c r="CL134" s="750">
        <f t="shared" si="131"/>
        <v>0</v>
      </c>
      <c r="CM134" s="386"/>
      <c r="CN134" s="751"/>
      <c r="CO134" s="751"/>
      <c r="CP134" s="751">
        <f t="shared" si="146"/>
        <v>0</v>
      </c>
      <c r="CQ134" s="751"/>
      <c r="CR134" s="374"/>
      <c r="CS134" s="374"/>
      <c r="CT134" s="744">
        <f t="shared" si="137"/>
        <v>0</v>
      </c>
      <c r="CU134" s="745" t="e">
        <f t="shared" si="139"/>
        <v>#DIV/0!</v>
      </c>
      <c r="CV134" s="373"/>
      <c r="CW134" s="373"/>
      <c r="CX134" s="744">
        <f t="shared" si="140"/>
        <v>0</v>
      </c>
      <c r="CY134" s="745" t="e">
        <f t="shared" si="141"/>
        <v>#DIV/0!</v>
      </c>
      <c r="CZ134" s="373"/>
      <c r="DA134" s="373"/>
      <c r="DB134" s="744">
        <f t="shared" si="132"/>
        <v>0</v>
      </c>
      <c r="DC134" s="745" t="e">
        <f t="shared" si="142"/>
        <v>#DIV/0!</v>
      </c>
      <c r="DG134" s="746"/>
      <c r="DH134" s="746"/>
      <c r="DI134" s="746"/>
      <c r="DJ134" s="747"/>
      <c r="DK134" s="718"/>
      <c r="DL134" s="718"/>
    </row>
    <row r="135" spans="1:16384" hidden="1">
      <c r="A135" s="738"/>
      <c r="B135" s="739"/>
      <c r="C135" s="738" t="s">
        <v>851</v>
      </c>
      <c r="D135" s="748"/>
      <c r="E135" s="377">
        <f t="shared" si="110"/>
        <v>0</v>
      </c>
      <c r="F135" s="783">
        <f t="shared" si="111"/>
        <v>0</v>
      </c>
      <c r="G135" s="749">
        <f t="shared" si="138"/>
        <v>0</v>
      </c>
      <c r="H135" s="749">
        <v>0</v>
      </c>
      <c r="I135" s="377"/>
      <c r="J135" s="377"/>
      <c r="K135" s="750">
        <f t="shared" si="118"/>
        <v>0</v>
      </c>
      <c r="L135" s="750"/>
      <c r="M135" s="377"/>
      <c r="N135" s="377"/>
      <c r="O135" s="750"/>
      <c r="P135" s="750"/>
      <c r="Q135" s="377"/>
      <c r="R135" s="377"/>
      <c r="S135" s="750"/>
      <c r="T135" s="750"/>
      <c r="U135" s="377"/>
      <c r="V135" s="377"/>
      <c r="W135" s="750"/>
      <c r="X135" s="750"/>
      <c r="Y135" s="377"/>
      <c r="Z135" s="377"/>
      <c r="AA135" s="750"/>
      <c r="AB135" s="750"/>
      <c r="AC135" s="377"/>
      <c r="AD135" s="377"/>
      <c r="AE135" s="750">
        <f t="shared" si="136"/>
        <v>0</v>
      </c>
      <c r="AF135" s="750"/>
      <c r="AG135" s="377"/>
      <c r="AH135" s="377"/>
      <c r="AI135" s="750"/>
      <c r="AJ135" s="377"/>
      <c r="AK135" s="377"/>
      <c r="AL135" s="750"/>
      <c r="AM135" s="750"/>
      <c r="AN135" s="377"/>
      <c r="AO135" s="377"/>
      <c r="AP135" s="750">
        <f t="shared" si="117"/>
        <v>0</v>
      </c>
      <c r="AQ135" s="750"/>
      <c r="AR135" s="750"/>
      <c r="AS135" s="750"/>
      <c r="AT135" s="750"/>
      <c r="AU135" s="750"/>
      <c r="AV135" s="377"/>
      <c r="AW135" s="377"/>
      <c r="AX135" s="750">
        <f t="shared" si="122"/>
        <v>0</v>
      </c>
      <c r="AY135" s="750"/>
      <c r="AZ135" s="377"/>
      <c r="BA135" s="377"/>
      <c r="BB135" s="750">
        <f t="shared" si="144"/>
        <v>0</v>
      </c>
      <c r="BC135" s="750"/>
      <c r="BD135" s="377"/>
      <c r="BE135" s="377"/>
      <c r="BF135" s="750">
        <f t="shared" si="123"/>
        <v>0</v>
      </c>
      <c r="BG135" s="750"/>
      <c r="BH135" s="377"/>
      <c r="BI135" s="377"/>
      <c r="BJ135" s="750">
        <f t="shared" si="124"/>
        <v>0</v>
      </c>
      <c r="BK135" s="750"/>
      <c r="BL135" s="377"/>
      <c r="BM135" s="377"/>
      <c r="BN135" s="750">
        <f t="shared" si="125"/>
        <v>0</v>
      </c>
      <c r="BO135" s="750"/>
      <c r="BP135" s="377"/>
      <c r="BQ135" s="377"/>
      <c r="BR135" s="750">
        <f t="shared" si="126"/>
        <v>0</v>
      </c>
      <c r="BS135" s="750"/>
      <c r="BT135" s="377"/>
      <c r="BU135" s="377"/>
      <c r="BV135" s="750">
        <f t="shared" si="127"/>
        <v>0</v>
      </c>
      <c r="BW135" s="750"/>
      <c r="BX135" s="377"/>
      <c r="BY135" s="377"/>
      <c r="BZ135" s="750">
        <f t="shared" si="128"/>
        <v>0</v>
      </c>
      <c r="CA135" s="750" t="e">
        <f t="shared" si="145"/>
        <v>#DIV/0!</v>
      </c>
      <c r="CB135" s="377"/>
      <c r="CC135" s="377"/>
      <c r="CD135" s="750">
        <f t="shared" si="129"/>
        <v>0</v>
      </c>
      <c r="CE135" s="750"/>
      <c r="CF135" s="377"/>
      <c r="CG135" s="377"/>
      <c r="CH135" s="750">
        <f t="shared" si="130"/>
        <v>0</v>
      </c>
      <c r="CI135" s="750"/>
      <c r="CJ135" s="377"/>
      <c r="CK135" s="377"/>
      <c r="CL135" s="750">
        <f t="shared" si="131"/>
        <v>0</v>
      </c>
      <c r="CM135" s="386"/>
      <c r="CN135" s="751"/>
      <c r="CO135" s="751"/>
      <c r="CP135" s="751">
        <f t="shared" si="146"/>
        <v>0</v>
      </c>
      <c r="CQ135" s="751"/>
      <c r="CR135" s="374"/>
      <c r="CS135" s="374"/>
      <c r="CT135" s="744">
        <f t="shared" si="137"/>
        <v>0</v>
      </c>
      <c r="CU135" s="745" t="e">
        <f t="shared" si="139"/>
        <v>#DIV/0!</v>
      </c>
      <c r="CV135" s="373"/>
      <c r="CW135" s="373"/>
      <c r="CX135" s="744">
        <f t="shared" si="140"/>
        <v>0</v>
      </c>
      <c r="CY135" s="745" t="e">
        <f t="shared" si="141"/>
        <v>#DIV/0!</v>
      </c>
      <c r="CZ135" s="373"/>
      <c r="DA135" s="373"/>
      <c r="DB135" s="744">
        <f t="shared" si="132"/>
        <v>0</v>
      </c>
      <c r="DC135" s="745" t="e">
        <f t="shared" si="142"/>
        <v>#DIV/0!</v>
      </c>
      <c r="DG135" s="746"/>
      <c r="DH135" s="746"/>
      <c r="DI135" s="746"/>
      <c r="DJ135" s="747"/>
      <c r="DK135" s="718"/>
      <c r="DL135" s="718"/>
    </row>
    <row r="136" spans="1:16384" ht="12.75" hidden="1" customHeight="1">
      <c r="A136" s="738"/>
      <c r="B136" s="739"/>
      <c r="C136" s="738" t="s">
        <v>383</v>
      </c>
      <c r="D136" s="748"/>
      <c r="E136" s="377">
        <f t="shared" si="110"/>
        <v>0</v>
      </c>
      <c r="F136" s="783">
        <f t="shared" si="111"/>
        <v>0</v>
      </c>
      <c r="G136" s="749">
        <f t="shared" si="138"/>
        <v>0</v>
      </c>
      <c r="H136" s="749" t="e">
        <f t="shared" si="143"/>
        <v>#DIV/0!</v>
      </c>
      <c r="I136" s="377"/>
      <c r="J136" s="377"/>
      <c r="K136" s="750">
        <f t="shared" si="118"/>
        <v>0</v>
      </c>
      <c r="L136" s="750"/>
      <c r="M136" s="377"/>
      <c r="N136" s="377"/>
      <c r="O136" s="750">
        <f t="shared" ref="O136:O145" si="147">N136-M136</f>
        <v>0</v>
      </c>
      <c r="P136" s="750"/>
      <c r="Q136" s="377"/>
      <c r="R136" s="377"/>
      <c r="S136" s="750">
        <f t="shared" ref="S136:S145" si="148">R136-Q136</f>
        <v>0</v>
      </c>
      <c r="T136" s="750" t="e">
        <f t="shared" ref="T136:T145" si="149">R136/Q136</f>
        <v>#DIV/0!</v>
      </c>
      <c r="U136" s="377"/>
      <c r="V136" s="377"/>
      <c r="W136" s="750">
        <f t="shared" ref="W136:W145" si="150">V136-U136</f>
        <v>0</v>
      </c>
      <c r="X136" s="750" t="e">
        <f t="shared" ref="X136:X145" si="151">V136/U136</f>
        <v>#DIV/0!</v>
      </c>
      <c r="Y136" s="377">
        <f t="shared" ref="Y136:Z145" si="152">AC136</f>
        <v>0</v>
      </c>
      <c r="Z136" s="377">
        <f t="shared" si="152"/>
        <v>0</v>
      </c>
      <c r="AA136" s="750">
        <f t="shared" ref="AA136:AA145" si="153">Z136-Y136</f>
        <v>0</v>
      </c>
      <c r="AB136" s="750" t="e">
        <f>Z136/Y136</f>
        <v>#DIV/0!</v>
      </c>
      <c r="AC136" s="377"/>
      <c r="AD136" s="377"/>
      <c r="AE136" s="750">
        <f t="shared" si="136"/>
        <v>0</v>
      </c>
      <c r="AF136" s="750" t="e">
        <f>AD136/AC136</f>
        <v>#DIV/0!</v>
      </c>
      <c r="AG136" s="377"/>
      <c r="AH136" s="377"/>
      <c r="AI136" s="750">
        <f t="shared" ref="AI136:AI143" si="154">AH136-AG136</f>
        <v>0</v>
      </c>
      <c r="AJ136" s="377"/>
      <c r="AK136" s="377"/>
      <c r="AL136" s="750">
        <f t="shared" ref="AL136:AL145" si="155">AK136-AJ136</f>
        <v>0</v>
      </c>
      <c r="AM136" s="750"/>
      <c r="AN136" s="377"/>
      <c r="AO136" s="377"/>
      <c r="AP136" s="750">
        <f t="shared" si="117"/>
        <v>0</v>
      </c>
      <c r="AQ136" s="750"/>
      <c r="AR136" s="750"/>
      <c r="AS136" s="750"/>
      <c r="AT136" s="750">
        <f t="shared" ref="AT136:AT145" si="156">AS136-AR136</f>
        <v>0</v>
      </c>
      <c r="AU136" s="750"/>
      <c r="AV136" s="377"/>
      <c r="AW136" s="377"/>
      <c r="AX136" s="750">
        <f t="shared" si="122"/>
        <v>0</v>
      </c>
      <c r="AY136" s="750"/>
      <c r="AZ136" s="377"/>
      <c r="BA136" s="377"/>
      <c r="BB136" s="750">
        <f t="shared" si="144"/>
        <v>0</v>
      </c>
      <c r="BC136" s="750"/>
      <c r="BD136" s="377"/>
      <c r="BE136" s="377"/>
      <c r="BF136" s="750">
        <f t="shared" si="123"/>
        <v>0</v>
      </c>
      <c r="BG136" s="750"/>
      <c r="BH136" s="377"/>
      <c r="BI136" s="377"/>
      <c r="BJ136" s="750">
        <f t="shared" si="124"/>
        <v>0</v>
      </c>
      <c r="BK136" s="750"/>
      <c r="BL136" s="377"/>
      <c r="BM136" s="377"/>
      <c r="BN136" s="750">
        <f t="shared" si="125"/>
        <v>0</v>
      </c>
      <c r="BO136" s="750"/>
      <c r="BP136" s="377"/>
      <c r="BQ136" s="377"/>
      <c r="BR136" s="750">
        <f t="shared" si="126"/>
        <v>0</v>
      </c>
      <c r="BS136" s="750"/>
      <c r="BT136" s="377"/>
      <c r="BU136" s="377"/>
      <c r="BV136" s="750">
        <f t="shared" si="127"/>
        <v>0</v>
      </c>
      <c r="BW136" s="750"/>
      <c r="BX136" s="377"/>
      <c r="BY136" s="377"/>
      <c r="BZ136" s="750">
        <f t="shared" si="128"/>
        <v>0</v>
      </c>
      <c r="CA136" s="750" t="e">
        <f t="shared" si="145"/>
        <v>#DIV/0!</v>
      </c>
      <c r="CB136" s="377"/>
      <c r="CC136" s="377"/>
      <c r="CD136" s="750">
        <f t="shared" si="129"/>
        <v>0</v>
      </c>
      <c r="CE136" s="750"/>
      <c r="CF136" s="377"/>
      <c r="CG136" s="377"/>
      <c r="CH136" s="750">
        <f t="shared" si="130"/>
        <v>0</v>
      </c>
      <c r="CI136" s="750"/>
      <c r="CJ136" s="377"/>
      <c r="CK136" s="377"/>
      <c r="CL136" s="750">
        <f t="shared" si="131"/>
        <v>0</v>
      </c>
      <c r="CM136" s="386"/>
      <c r="CN136" s="751"/>
      <c r="CO136" s="751"/>
      <c r="CP136" s="751">
        <f t="shared" si="146"/>
        <v>0</v>
      </c>
      <c r="CQ136" s="751"/>
      <c r="CR136" s="374"/>
      <c r="CS136" s="374"/>
      <c r="CT136" s="744">
        <f t="shared" si="137"/>
        <v>0</v>
      </c>
      <c r="CU136" s="745" t="e">
        <f t="shared" si="139"/>
        <v>#DIV/0!</v>
      </c>
      <c r="CV136" s="373"/>
      <c r="CW136" s="373"/>
      <c r="CX136" s="744">
        <f t="shared" si="140"/>
        <v>0</v>
      </c>
      <c r="CY136" s="745" t="e">
        <f t="shared" si="141"/>
        <v>#DIV/0!</v>
      </c>
      <c r="CZ136" s="373"/>
      <c r="DA136" s="373"/>
      <c r="DB136" s="744">
        <f t="shared" si="132"/>
        <v>0</v>
      </c>
      <c r="DC136" s="745" t="e">
        <f t="shared" si="142"/>
        <v>#DIV/0!</v>
      </c>
      <c r="DG136" s="746"/>
      <c r="DH136" s="746"/>
      <c r="DI136" s="746"/>
      <c r="DJ136" s="747"/>
      <c r="DK136" s="718"/>
      <c r="DL136" s="718"/>
    </row>
    <row r="137" spans="1:16384" ht="12.75" hidden="1" customHeight="1">
      <c r="A137" s="738"/>
      <c r="B137" s="739"/>
      <c r="C137" s="738" t="s">
        <v>709</v>
      </c>
      <c r="D137" s="748"/>
      <c r="E137" s="377">
        <f t="shared" si="110"/>
        <v>0</v>
      </c>
      <c r="F137" s="783">
        <f t="shared" si="111"/>
        <v>0</v>
      </c>
      <c r="G137" s="749">
        <f t="shared" si="138"/>
        <v>0</v>
      </c>
      <c r="H137" s="749" t="e">
        <f t="shared" si="143"/>
        <v>#DIV/0!</v>
      </c>
      <c r="I137" s="377"/>
      <c r="J137" s="377"/>
      <c r="K137" s="750">
        <f t="shared" si="118"/>
        <v>0</v>
      </c>
      <c r="L137" s="750"/>
      <c r="M137" s="377"/>
      <c r="N137" s="377"/>
      <c r="O137" s="750">
        <f t="shared" si="147"/>
        <v>0</v>
      </c>
      <c r="P137" s="750"/>
      <c r="Q137" s="377"/>
      <c r="R137" s="377"/>
      <c r="S137" s="750">
        <f t="shared" si="148"/>
        <v>0</v>
      </c>
      <c r="T137" s="750" t="e">
        <f t="shared" si="149"/>
        <v>#DIV/0!</v>
      </c>
      <c r="U137" s="377"/>
      <c r="V137" s="377"/>
      <c r="W137" s="750">
        <f t="shared" si="150"/>
        <v>0</v>
      </c>
      <c r="X137" s="750" t="e">
        <f t="shared" si="151"/>
        <v>#DIV/0!</v>
      </c>
      <c r="Y137" s="377">
        <f t="shared" si="152"/>
        <v>0</v>
      </c>
      <c r="Z137" s="377">
        <f t="shared" si="152"/>
        <v>0</v>
      </c>
      <c r="AA137" s="750">
        <f t="shared" si="153"/>
        <v>0</v>
      </c>
      <c r="AB137" s="750" t="e">
        <f>Z137/Y137</f>
        <v>#DIV/0!</v>
      </c>
      <c r="AC137" s="377"/>
      <c r="AD137" s="377"/>
      <c r="AE137" s="750">
        <f t="shared" si="136"/>
        <v>0</v>
      </c>
      <c r="AF137" s="750" t="e">
        <f>AD137/AC137</f>
        <v>#DIV/0!</v>
      </c>
      <c r="AG137" s="377"/>
      <c r="AH137" s="377"/>
      <c r="AI137" s="750">
        <f t="shared" si="154"/>
        <v>0</v>
      </c>
      <c r="AJ137" s="377"/>
      <c r="AK137" s="377"/>
      <c r="AL137" s="750">
        <f t="shared" si="155"/>
        <v>0</v>
      </c>
      <c r="AM137" s="750"/>
      <c r="AN137" s="377"/>
      <c r="AO137" s="377"/>
      <c r="AP137" s="750">
        <f t="shared" si="117"/>
        <v>0</v>
      </c>
      <c r="AQ137" s="750"/>
      <c r="AR137" s="750"/>
      <c r="AS137" s="750"/>
      <c r="AT137" s="750">
        <f t="shared" si="156"/>
        <v>0</v>
      </c>
      <c r="AU137" s="750"/>
      <c r="AV137" s="377"/>
      <c r="AW137" s="377"/>
      <c r="AX137" s="750">
        <f t="shared" si="122"/>
        <v>0</v>
      </c>
      <c r="AY137" s="750"/>
      <c r="AZ137" s="377"/>
      <c r="BA137" s="377"/>
      <c r="BB137" s="750">
        <f t="shared" si="144"/>
        <v>0</v>
      </c>
      <c r="BC137" s="750"/>
      <c r="BD137" s="377"/>
      <c r="BE137" s="377"/>
      <c r="BF137" s="750">
        <f t="shared" si="123"/>
        <v>0</v>
      </c>
      <c r="BG137" s="750"/>
      <c r="BH137" s="377"/>
      <c r="BI137" s="377"/>
      <c r="BJ137" s="750">
        <f t="shared" si="124"/>
        <v>0</v>
      </c>
      <c r="BK137" s="750"/>
      <c r="BL137" s="377"/>
      <c r="BM137" s="377"/>
      <c r="BN137" s="750">
        <f t="shared" si="125"/>
        <v>0</v>
      </c>
      <c r="BO137" s="750"/>
      <c r="BP137" s="377"/>
      <c r="BQ137" s="377"/>
      <c r="BR137" s="750">
        <f t="shared" si="126"/>
        <v>0</v>
      </c>
      <c r="BS137" s="750"/>
      <c r="BT137" s="377"/>
      <c r="BU137" s="377"/>
      <c r="BV137" s="750">
        <f t="shared" si="127"/>
        <v>0</v>
      </c>
      <c r="BW137" s="750"/>
      <c r="BX137" s="377"/>
      <c r="BY137" s="377"/>
      <c r="BZ137" s="750">
        <f t="shared" si="128"/>
        <v>0</v>
      </c>
      <c r="CA137" s="750" t="e">
        <f t="shared" si="145"/>
        <v>#DIV/0!</v>
      </c>
      <c r="CB137" s="377"/>
      <c r="CC137" s="377"/>
      <c r="CD137" s="750">
        <f t="shared" si="129"/>
        <v>0</v>
      </c>
      <c r="CE137" s="750"/>
      <c r="CF137" s="377"/>
      <c r="CG137" s="377"/>
      <c r="CH137" s="750">
        <f t="shared" si="130"/>
        <v>0</v>
      </c>
      <c r="CI137" s="750"/>
      <c r="CJ137" s="377"/>
      <c r="CK137" s="377"/>
      <c r="CL137" s="750">
        <f t="shared" si="131"/>
        <v>0</v>
      </c>
      <c r="CM137" s="386"/>
      <c r="CN137" s="751"/>
      <c r="CO137" s="751"/>
      <c r="CP137" s="751">
        <f t="shared" si="146"/>
        <v>0</v>
      </c>
      <c r="CQ137" s="751"/>
      <c r="CR137" s="374"/>
      <c r="CS137" s="374"/>
      <c r="CT137" s="744">
        <f t="shared" si="137"/>
        <v>0</v>
      </c>
      <c r="CU137" s="745" t="e">
        <f t="shared" si="139"/>
        <v>#DIV/0!</v>
      </c>
      <c r="CV137" s="373"/>
      <c r="CW137" s="373"/>
      <c r="CX137" s="744">
        <f t="shared" si="140"/>
        <v>0</v>
      </c>
      <c r="CY137" s="745" t="e">
        <f t="shared" si="141"/>
        <v>#DIV/0!</v>
      </c>
      <c r="CZ137" s="373"/>
      <c r="DA137" s="373"/>
      <c r="DB137" s="744">
        <f t="shared" si="132"/>
        <v>0</v>
      </c>
      <c r="DC137" s="745" t="e">
        <f t="shared" si="142"/>
        <v>#DIV/0!</v>
      </c>
      <c r="DG137" s="746"/>
      <c r="DH137" s="746"/>
      <c r="DI137" s="746"/>
      <c r="DJ137" s="747"/>
      <c r="DK137" s="718"/>
      <c r="DL137" s="718"/>
    </row>
    <row r="138" spans="1:16384" ht="12.75" customHeight="1">
      <c r="A138" s="738"/>
      <c r="B138" s="739">
        <v>1718002422</v>
      </c>
      <c r="C138" s="738" t="s">
        <v>570</v>
      </c>
      <c r="D138" s="748">
        <v>3.3</v>
      </c>
      <c r="E138" s="377">
        <v>2.7</v>
      </c>
      <c r="F138" s="783">
        <f t="shared" si="111"/>
        <v>0</v>
      </c>
      <c r="G138" s="749">
        <f t="shared" si="138"/>
        <v>-2.7</v>
      </c>
      <c r="H138" s="749">
        <f t="shared" si="143"/>
        <v>0</v>
      </c>
      <c r="I138" s="377"/>
      <c r="J138" s="377"/>
      <c r="K138" s="750">
        <f t="shared" si="118"/>
        <v>0</v>
      </c>
      <c r="L138" s="750"/>
      <c r="M138" s="377">
        <v>2.7360000000000002</v>
      </c>
      <c r="N138" s="377"/>
      <c r="O138" s="750">
        <f t="shared" si="147"/>
        <v>-2.7360000000000002</v>
      </c>
      <c r="P138" s="750"/>
      <c r="Q138" s="377"/>
      <c r="R138" s="377"/>
      <c r="S138" s="750">
        <f t="shared" si="148"/>
        <v>0</v>
      </c>
      <c r="T138" s="750">
        <v>0</v>
      </c>
      <c r="U138" s="377"/>
      <c r="V138" s="377"/>
      <c r="W138" s="750">
        <f t="shared" si="150"/>
        <v>0</v>
      </c>
      <c r="X138" s="750">
        <v>0</v>
      </c>
      <c r="Y138" s="377">
        <f t="shared" si="152"/>
        <v>0</v>
      </c>
      <c r="Z138" s="377">
        <f t="shared" si="152"/>
        <v>0</v>
      </c>
      <c r="AA138" s="750">
        <f t="shared" si="153"/>
        <v>0</v>
      </c>
      <c r="AB138" s="750" t="e">
        <f>Z138/Y138</f>
        <v>#DIV/0!</v>
      </c>
      <c r="AC138" s="377"/>
      <c r="AD138" s="377"/>
      <c r="AE138" s="750">
        <f t="shared" si="136"/>
        <v>0</v>
      </c>
      <c r="AF138" s="750" t="e">
        <f>AD138/AC138</f>
        <v>#DIV/0!</v>
      </c>
      <c r="AG138" s="377"/>
      <c r="AH138" s="377"/>
      <c r="AI138" s="750">
        <f t="shared" si="154"/>
        <v>0</v>
      </c>
      <c r="AJ138" s="377"/>
      <c r="AK138" s="377"/>
      <c r="AL138" s="750">
        <f t="shared" si="155"/>
        <v>0</v>
      </c>
      <c r="AM138" s="750"/>
      <c r="AN138" s="377"/>
      <c r="AO138" s="377"/>
      <c r="AP138" s="750">
        <f t="shared" si="117"/>
        <v>0</v>
      </c>
      <c r="AQ138" s="750"/>
      <c r="AR138" s="750"/>
      <c r="AS138" s="750"/>
      <c r="AT138" s="750">
        <f t="shared" si="156"/>
        <v>0</v>
      </c>
      <c r="AU138" s="750"/>
      <c r="AV138" s="377"/>
      <c r="AW138" s="377"/>
      <c r="AX138" s="750">
        <f t="shared" si="122"/>
        <v>0</v>
      </c>
      <c r="AY138" s="750"/>
      <c r="AZ138" s="377"/>
      <c r="BA138" s="377"/>
      <c r="BB138" s="750">
        <f t="shared" si="144"/>
        <v>0</v>
      </c>
      <c r="BC138" s="750"/>
      <c r="BD138" s="377"/>
      <c r="BE138" s="377"/>
      <c r="BF138" s="750">
        <f t="shared" si="123"/>
        <v>0</v>
      </c>
      <c r="BG138" s="750"/>
      <c r="BH138" s="377"/>
      <c r="BI138" s="377"/>
      <c r="BJ138" s="750">
        <f t="shared" si="124"/>
        <v>0</v>
      </c>
      <c r="BK138" s="750"/>
      <c r="BL138" s="377"/>
      <c r="BM138" s="376"/>
      <c r="BN138" s="750">
        <f t="shared" si="125"/>
        <v>0</v>
      </c>
      <c r="BO138" s="750"/>
      <c r="BP138" s="377"/>
      <c r="BQ138" s="377"/>
      <c r="BR138" s="750">
        <f t="shared" si="126"/>
        <v>0</v>
      </c>
      <c r="BS138" s="750"/>
      <c r="BT138" s="377"/>
      <c r="BU138" s="377"/>
      <c r="BV138" s="750">
        <f t="shared" si="127"/>
        <v>0</v>
      </c>
      <c r="BW138" s="750"/>
      <c r="BX138" s="377"/>
      <c r="BY138" s="377"/>
      <c r="BZ138" s="750">
        <f t="shared" si="128"/>
        <v>0</v>
      </c>
      <c r="CA138" s="750" t="e">
        <f t="shared" si="145"/>
        <v>#DIV/0!</v>
      </c>
      <c r="CB138" s="377"/>
      <c r="CC138" s="377"/>
      <c r="CD138" s="750">
        <f t="shared" si="129"/>
        <v>0</v>
      </c>
      <c r="CE138" s="750"/>
      <c r="CF138" s="377"/>
      <c r="CG138" s="377"/>
      <c r="CH138" s="750">
        <f t="shared" si="130"/>
        <v>0</v>
      </c>
      <c r="CI138" s="750"/>
      <c r="CJ138" s="377"/>
      <c r="CK138" s="377"/>
      <c r="CL138" s="750">
        <f t="shared" si="131"/>
        <v>0</v>
      </c>
      <c r="CM138" s="386"/>
      <c r="CN138" s="751"/>
      <c r="CO138" s="751"/>
      <c r="CP138" s="751">
        <f t="shared" si="146"/>
        <v>0</v>
      </c>
      <c r="CQ138" s="751"/>
      <c r="CR138" s="374"/>
      <c r="CS138" s="374"/>
      <c r="CT138" s="744">
        <f t="shared" si="137"/>
        <v>0</v>
      </c>
      <c r="CU138" s="745" t="e">
        <f t="shared" si="139"/>
        <v>#DIV/0!</v>
      </c>
      <c r="CV138" s="373"/>
      <c r="CW138" s="373"/>
      <c r="CX138" s="744">
        <f t="shared" si="140"/>
        <v>0</v>
      </c>
      <c r="CY138" s="745" t="e">
        <f t="shared" si="141"/>
        <v>#DIV/0!</v>
      </c>
      <c r="CZ138" s="373"/>
      <c r="DA138" s="373"/>
      <c r="DB138" s="744">
        <f t="shared" si="132"/>
        <v>0</v>
      </c>
      <c r="DC138" s="745" t="e">
        <f t="shared" si="142"/>
        <v>#DIV/0!</v>
      </c>
      <c r="DG138" s="746"/>
      <c r="DH138" s="746"/>
      <c r="DI138" s="746"/>
      <c r="DJ138" s="747"/>
      <c r="DK138" s="718"/>
      <c r="DL138" s="718"/>
    </row>
    <row r="139" spans="1:16384" ht="12.75" hidden="1" customHeight="1">
      <c r="A139" s="738"/>
      <c r="B139" s="739"/>
      <c r="C139" s="380" t="s">
        <v>410</v>
      </c>
      <c r="D139" s="748"/>
      <c r="E139" s="377"/>
      <c r="F139" s="783">
        <f t="shared" si="111"/>
        <v>0</v>
      </c>
      <c r="G139" s="749">
        <f t="shared" si="138"/>
        <v>0</v>
      </c>
      <c r="H139" s="749"/>
      <c r="I139" s="377"/>
      <c r="J139" s="377"/>
      <c r="K139" s="750"/>
      <c r="L139" s="750"/>
      <c r="M139" s="377"/>
      <c r="N139" s="377"/>
      <c r="O139" s="750"/>
      <c r="P139" s="750"/>
      <c r="Q139" s="377"/>
      <c r="R139" s="377"/>
      <c r="S139" s="750"/>
      <c r="T139" s="750"/>
      <c r="U139" s="377"/>
      <c r="V139" s="377"/>
      <c r="W139" s="750"/>
      <c r="X139" s="750"/>
      <c r="Y139" s="377"/>
      <c r="Z139" s="377"/>
      <c r="AA139" s="750"/>
      <c r="AB139" s="750"/>
      <c r="AC139" s="377"/>
      <c r="AD139" s="377"/>
      <c r="AE139" s="750"/>
      <c r="AF139" s="750"/>
      <c r="AG139" s="377"/>
      <c r="AH139" s="377"/>
      <c r="AI139" s="750"/>
      <c r="AJ139" s="377"/>
      <c r="AK139" s="377"/>
      <c r="AL139" s="750"/>
      <c r="AM139" s="750"/>
      <c r="AN139" s="377"/>
      <c r="AO139" s="377"/>
      <c r="AP139" s="750"/>
      <c r="AQ139" s="750"/>
      <c r="AR139" s="750"/>
      <c r="AS139" s="750"/>
      <c r="AT139" s="750"/>
      <c r="AU139" s="750"/>
      <c r="AV139" s="377"/>
      <c r="AW139" s="377"/>
      <c r="AX139" s="750"/>
      <c r="AY139" s="750"/>
      <c r="AZ139" s="377"/>
      <c r="BA139" s="377"/>
      <c r="BB139" s="750"/>
      <c r="BC139" s="750"/>
      <c r="BD139" s="377"/>
      <c r="BE139" s="377"/>
      <c r="BF139" s="750"/>
      <c r="BG139" s="750"/>
      <c r="BH139" s="377"/>
      <c r="BI139" s="377"/>
      <c r="BJ139" s="750"/>
      <c r="BK139" s="750"/>
      <c r="BL139" s="377"/>
      <c r="BM139" s="376"/>
      <c r="BN139" s="750"/>
      <c r="BO139" s="750"/>
      <c r="BP139" s="377"/>
      <c r="BQ139" s="377"/>
      <c r="BR139" s="750"/>
      <c r="BS139" s="750"/>
      <c r="BT139" s="377"/>
      <c r="BU139" s="377"/>
      <c r="BV139" s="750"/>
      <c r="BW139" s="750"/>
      <c r="BX139" s="377"/>
      <c r="BY139" s="377"/>
      <c r="BZ139" s="750"/>
      <c r="CA139" s="750"/>
      <c r="CB139" s="377"/>
      <c r="CC139" s="377"/>
      <c r="CD139" s="750"/>
      <c r="CE139" s="750"/>
      <c r="CF139" s="377"/>
      <c r="CG139" s="377"/>
      <c r="CH139" s="750"/>
      <c r="CI139" s="750"/>
      <c r="CJ139" s="377"/>
      <c r="CK139" s="377"/>
      <c r="CL139" s="750"/>
      <c r="CM139" s="386"/>
      <c r="CN139" s="751"/>
      <c r="CO139" s="751"/>
      <c r="CP139" s="751"/>
      <c r="CQ139" s="751"/>
      <c r="CR139" s="374"/>
      <c r="CS139" s="374"/>
      <c r="CT139" s="744"/>
      <c r="CU139" s="745"/>
      <c r="CV139" s="373"/>
      <c r="CW139" s="373"/>
      <c r="CX139" s="744"/>
      <c r="CY139" s="745"/>
      <c r="CZ139" s="373"/>
      <c r="DA139" s="373"/>
      <c r="DB139" s="744"/>
      <c r="DC139" s="745"/>
      <c r="DG139" s="746"/>
      <c r="DH139" s="746"/>
      <c r="DI139" s="746"/>
      <c r="DJ139" s="747"/>
      <c r="DK139" s="718"/>
      <c r="DL139" s="718"/>
    </row>
    <row r="140" spans="1:16384" ht="12.75" hidden="1" customHeight="1">
      <c r="A140" s="738"/>
      <c r="B140" s="739">
        <v>1718002528</v>
      </c>
      <c r="C140" s="380" t="s">
        <v>773</v>
      </c>
      <c r="D140" s="748"/>
      <c r="E140" s="377">
        <v>0.2</v>
      </c>
      <c r="F140" s="783">
        <f t="shared" si="111"/>
        <v>0</v>
      </c>
      <c r="G140" s="749">
        <f t="shared" si="138"/>
        <v>-0.2</v>
      </c>
      <c r="H140" s="749"/>
      <c r="I140" s="377"/>
      <c r="J140" s="377"/>
      <c r="K140" s="750"/>
      <c r="L140" s="750"/>
      <c r="M140" s="377"/>
      <c r="N140" s="377"/>
      <c r="O140" s="750"/>
      <c r="P140" s="750"/>
      <c r="Q140" s="377"/>
      <c r="R140" s="377"/>
      <c r="S140" s="750"/>
      <c r="T140" s="750"/>
      <c r="U140" s="377"/>
      <c r="V140" s="377"/>
      <c r="W140" s="750"/>
      <c r="X140" s="750"/>
      <c r="Y140" s="377"/>
      <c r="Z140" s="377"/>
      <c r="AA140" s="750"/>
      <c r="AB140" s="750"/>
      <c r="AC140" s="377"/>
      <c r="AD140" s="377"/>
      <c r="AE140" s="750"/>
      <c r="AF140" s="750"/>
      <c r="AG140" s="377"/>
      <c r="AH140" s="377"/>
      <c r="AI140" s="750"/>
      <c r="AJ140" s="377"/>
      <c r="AK140" s="377"/>
      <c r="AL140" s="750"/>
      <c r="AM140" s="750"/>
      <c r="AN140" s="377"/>
      <c r="AO140" s="377"/>
      <c r="AP140" s="750"/>
      <c r="AQ140" s="750"/>
      <c r="AR140" s="750"/>
      <c r="AS140" s="750"/>
      <c r="AT140" s="750"/>
      <c r="AU140" s="750"/>
      <c r="AV140" s="377"/>
      <c r="AW140" s="377"/>
      <c r="AX140" s="750"/>
      <c r="AY140" s="750"/>
      <c r="AZ140" s="377"/>
      <c r="BA140" s="377"/>
      <c r="BB140" s="750"/>
      <c r="BC140" s="750"/>
      <c r="BD140" s="377"/>
      <c r="BE140" s="377"/>
      <c r="BF140" s="750"/>
      <c r="BG140" s="750"/>
      <c r="BH140" s="377"/>
      <c r="BI140" s="377"/>
      <c r="BJ140" s="750"/>
      <c r="BK140" s="750"/>
      <c r="BL140" s="377"/>
      <c r="BM140" s="376"/>
      <c r="BN140" s="750"/>
      <c r="BO140" s="750"/>
      <c r="BP140" s="377"/>
      <c r="BQ140" s="377"/>
      <c r="BR140" s="750"/>
      <c r="BS140" s="750"/>
      <c r="BT140" s="377"/>
      <c r="BU140" s="377"/>
      <c r="BV140" s="750"/>
      <c r="BW140" s="750"/>
      <c r="BX140" s="377"/>
      <c r="BY140" s="377"/>
      <c r="BZ140" s="750"/>
      <c r="CA140" s="750"/>
      <c r="CB140" s="377"/>
      <c r="CC140" s="377"/>
      <c r="CD140" s="750"/>
      <c r="CE140" s="750"/>
      <c r="CF140" s="377"/>
      <c r="CG140" s="377"/>
      <c r="CH140" s="750"/>
      <c r="CI140" s="750"/>
      <c r="CJ140" s="377"/>
      <c r="CK140" s="377"/>
      <c r="CL140" s="750"/>
      <c r="CM140" s="386"/>
      <c r="CN140" s="751"/>
      <c r="CO140" s="751"/>
      <c r="CP140" s="751"/>
      <c r="CQ140" s="751"/>
      <c r="CR140" s="374"/>
      <c r="CS140" s="374"/>
      <c r="CT140" s="744"/>
      <c r="CU140" s="745"/>
      <c r="CV140" s="373"/>
      <c r="CW140" s="373"/>
      <c r="CX140" s="744"/>
      <c r="CY140" s="745"/>
      <c r="CZ140" s="373"/>
      <c r="DA140" s="373"/>
      <c r="DB140" s="744"/>
      <c r="DC140" s="745"/>
      <c r="DG140" s="746"/>
      <c r="DH140" s="746"/>
      <c r="DI140" s="746"/>
      <c r="DJ140" s="747"/>
      <c r="DK140" s="718"/>
      <c r="DL140" s="718"/>
    </row>
    <row r="141" spans="1:16384" ht="16.5" customHeight="1">
      <c r="A141" s="786"/>
      <c r="B141" s="770" t="s">
        <v>902</v>
      </c>
      <c r="C141" s="787" t="s">
        <v>903</v>
      </c>
      <c r="D141" s="786">
        <v>0</v>
      </c>
      <c r="E141" s="786">
        <v>0</v>
      </c>
      <c r="F141" s="783">
        <f t="shared" si="111"/>
        <v>0.70199999999999996</v>
      </c>
      <c r="G141" s="749">
        <f t="shared" si="138"/>
        <v>0.70199999999999996</v>
      </c>
      <c r="H141" s="786">
        <v>0</v>
      </c>
      <c r="I141" s="786"/>
      <c r="J141" s="786"/>
      <c r="K141" s="786"/>
      <c r="L141" s="786"/>
      <c r="M141" s="786"/>
      <c r="N141" s="786"/>
      <c r="O141" s="786"/>
      <c r="P141" s="786"/>
      <c r="Q141" s="786"/>
      <c r="R141" s="786"/>
      <c r="S141" s="786"/>
      <c r="T141" s="786"/>
      <c r="U141" s="786"/>
      <c r="V141" s="786"/>
      <c r="W141" s="786"/>
      <c r="X141" s="786"/>
      <c r="Y141" s="786"/>
      <c r="Z141" s="786"/>
      <c r="AA141" s="786"/>
      <c r="AB141" s="786"/>
      <c r="AC141" s="786"/>
      <c r="AD141" s="786"/>
      <c r="AE141" s="786"/>
      <c r="AF141" s="786"/>
      <c r="AG141" s="786"/>
      <c r="AH141" s="786"/>
      <c r="AI141" s="786"/>
      <c r="AJ141" s="786"/>
      <c r="AK141" s="786"/>
      <c r="AL141" s="786"/>
      <c r="AM141" s="786"/>
      <c r="AN141" s="786"/>
      <c r="AO141" s="786"/>
      <c r="AP141" s="786"/>
      <c r="AQ141" s="786"/>
      <c r="AR141" s="786"/>
      <c r="AS141" s="786"/>
      <c r="AT141" s="786"/>
      <c r="AU141" s="786"/>
      <c r="AV141" s="786"/>
      <c r="AW141" s="786"/>
      <c r="AX141" s="786"/>
      <c r="AY141" s="786"/>
      <c r="AZ141" s="786"/>
      <c r="BA141" s="786"/>
      <c r="BB141" s="786"/>
      <c r="BC141" s="786"/>
      <c r="BD141" s="786"/>
      <c r="BE141" s="786"/>
      <c r="BF141" s="786"/>
      <c r="BG141" s="786"/>
      <c r="BH141" s="786"/>
      <c r="BI141" s="786"/>
      <c r="BJ141" s="786"/>
      <c r="BK141" s="786"/>
      <c r="BL141" s="786"/>
      <c r="BM141" s="786"/>
      <c r="BN141" s="786"/>
      <c r="BO141" s="786"/>
      <c r="BP141" s="786"/>
      <c r="BQ141" s="786">
        <v>0.70199999999999996</v>
      </c>
      <c r="BR141" s="786"/>
      <c r="BS141" s="786"/>
      <c r="BT141" s="786"/>
      <c r="BU141" s="786"/>
      <c r="BV141" s="786"/>
      <c r="BW141" s="786"/>
      <c r="BX141" s="786"/>
      <c r="BY141" s="786"/>
      <c r="BZ141" s="786"/>
      <c r="CA141" s="786"/>
      <c r="CB141" s="786"/>
      <c r="CC141" s="786"/>
      <c r="CD141" s="786"/>
      <c r="CE141" s="786"/>
      <c r="CF141" s="786"/>
      <c r="CG141" s="786"/>
      <c r="CH141" s="786"/>
      <c r="CI141" s="786"/>
      <c r="CJ141" s="786"/>
      <c r="CK141" s="786"/>
      <c r="CL141" s="786"/>
      <c r="CM141" s="786"/>
      <c r="CN141" s="786"/>
      <c r="CO141" s="786"/>
      <c r="CP141" s="786"/>
      <c r="CQ141" s="786"/>
      <c r="CR141" s="786"/>
      <c r="CS141" s="786"/>
      <c r="CT141" s="786"/>
      <c r="CU141" s="786"/>
      <c r="CV141" s="786"/>
      <c r="CW141" s="786"/>
      <c r="CX141" s="786"/>
      <c r="CY141" s="786"/>
      <c r="CZ141" s="786"/>
      <c r="DA141" s="786"/>
      <c r="DB141" s="786"/>
      <c r="DC141" s="786"/>
      <c r="DD141" s="786"/>
      <c r="DE141" s="786"/>
      <c r="DF141" s="786"/>
      <c r="DG141" s="786"/>
      <c r="DH141" s="786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  <c r="GG141" s="786"/>
      <c r="GH141" s="786"/>
      <c r="GI141" s="786"/>
      <c r="GJ141" s="786"/>
      <c r="GK141" s="786"/>
      <c r="GL141" s="786"/>
      <c r="GM141" s="786"/>
      <c r="GN141" s="786"/>
      <c r="GO141" s="786"/>
      <c r="GP141" s="786"/>
      <c r="GQ141" s="786"/>
      <c r="GR141" s="786"/>
      <c r="GS141" s="786"/>
      <c r="GT141" s="786"/>
      <c r="GU141" s="786"/>
      <c r="GV141" s="786"/>
      <c r="GW141" s="786"/>
      <c r="GX141" s="786"/>
      <c r="GY141" s="786"/>
      <c r="GZ141" s="786"/>
      <c r="HA141" s="786"/>
      <c r="HB141" s="786"/>
      <c r="HC141" s="786"/>
      <c r="HD141" s="786"/>
      <c r="HE141" s="786"/>
      <c r="HF141" s="786"/>
      <c r="HG141" s="786"/>
      <c r="HH141" s="786"/>
      <c r="HI141" s="786"/>
      <c r="HJ141" s="786"/>
      <c r="HK141" s="786"/>
      <c r="HL141" s="786"/>
      <c r="HM141" s="786"/>
      <c r="HN141" s="786"/>
      <c r="HO141" s="786"/>
      <c r="HP141" s="786"/>
      <c r="HQ141" s="786"/>
      <c r="HR141" s="786"/>
      <c r="HS141" s="786"/>
      <c r="HT141" s="786"/>
      <c r="HU141" s="786"/>
      <c r="HV141" s="786"/>
      <c r="HW141" s="786"/>
      <c r="HX141" s="786"/>
      <c r="HY141" s="786"/>
      <c r="HZ141" s="786"/>
      <c r="IA141" s="786"/>
      <c r="IB141" s="786"/>
      <c r="IC141" s="786"/>
      <c r="ID141" s="786"/>
      <c r="IE141" s="786"/>
      <c r="IF141" s="786"/>
      <c r="IG141" s="786"/>
      <c r="IH141" s="786"/>
      <c r="II141" s="786"/>
      <c r="IJ141" s="786"/>
      <c r="IK141" s="786"/>
      <c r="IL141" s="786"/>
      <c r="IM141" s="786"/>
      <c r="IN141" s="786"/>
      <c r="IO141" s="786"/>
      <c r="IP141" s="786"/>
      <c r="IQ141" s="786"/>
      <c r="IR141" s="786"/>
      <c r="IS141" s="786"/>
      <c r="IT141" s="786"/>
      <c r="IU141" s="786"/>
      <c r="IV141" s="786"/>
      <c r="IW141" s="786"/>
      <c r="IX141" s="786"/>
      <c r="IY141" s="786"/>
      <c r="IZ141" s="786"/>
      <c r="JA141" s="786"/>
      <c r="JB141" s="786"/>
      <c r="JC141" s="786"/>
      <c r="JD141" s="786"/>
      <c r="JE141" s="786"/>
      <c r="JF141" s="786"/>
      <c r="JG141" s="786"/>
      <c r="JH141" s="786"/>
      <c r="JI141" s="786"/>
      <c r="JJ141" s="786"/>
      <c r="JK141" s="786"/>
      <c r="JL141" s="786"/>
      <c r="JM141" s="786"/>
      <c r="JN141" s="786"/>
      <c r="JO141" s="786"/>
      <c r="JP141" s="786"/>
      <c r="JQ141" s="786"/>
      <c r="JR141" s="786"/>
      <c r="JS141" s="786"/>
      <c r="JT141" s="786"/>
      <c r="JU141" s="786"/>
      <c r="JV141" s="786"/>
      <c r="JW141" s="786"/>
      <c r="JX141" s="786"/>
      <c r="JY141" s="786"/>
      <c r="JZ141" s="786"/>
      <c r="KA141" s="786"/>
      <c r="KB141" s="786"/>
      <c r="KC141" s="786"/>
      <c r="KD141" s="786"/>
      <c r="KE141" s="786"/>
      <c r="KF141" s="786"/>
      <c r="KG141" s="786"/>
      <c r="KH141" s="786"/>
      <c r="KI141" s="786"/>
      <c r="KJ141" s="786"/>
      <c r="KK141" s="786"/>
      <c r="KL141" s="786"/>
      <c r="KM141" s="786"/>
      <c r="KN141" s="786"/>
      <c r="KO141" s="786"/>
      <c r="KP141" s="786"/>
      <c r="KQ141" s="786"/>
      <c r="KR141" s="786"/>
      <c r="KS141" s="786"/>
      <c r="KT141" s="786"/>
      <c r="KU141" s="786"/>
      <c r="KV141" s="786"/>
      <c r="KW141" s="786"/>
      <c r="KX141" s="786"/>
      <c r="KY141" s="786"/>
      <c r="KZ141" s="786"/>
      <c r="LA141" s="786"/>
      <c r="LB141" s="786"/>
      <c r="LC141" s="786"/>
      <c r="LD141" s="786"/>
      <c r="LE141" s="786"/>
      <c r="LF141" s="786"/>
      <c r="LG141" s="786"/>
      <c r="LH141" s="786"/>
      <c r="LI141" s="786"/>
      <c r="LJ141" s="786"/>
      <c r="LK141" s="786"/>
      <c r="LL141" s="786"/>
      <c r="LM141" s="786"/>
      <c r="LN141" s="786"/>
      <c r="LO141" s="786"/>
      <c r="LP141" s="786"/>
      <c r="LQ141" s="786"/>
      <c r="LR141" s="786"/>
      <c r="LS141" s="786"/>
      <c r="LT141" s="786"/>
      <c r="LU141" s="786"/>
      <c r="LV141" s="786"/>
      <c r="LW141" s="786"/>
      <c r="LX141" s="786"/>
      <c r="LY141" s="786"/>
      <c r="LZ141" s="786"/>
      <c r="MA141" s="786"/>
      <c r="MB141" s="786"/>
      <c r="MC141" s="786"/>
      <c r="MD141" s="786"/>
      <c r="ME141" s="786"/>
      <c r="MF141" s="786"/>
      <c r="MG141" s="786"/>
      <c r="MH141" s="786"/>
      <c r="MI141" s="786"/>
      <c r="MJ141" s="786"/>
      <c r="MK141" s="786"/>
      <c r="ML141" s="786"/>
      <c r="MM141" s="786"/>
      <c r="MN141" s="786"/>
      <c r="MO141" s="786"/>
      <c r="MP141" s="786"/>
      <c r="MQ141" s="786"/>
      <c r="MR141" s="786"/>
      <c r="MS141" s="786"/>
      <c r="MT141" s="786"/>
      <c r="MU141" s="786"/>
      <c r="MV141" s="786"/>
      <c r="MW141" s="786"/>
      <c r="MX141" s="786"/>
      <c r="MY141" s="786"/>
      <c r="MZ141" s="786"/>
      <c r="NA141" s="786"/>
      <c r="NB141" s="786"/>
      <c r="NC141" s="786"/>
      <c r="ND141" s="786"/>
      <c r="NE141" s="786"/>
      <c r="NF141" s="786"/>
      <c r="NG141" s="786"/>
      <c r="NH141" s="786"/>
      <c r="NI141" s="786"/>
      <c r="NJ141" s="786"/>
      <c r="NK141" s="786"/>
      <c r="NL141" s="786"/>
      <c r="NM141" s="786"/>
      <c r="NN141" s="786"/>
      <c r="NO141" s="786"/>
      <c r="NP141" s="786"/>
      <c r="NQ141" s="786"/>
      <c r="NR141" s="786"/>
      <c r="NS141" s="786"/>
      <c r="NT141" s="786"/>
      <c r="NU141" s="786"/>
      <c r="NV141" s="786"/>
      <c r="NW141" s="786"/>
      <c r="NX141" s="786"/>
      <c r="NY141" s="786"/>
      <c r="NZ141" s="786"/>
      <c r="OA141" s="786"/>
      <c r="OB141" s="786"/>
      <c r="OC141" s="786"/>
      <c r="OD141" s="786"/>
      <c r="OE141" s="786"/>
      <c r="OF141" s="786"/>
      <c r="OG141" s="786"/>
      <c r="OH141" s="786"/>
      <c r="OI141" s="786"/>
      <c r="OJ141" s="786"/>
      <c r="OK141" s="786"/>
      <c r="OL141" s="786"/>
      <c r="OM141" s="786"/>
      <c r="ON141" s="786"/>
      <c r="OO141" s="786"/>
      <c r="OP141" s="786"/>
      <c r="OQ141" s="786"/>
      <c r="OR141" s="786"/>
      <c r="OS141" s="786"/>
      <c r="OT141" s="786"/>
      <c r="OU141" s="786"/>
      <c r="OV141" s="786"/>
      <c r="OW141" s="786"/>
      <c r="OX141" s="786"/>
      <c r="OY141" s="786"/>
      <c r="OZ141" s="786"/>
      <c r="PA141" s="786"/>
      <c r="PB141" s="786"/>
      <c r="PC141" s="786"/>
      <c r="PD141" s="786"/>
      <c r="PE141" s="786"/>
      <c r="PF141" s="786"/>
      <c r="PG141" s="786"/>
      <c r="PH141" s="786"/>
      <c r="PI141" s="786"/>
      <c r="PJ141" s="786"/>
      <c r="PK141" s="786"/>
      <c r="PL141" s="786"/>
      <c r="PM141" s="786"/>
      <c r="PN141" s="786"/>
      <c r="PO141" s="786"/>
      <c r="PP141" s="786"/>
      <c r="PQ141" s="786"/>
      <c r="PR141" s="786"/>
      <c r="PS141" s="786"/>
      <c r="PT141" s="786"/>
      <c r="PU141" s="786"/>
      <c r="PV141" s="786"/>
      <c r="PW141" s="786"/>
      <c r="PX141" s="786"/>
      <c r="PY141" s="786"/>
      <c r="PZ141" s="786"/>
      <c r="QA141" s="786"/>
      <c r="QB141" s="786"/>
      <c r="QC141" s="786"/>
      <c r="QD141" s="786"/>
      <c r="QE141" s="786"/>
      <c r="QF141" s="786"/>
      <c r="QG141" s="786"/>
      <c r="QH141" s="786"/>
      <c r="QI141" s="786"/>
      <c r="QJ141" s="786"/>
      <c r="QK141" s="786"/>
      <c r="QL141" s="786"/>
      <c r="QM141" s="786"/>
      <c r="QN141" s="786"/>
      <c r="QO141" s="786"/>
      <c r="QP141" s="786"/>
      <c r="QQ141" s="786"/>
      <c r="QR141" s="786"/>
      <c r="QS141" s="786"/>
      <c r="QT141" s="786"/>
      <c r="QU141" s="786"/>
      <c r="QV141" s="786"/>
      <c r="QW141" s="786"/>
      <c r="QX141" s="786"/>
      <c r="QY141" s="786"/>
      <c r="QZ141" s="786"/>
      <c r="RA141" s="786"/>
      <c r="RB141" s="786"/>
      <c r="RC141" s="786"/>
      <c r="RD141" s="786"/>
      <c r="RE141" s="786"/>
      <c r="RF141" s="786"/>
      <c r="RG141" s="786"/>
      <c r="RH141" s="786"/>
      <c r="RI141" s="786"/>
      <c r="RJ141" s="786"/>
      <c r="RK141" s="786"/>
      <c r="RL141" s="786"/>
      <c r="RM141" s="786"/>
      <c r="RN141" s="786"/>
      <c r="RO141" s="786"/>
      <c r="RP141" s="786"/>
      <c r="RQ141" s="786"/>
      <c r="RR141" s="786"/>
      <c r="RS141" s="786"/>
      <c r="RT141" s="786"/>
      <c r="RU141" s="786"/>
      <c r="RV141" s="786"/>
      <c r="RW141" s="786"/>
      <c r="RX141" s="786"/>
      <c r="RY141" s="786"/>
      <c r="RZ141" s="786"/>
      <c r="SA141" s="786"/>
      <c r="SB141" s="786"/>
      <c r="SC141" s="786"/>
      <c r="SD141" s="786"/>
      <c r="SE141" s="786"/>
      <c r="SF141" s="786"/>
      <c r="SG141" s="786"/>
      <c r="SH141" s="786"/>
      <c r="SI141" s="786"/>
      <c r="SJ141" s="786"/>
      <c r="SK141" s="786"/>
      <c r="SL141" s="786"/>
      <c r="SM141" s="786"/>
      <c r="SN141" s="786"/>
      <c r="SO141" s="786"/>
      <c r="SP141" s="786"/>
      <c r="SQ141" s="786"/>
      <c r="SR141" s="786"/>
      <c r="SS141" s="786"/>
      <c r="ST141" s="786"/>
      <c r="SU141" s="786"/>
      <c r="SV141" s="786"/>
      <c r="SW141" s="786"/>
      <c r="SX141" s="786"/>
      <c r="SY141" s="786"/>
      <c r="SZ141" s="786"/>
      <c r="TA141" s="786"/>
      <c r="TB141" s="786"/>
      <c r="TC141" s="786"/>
      <c r="TD141" s="786"/>
      <c r="TE141" s="786"/>
      <c r="TF141" s="786"/>
      <c r="TG141" s="786"/>
      <c r="TH141" s="786"/>
      <c r="TI141" s="786"/>
      <c r="TJ141" s="786"/>
      <c r="TK141" s="786"/>
      <c r="TL141" s="786"/>
      <c r="TM141" s="786"/>
      <c r="TN141" s="786"/>
      <c r="TO141" s="786"/>
      <c r="TP141" s="786"/>
      <c r="TQ141" s="786"/>
      <c r="TR141" s="786"/>
      <c r="TS141" s="786"/>
      <c r="TT141" s="786"/>
      <c r="TU141" s="786"/>
      <c r="TV141" s="786"/>
      <c r="TW141" s="786"/>
      <c r="TX141" s="786"/>
      <c r="TY141" s="786"/>
      <c r="TZ141" s="786"/>
      <c r="UA141" s="786"/>
      <c r="UB141" s="786"/>
      <c r="UC141" s="786"/>
      <c r="UD141" s="786"/>
      <c r="UE141" s="786"/>
      <c r="UF141" s="786"/>
      <c r="UG141" s="786"/>
      <c r="UH141" s="786"/>
      <c r="UI141" s="786"/>
      <c r="UJ141" s="786"/>
      <c r="UK141" s="786"/>
      <c r="UL141" s="786"/>
      <c r="UM141" s="786"/>
      <c r="UN141" s="786"/>
      <c r="UO141" s="786"/>
      <c r="UP141" s="786"/>
      <c r="UQ141" s="786"/>
      <c r="UR141" s="786"/>
      <c r="US141" s="786"/>
      <c r="UT141" s="786"/>
      <c r="UU141" s="786"/>
      <c r="UV141" s="786"/>
      <c r="UW141" s="786"/>
      <c r="UX141" s="786"/>
      <c r="UY141" s="786"/>
      <c r="UZ141" s="786"/>
      <c r="VA141" s="786"/>
      <c r="VB141" s="786"/>
      <c r="VC141" s="786"/>
      <c r="VD141" s="786"/>
      <c r="VE141" s="786"/>
      <c r="VF141" s="786"/>
      <c r="VG141" s="786"/>
      <c r="VH141" s="786"/>
      <c r="VI141" s="786"/>
      <c r="VJ141" s="786"/>
      <c r="VK141" s="786"/>
      <c r="VL141" s="786"/>
      <c r="VM141" s="786"/>
      <c r="VN141" s="786"/>
      <c r="VO141" s="786"/>
      <c r="VP141" s="786"/>
      <c r="VQ141" s="786"/>
      <c r="VR141" s="786"/>
      <c r="VS141" s="786"/>
      <c r="VT141" s="786"/>
      <c r="VU141" s="786"/>
      <c r="VV141" s="786"/>
      <c r="VW141" s="786"/>
      <c r="VX141" s="786"/>
      <c r="VY141" s="786"/>
      <c r="VZ141" s="786"/>
      <c r="WA141" s="786"/>
      <c r="WB141" s="786"/>
      <c r="WC141" s="786"/>
      <c r="WD141" s="786"/>
      <c r="WE141" s="786"/>
      <c r="WF141" s="786"/>
      <c r="WG141" s="786"/>
      <c r="WH141" s="786"/>
      <c r="WI141" s="786"/>
      <c r="WJ141" s="786"/>
      <c r="WK141" s="786"/>
      <c r="WL141" s="786"/>
      <c r="WM141" s="786"/>
      <c r="WN141" s="786"/>
      <c r="WO141" s="786"/>
      <c r="WP141" s="786"/>
      <c r="WQ141" s="786"/>
      <c r="WR141" s="786"/>
      <c r="WS141" s="786"/>
      <c r="WT141" s="786"/>
      <c r="WU141" s="786"/>
      <c r="WV141" s="786"/>
      <c r="WW141" s="786"/>
      <c r="WX141" s="786"/>
      <c r="WY141" s="786"/>
      <c r="WZ141" s="786"/>
      <c r="XA141" s="786"/>
      <c r="XB141" s="786"/>
      <c r="XC141" s="786"/>
      <c r="XD141" s="786"/>
      <c r="XE141" s="786"/>
      <c r="XF141" s="786"/>
      <c r="XG141" s="786"/>
      <c r="XH141" s="786"/>
      <c r="XI141" s="786"/>
      <c r="XJ141" s="786"/>
      <c r="XK141" s="786"/>
      <c r="XL141" s="786"/>
      <c r="XM141" s="786"/>
      <c r="XN141" s="786"/>
      <c r="XO141" s="786"/>
      <c r="XP141" s="786"/>
      <c r="XQ141" s="786"/>
      <c r="XR141" s="786"/>
      <c r="XS141" s="786"/>
      <c r="XT141" s="786"/>
      <c r="XU141" s="786"/>
      <c r="XV141" s="786"/>
      <c r="XW141" s="786"/>
      <c r="XX141" s="786"/>
      <c r="XY141" s="786"/>
      <c r="XZ141" s="786"/>
      <c r="YA141" s="786"/>
      <c r="YB141" s="786"/>
      <c r="YC141" s="786"/>
      <c r="YD141" s="786"/>
      <c r="YE141" s="786"/>
      <c r="YF141" s="786"/>
      <c r="YG141" s="786"/>
      <c r="YH141" s="786"/>
      <c r="YI141" s="786"/>
      <c r="YJ141" s="786"/>
      <c r="YK141" s="786"/>
      <c r="YL141" s="786"/>
      <c r="YM141" s="786"/>
      <c r="YN141" s="786"/>
      <c r="YO141" s="786"/>
      <c r="YP141" s="786"/>
      <c r="YQ141" s="786"/>
      <c r="YR141" s="786"/>
      <c r="YS141" s="786"/>
      <c r="YT141" s="786"/>
      <c r="YU141" s="786"/>
      <c r="YV141" s="786"/>
      <c r="YW141" s="786"/>
      <c r="YX141" s="786"/>
      <c r="YY141" s="786"/>
      <c r="YZ141" s="786"/>
      <c r="ZA141" s="786"/>
      <c r="ZB141" s="786"/>
      <c r="ZC141" s="786"/>
      <c r="ZD141" s="786"/>
      <c r="ZE141" s="786"/>
      <c r="ZF141" s="786"/>
      <c r="ZG141" s="786"/>
      <c r="ZH141" s="786"/>
      <c r="ZI141" s="786"/>
      <c r="ZJ141" s="786"/>
      <c r="ZK141" s="786"/>
      <c r="ZL141" s="786"/>
      <c r="ZM141" s="786"/>
      <c r="ZN141" s="786"/>
      <c r="ZO141" s="786"/>
      <c r="ZP141" s="786"/>
      <c r="ZQ141" s="786"/>
      <c r="ZR141" s="786"/>
      <c r="ZS141" s="786"/>
      <c r="ZT141" s="786"/>
      <c r="ZU141" s="786"/>
      <c r="ZV141" s="786"/>
      <c r="ZW141" s="786"/>
      <c r="ZX141" s="786"/>
      <c r="ZY141" s="786"/>
      <c r="ZZ141" s="786"/>
      <c r="AAA141" s="786"/>
      <c r="AAB141" s="786"/>
      <c r="AAC141" s="786"/>
      <c r="AAD141" s="786"/>
      <c r="AAE141" s="786"/>
      <c r="AAF141" s="786"/>
      <c r="AAG141" s="786"/>
      <c r="AAH141" s="786"/>
      <c r="AAI141" s="786"/>
      <c r="AAJ141" s="786"/>
      <c r="AAK141" s="786"/>
      <c r="AAL141" s="786"/>
      <c r="AAM141" s="786"/>
      <c r="AAN141" s="786"/>
      <c r="AAO141" s="786"/>
      <c r="AAP141" s="786"/>
      <c r="AAQ141" s="786"/>
      <c r="AAR141" s="786"/>
      <c r="AAS141" s="786"/>
      <c r="AAT141" s="786"/>
      <c r="AAU141" s="786"/>
      <c r="AAV141" s="786"/>
      <c r="AAW141" s="786"/>
      <c r="AAX141" s="786"/>
      <c r="AAY141" s="786"/>
      <c r="AAZ141" s="786"/>
      <c r="ABA141" s="786"/>
      <c r="ABB141" s="786"/>
      <c r="ABC141" s="786"/>
      <c r="ABD141" s="786"/>
      <c r="ABE141" s="786"/>
      <c r="ABF141" s="786"/>
      <c r="ABG141" s="786"/>
      <c r="ABH141" s="786"/>
      <c r="ABI141" s="786"/>
      <c r="ABJ141" s="786"/>
      <c r="ABK141" s="786"/>
      <c r="ABL141" s="786"/>
      <c r="ABM141" s="786"/>
      <c r="ABN141" s="786"/>
      <c r="ABO141" s="786"/>
      <c r="ABP141" s="786"/>
      <c r="ABQ141" s="786"/>
      <c r="ABR141" s="786"/>
      <c r="ABS141" s="786"/>
      <c r="ABT141" s="786"/>
      <c r="ABU141" s="786"/>
      <c r="ABV141" s="786"/>
      <c r="ABW141" s="786"/>
      <c r="ABX141" s="786"/>
      <c r="ABY141" s="786"/>
      <c r="ABZ141" s="786"/>
      <c r="ACA141" s="786"/>
      <c r="ACB141" s="786"/>
      <c r="ACC141" s="786"/>
      <c r="ACD141" s="786"/>
      <c r="ACE141" s="786"/>
      <c r="ACF141" s="786"/>
      <c r="ACG141" s="786"/>
      <c r="ACH141" s="786"/>
      <c r="ACI141" s="786"/>
      <c r="ACJ141" s="786"/>
      <c r="ACK141" s="786"/>
      <c r="ACL141" s="786"/>
      <c r="ACM141" s="786"/>
      <c r="ACN141" s="786"/>
      <c r="ACO141" s="786"/>
      <c r="ACP141" s="786"/>
      <c r="ACQ141" s="786"/>
      <c r="ACR141" s="786"/>
      <c r="ACS141" s="786"/>
      <c r="ACT141" s="786"/>
      <c r="ACU141" s="786"/>
      <c r="ACV141" s="786"/>
      <c r="ACW141" s="786"/>
      <c r="ACX141" s="786"/>
      <c r="ACY141" s="786"/>
      <c r="ACZ141" s="786"/>
      <c r="ADA141" s="786"/>
      <c r="ADB141" s="786"/>
      <c r="ADC141" s="786"/>
      <c r="ADD141" s="786"/>
      <c r="ADE141" s="786"/>
      <c r="ADF141" s="786"/>
      <c r="ADG141" s="786"/>
      <c r="ADH141" s="786"/>
      <c r="ADI141" s="786"/>
      <c r="ADJ141" s="786"/>
      <c r="ADK141" s="786"/>
      <c r="ADL141" s="786"/>
      <c r="ADM141" s="786"/>
      <c r="ADN141" s="786"/>
      <c r="ADO141" s="786"/>
      <c r="ADP141" s="786"/>
      <c r="ADQ141" s="786"/>
      <c r="ADR141" s="786"/>
      <c r="ADS141" s="786"/>
      <c r="ADT141" s="786"/>
      <c r="ADU141" s="786"/>
      <c r="ADV141" s="786"/>
      <c r="ADW141" s="786"/>
      <c r="ADX141" s="786"/>
      <c r="ADY141" s="786"/>
      <c r="ADZ141" s="786"/>
      <c r="AEA141" s="786"/>
      <c r="AEB141" s="786"/>
      <c r="AEC141" s="786"/>
      <c r="AED141" s="786"/>
      <c r="AEE141" s="786"/>
      <c r="AEF141" s="786"/>
      <c r="AEG141" s="786"/>
      <c r="AEH141" s="786"/>
      <c r="AEI141" s="786"/>
      <c r="AEJ141" s="786"/>
      <c r="AEK141" s="786"/>
      <c r="AEL141" s="786"/>
      <c r="AEM141" s="786"/>
      <c r="AEN141" s="786"/>
      <c r="AEO141" s="786"/>
      <c r="AEP141" s="786"/>
      <c r="AEQ141" s="786"/>
      <c r="AER141" s="786"/>
      <c r="AES141" s="786"/>
      <c r="AET141" s="786"/>
      <c r="AEU141" s="786"/>
      <c r="AEV141" s="786"/>
      <c r="AEW141" s="786"/>
      <c r="AEX141" s="786"/>
      <c r="AEY141" s="786"/>
      <c r="AEZ141" s="786"/>
      <c r="AFA141" s="786"/>
      <c r="AFB141" s="786"/>
      <c r="AFC141" s="786"/>
      <c r="AFD141" s="786"/>
      <c r="AFE141" s="786"/>
      <c r="AFF141" s="786"/>
      <c r="AFG141" s="786"/>
      <c r="AFH141" s="786"/>
      <c r="AFI141" s="786"/>
      <c r="AFJ141" s="786"/>
      <c r="AFK141" s="786"/>
      <c r="AFL141" s="786"/>
      <c r="AFM141" s="786"/>
      <c r="AFN141" s="786"/>
      <c r="AFO141" s="786"/>
      <c r="AFP141" s="786"/>
      <c r="AFQ141" s="786"/>
      <c r="AFR141" s="786"/>
      <c r="AFS141" s="786"/>
      <c r="AFT141" s="786"/>
      <c r="AFU141" s="786"/>
      <c r="AFV141" s="786"/>
      <c r="AFW141" s="786"/>
      <c r="AFX141" s="786"/>
      <c r="AFY141" s="786"/>
      <c r="AFZ141" s="786"/>
      <c r="AGA141" s="786"/>
      <c r="AGB141" s="786"/>
      <c r="AGC141" s="786"/>
      <c r="AGD141" s="786"/>
      <c r="AGE141" s="786"/>
      <c r="AGF141" s="786"/>
      <c r="AGG141" s="786"/>
      <c r="AGH141" s="786"/>
      <c r="AGI141" s="786"/>
      <c r="AGJ141" s="786"/>
      <c r="AGK141" s="786"/>
      <c r="AGL141" s="786"/>
      <c r="AGM141" s="786"/>
      <c r="AGN141" s="786"/>
      <c r="AGO141" s="786"/>
      <c r="AGP141" s="786"/>
      <c r="AGQ141" s="786"/>
      <c r="AGR141" s="786"/>
      <c r="AGS141" s="786"/>
      <c r="AGT141" s="786"/>
      <c r="AGU141" s="786"/>
      <c r="AGV141" s="786"/>
      <c r="AGW141" s="786"/>
      <c r="AGX141" s="786"/>
      <c r="AGY141" s="786"/>
      <c r="AGZ141" s="786"/>
      <c r="AHA141" s="786"/>
      <c r="AHB141" s="786"/>
      <c r="AHC141" s="786"/>
      <c r="AHD141" s="786"/>
      <c r="AHE141" s="786"/>
      <c r="AHF141" s="786"/>
      <c r="AHG141" s="786"/>
      <c r="AHH141" s="786"/>
      <c r="AHI141" s="786"/>
      <c r="AHJ141" s="786"/>
      <c r="AHK141" s="786"/>
      <c r="AHL141" s="786"/>
      <c r="AHM141" s="786"/>
      <c r="AHN141" s="786"/>
      <c r="AHO141" s="786"/>
      <c r="AHP141" s="786"/>
      <c r="AHQ141" s="786"/>
      <c r="AHR141" s="786"/>
      <c r="AHS141" s="786"/>
      <c r="AHT141" s="786"/>
      <c r="AHU141" s="786"/>
      <c r="AHV141" s="786"/>
      <c r="AHW141" s="786"/>
      <c r="AHX141" s="786"/>
      <c r="AHY141" s="786"/>
      <c r="AHZ141" s="786"/>
      <c r="AIA141" s="786"/>
      <c r="AIB141" s="786"/>
      <c r="AIC141" s="786"/>
      <c r="AID141" s="786"/>
      <c r="AIE141" s="786"/>
      <c r="AIF141" s="786"/>
      <c r="AIG141" s="786"/>
      <c r="AIH141" s="786"/>
      <c r="AII141" s="786"/>
      <c r="AIJ141" s="786"/>
      <c r="AIK141" s="786"/>
      <c r="AIL141" s="786"/>
      <c r="AIM141" s="786"/>
      <c r="AIN141" s="786"/>
      <c r="AIO141" s="786"/>
      <c r="AIP141" s="786"/>
      <c r="AIQ141" s="786"/>
      <c r="AIR141" s="786"/>
      <c r="AIS141" s="786"/>
      <c r="AIT141" s="786"/>
      <c r="AIU141" s="786"/>
      <c r="AIV141" s="786"/>
      <c r="AIW141" s="786"/>
      <c r="AIX141" s="786"/>
      <c r="AIY141" s="786"/>
      <c r="AIZ141" s="786"/>
      <c r="AJA141" s="786"/>
      <c r="AJB141" s="786"/>
      <c r="AJC141" s="786"/>
      <c r="AJD141" s="786"/>
      <c r="AJE141" s="786"/>
      <c r="AJF141" s="786"/>
      <c r="AJG141" s="786"/>
      <c r="AJH141" s="786"/>
      <c r="AJI141" s="786"/>
      <c r="AJJ141" s="786"/>
      <c r="AJK141" s="786"/>
      <c r="AJL141" s="786"/>
      <c r="AJM141" s="786"/>
      <c r="AJN141" s="786"/>
      <c r="AJO141" s="786"/>
      <c r="AJP141" s="786"/>
      <c r="AJQ141" s="786"/>
      <c r="AJR141" s="786"/>
      <c r="AJS141" s="786"/>
      <c r="AJT141" s="786"/>
      <c r="AJU141" s="786"/>
      <c r="AJV141" s="786"/>
      <c r="AJW141" s="786"/>
      <c r="AJX141" s="786"/>
      <c r="AJY141" s="786"/>
      <c r="AJZ141" s="786"/>
      <c r="AKA141" s="786"/>
      <c r="AKB141" s="786"/>
      <c r="AKC141" s="786"/>
      <c r="AKD141" s="786"/>
      <c r="AKE141" s="786"/>
      <c r="AKF141" s="786"/>
      <c r="AKG141" s="786"/>
      <c r="AKH141" s="786"/>
      <c r="AKI141" s="786"/>
      <c r="AKJ141" s="786"/>
      <c r="AKK141" s="786"/>
      <c r="AKL141" s="786"/>
      <c r="AKM141" s="786"/>
      <c r="AKN141" s="786"/>
      <c r="AKO141" s="786"/>
      <c r="AKP141" s="786"/>
      <c r="AKQ141" s="786"/>
      <c r="AKR141" s="786"/>
      <c r="AKS141" s="786"/>
      <c r="AKT141" s="786"/>
      <c r="AKU141" s="786"/>
      <c r="AKV141" s="786"/>
      <c r="AKW141" s="786"/>
      <c r="AKX141" s="786"/>
      <c r="AKY141" s="786"/>
      <c r="AKZ141" s="786"/>
      <c r="ALA141" s="786"/>
      <c r="ALB141" s="786"/>
      <c r="ALC141" s="786"/>
      <c r="ALD141" s="786"/>
      <c r="ALE141" s="786"/>
      <c r="ALF141" s="786"/>
      <c r="ALG141" s="786"/>
      <c r="ALH141" s="786"/>
      <c r="ALI141" s="786"/>
      <c r="ALJ141" s="786"/>
      <c r="ALK141" s="786"/>
      <c r="ALL141" s="786"/>
      <c r="ALM141" s="786"/>
      <c r="ALN141" s="786"/>
      <c r="ALO141" s="786"/>
      <c r="ALP141" s="786"/>
      <c r="ALQ141" s="786"/>
      <c r="ALR141" s="786"/>
      <c r="ALS141" s="786"/>
      <c r="ALT141" s="786"/>
      <c r="ALU141" s="786"/>
      <c r="ALV141" s="786"/>
      <c r="ALW141" s="786"/>
      <c r="ALX141" s="786"/>
      <c r="ALY141" s="786"/>
      <c r="ALZ141" s="786"/>
      <c r="AMA141" s="786"/>
      <c r="AMB141" s="786"/>
      <c r="AMC141" s="786"/>
      <c r="AMD141" s="786"/>
      <c r="AME141" s="786"/>
      <c r="AMF141" s="786"/>
      <c r="AMG141" s="786"/>
      <c r="AMH141" s="786"/>
      <c r="AMI141" s="786"/>
      <c r="AMJ141" s="786"/>
      <c r="AMK141" s="786"/>
      <c r="AML141" s="786"/>
      <c r="AMM141" s="786"/>
      <c r="AMN141" s="786"/>
      <c r="AMO141" s="786"/>
      <c r="AMP141" s="786"/>
      <c r="AMQ141" s="786"/>
      <c r="AMR141" s="786"/>
      <c r="AMS141" s="786"/>
      <c r="AMT141" s="786"/>
      <c r="AMU141" s="786"/>
      <c r="AMV141" s="786"/>
      <c r="AMW141" s="786"/>
      <c r="AMX141" s="786"/>
      <c r="AMY141" s="786"/>
      <c r="AMZ141" s="786"/>
      <c r="ANA141" s="786"/>
      <c r="ANB141" s="786"/>
      <c r="ANC141" s="786"/>
      <c r="AND141" s="786"/>
      <c r="ANE141" s="786"/>
      <c r="ANF141" s="786"/>
      <c r="ANG141" s="786"/>
      <c r="ANH141" s="786"/>
      <c r="ANI141" s="786"/>
      <c r="ANJ141" s="786"/>
      <c r="ANK141" s="786"/>
      <c r="ANL141" s="786"/>
      <c r="ANM141" s="786"/>
      <c r="ANN141" s="786"/>
      <c r="ANO141" s="786"/>
      <c r="ANP141" s="786"/>
      <c r="ANQ141" s="786"/>
      <c r="ANR141" s="786"/>
      <c r="ANS141" s="786"/>
      <c r="ANT141" s="786"/>
      <c r="ANU141" s="786"/>
      <c r="ANV141" s="786"/>
      <c r="ANW141" s="786"/>
      <c r="ANX141" s="786"/>
      <c r="ANY141" s="786"/>
      <c r="ANZ141" s="786"/>
      <c r="AOA141" s="786"/>
      <c r="AOB141" s="786"/>
      <c r="AOC141" s="786"/>
      <c r="AOD141" s="786"/>
      <c r="AOE141" s="786"/>
      <c r="AOF141" s="786"/>
      <c r="AOG141" s="786"/>
      <c r="AOH141" s="786"/>
      <c r="AOI141" s="786"/>
      <c r="AOJ141" s="786"/>
      <c r="AOK141" s="786"/>
      <c r="AOL141" s="786"/>
      <c r="AOM141" s="786"/>
      <c r="AON141" s="786"/>
      <c r="AOO141" s="786"/>
      <c r="AOP141" s="786"/>
      <c r="AOQ141" s="786"/>
      <c r="AOR141" s="786"/>
      <c r="AOS141" s="786"/>
      <c r="AOT141" s="786"/>
      <c r="AOU141" s="786"/>
      <c r="AOV141" s="786"/>
      <c r="AOW141" s="786"/>
      <c r="AOX141" s="786"/>
      <c r="AOY141" s="786"/>
      <c r="AOZ141" s="786"/>
      <c r="APA141" s="786"/>
      <c r="APB141" s="786"/>
      <c r="APC141" s="786"/>
      <c r="APD141" s="786"/>
      <c r="APE141" s="786"/>
      <c r="APF141" s="786"/>
      <c r="APG141" s="786"/>
      <c r="APH141" s="786"/>
      <c r="API141" s="786"/>
      <c r="APJ141" s="786"/>
      <c r="APK141" s="786"/>
      <c r="APL141" s="786"/>
      <c r="APM141" s="786"/>
      <c r="APN141" s="786"/>
      <c r="APO141" s="786"/>
      <c r="APP141" s="786"/>
      <c r="APQ141" s="786"/>
      <c r="APR141" s="786"/>
      <c r="APS141" s="786"/>
      <c r="APT141" s="786"/>
      <c r="APU141" s="786"/>
      <c r="APV141" s="786"/>
      <c r="APW141" s="786"/>
      <c r="APX141" s="786"/>
      <c r="APY141" s="786"/>
      <c r="APZ141" s="786"/>
      <c r="AQA141" s="786"/>
      <c r="AQB141" s="786"/>
      <c r="AQC141" s="786"/>
      <c r="AQD141" s="786"/>
      <c r="AQE141" s="786"/>
      <c r="AQF141" s="786"/>
      <c r="AQG141" s="786"/>
      <c r="AQH141" s="786"/>
      <c r="AQI141" s="786"/>
      <c r="AQJ141" s="786"/>
      <c r="AQK141" s="786"/>
      <c r="AQL141" s="786"/>
      <c r="AQM141" s="786"/>
      <c r="AQN141" s="786"/>
      <c r="AQO141" s="786"/>
      <c r="AQP141" s="786"/>
      <c r="AQQ141" s="786"/>
      <c r="AQR141" s="786"/>
      <c r="AQS141" s="786"/>
      <c r="AQT141" s="786"/>
      <c r="AQU141" s="786"/>
      <c r="AQV141" s="786"/>
      <c r="AQW141" s="786"/>
      <c r="AQX141" s="786"/>
      <c r="AQY141" s="786"/>
      <c r="AQZ141" s="786"/>
      <c r="ARA141" s="786"/>
      <c r="ARB141" s="786"/>
      <c r="ARC141" s="786"/>
      <c r="ARD141" s="786"/>
      <c r="ARE141" s="786"/>
      <c r="ARF141" s="786"/>
      <c r="ARG141" s="786"/>
      <c r="ARH141" s="786"/>
      <c r="ARI141" s="786"/>
      <c r="ARJ141" s="786"/>
      <c r="ARK141" s="786"/>
      <c r="ARL141" s="786"/>
      <c r="ARM141" s="786"/>
      <c r="ARN141" s="786"/>
      <c r="ARO141" s="786"/>
      <c r="ARP141" s="786"/>
      <c r="ARQ141" s="786"/>
      <c r="ARR141" s="786"/>
      <c r="ARS141" s="786"/>
      <c r="ART141" s="786"/>
      <c r="ARU141" s="786"/>
      <c r="ARV141" s="786"/>
      <c r="ARW141" s="786"/>
      <c r="ARX141" s="786"/>
      <c r="ARY141" s="786"/>
      <c r="ARZ141" s="786"/>
      <c r="ASA141" s="786"/>
      <c r="ASB141" s="786"/>
      <c r="ASC141" s="786"/>
      <c r="ASD141" s="786"/>
      <c r="ASE141" s="786"/>
      <c r="ASF141" s="786"/>
      <c r="ASG141" s="786"/>
      <c r="ASH141" s="786"/>
      <c r="ASI141" s="786"/>
      <c r="ASJ141" s="786"/>
      <c r="ASK141" s="786"/>
      <c r="ASL141" s="786"/>
      <c r="ASM141" s="786"/>
      <c r="ASN141" s="786"/>
      <c r="ASO141" s="786"/>
      <c r="ASP141" s="786"/>
      <c r="ASQ141" s="786"/>
      <c r="ASR141" s="786"/>
      <c r="ASS141" s="786"/>
      <c r="AST141" s="786"/>
      <c r="ASU141" s="786"/>
      <c r="ASV141" s="786"/>
      <c r="ASW141" s="786"/>
      <c r="ASX141" s="786"/>
      <c r="ASY141" s="786"/>
      <c r="ASZ141" s="786"/>
      <c r="ATA141" s="786"/>
      <c r="ATB141" s="786"/>
      <c r="ATC141" s="786"/>
      <c r="ATD141" s="786"/>
      <c r="ATE141" s="786"/>
      <c r="ATF141" s="786"/>
      <c r="ATG141" s="786"/>
      <c r="ATH141" s="786"/>
      <c r="ATI141" s="786"/>
      <c r="ATJ141" s="786"/>
      <c r="ATK141" s="786"/>
      <c r="ATL141" s="786"/>
      <c r="ATM141" s="786"/>
      <c r="ATN141" s="786"/>
      <c r="ATO141" s="786"/>
      <c r="ATP141" s="786"/>
      <c r="ATQ141" s="786"/>
      <c r="ATR141" s="786"/>
      <c r="ATS141" s="786"/>
      <c r="ATT141" s="786"/>
      <c r="ATU141" s="786"/>
      <c r="ATV141" s="786"/>
      <c r="ATW141" s="786"/>
      <c r="ATX141" s="786"/>
      <c r="ATY141" s="786"/>
      <c r="ATZ141" s="786"/>
      <c r="AUA141" s="786"/>
      <c r="AUB141" s="786"/>
      <c r="AUC141" s="786"/>
      <c r="AUD141" s="786"/>
      <c r="AUE141" s="786"/>
      <c r="AUF141" s="786"/>
      <c r="AUG141" s="786"/>
      <c r="AUH141" s="786"/>
      <c r="AUI141" s="786"/>
      <c r="AUJ141" s="786"/>
      <c r="AUK141" s="786"/>
      <c r="AUL141" s="786"/>
      <c r="AUM141" s="786"/>
      <c r="AUN141" s="786"/>
      <c r="AUO141" s="786"/>
      <c r="AUP141" s="786"/>
      <c r="AUQ141" s="786"/>
      <c r="AUR141" s="786"/>
      <c r="AUS141" s="786"/>
      <c r="AUT141" s="786"/>
      <c r="AUU141" s="786"/>
      <c r="AUV141" s="786"/>
      <c r="AUW141" s="786"/>
      <c r="AUX141" s="786"/>
      <c r="AUY141" s="786"/>
      <c r="AUZ141" s="786"/>
      <c r="AVA141" s="786"/>
      <c r="AVB141" s="786"/>
      <c r="AVC141" s="786"/>
      <c r="AVD141" s="786"/>
      <c r="AVE141" s="786"/>
      <c r="AVF141" s="786"/>
      <c r="AVG141" s="786"/>
      <c r="AVH141" s="786"/>
      <c r="AVI141" s="786"/>
      <c r="AVJ141" s="786"/>
      <c r="AVK141" s="786"/>
      <c r="AVL141" s="786"/>
      <c r="AVM141" s="786"/>
      <c r="AVN141" s="786"/>
      <c r="AVO141" s="786"/>
      <c r="AVP141" s="786"/>
      <c r="AVQ141" s="786"/>
      <c r="AVR141" s="786"/>
      <c r="AVS141" s="786"/>
      <c r="AVT141" s="786"/>
      <c r="AVU141" s="786"/>
      <c r="AVV141" s="786"/>
      <c r="AVW141" s="786"/>
      <c r="AVX141" s="786"/>
      <c r="AVY141" s="786"/>
      <c r="AVZ141" s="786"/>
      <c r="AWA141" s="786"/>
      <c r="AWB141" s="786"/>
      <c r="AWC141" s="786"/>
      <c r="AWD141" s="786"/>
      <c r="AWE141" s="786"/>
      <c r="AWF141" s="786"/>
      <c r="AWG141" s="786"/>
      <c r="AWH141" s="786"/>
      <c r="AWI141" s="786"/>
      <c r="AWJ141" s="786"/>
      <c r="AWK141" s="786"/>
      <c r="AWL141" s="786"/>
      <c r="AWM141" s="786"/>
      <c r="AWN141" s="786"/>
      <c r="AWO141" s="786"/>
      <c r="AWP141" s="786"/>
      <c r="AWQ141" s="786"/>
      <c r="AWR141" s="786"/>
      <c r="AWS141" s="786"/>
      <c r="AWT141" s="786"/>
      <c r="AWU141" s="786"/>
      <c r="AWV141" s="786"/>
      <c r="AWW141" s="786"/>
      <c r="AWX141" s="786"/>
      <c r="AWY141" s="786"/>
      <c r="AWZ141" s="786"/>
      <c r="AXA141" s="786"/>
      <c r="AXB141" s="786"/>
      <c r="AXC141" s="786"/>
      <c r="AXD141" s="786"/>
      <c r="AXE141" s="786"/>
      <c r="AXF141" s="786"/>
      <c r="AXG141" s="786"/>
      <c r="AXH141" s="786"/>
      <c r="AXI141" s="786"/>
      <c r="AXJ141" s="786"/>
      <c r="AXK141" s="786"/>
      <c r="AXL141" s="786"/>
      <c r="AXM141" s="786"/>
      <c r="AXN141" s="786"/>
      <c r="AXO141" s="786"/>
      <c r="AXP141" s="786"/>
      <c r="AXQ141" s="786"/>
      <c r="AXR141" s="786"/>
      <c r="AXS141" s="786"/>
      <c r="AXT141" s="786"/>
      <c r="AXU141" s="786"/>
      <c r="AXV141" s="786"/>
      <c r="AXW141" s="786"/>
      <c r="AXX141" s="786"/>
      <c r="AXY141" s="786"/>
      <c r="AXZ141" s="786"/>
      <c r="AYA141" s="786"/>
      <c r="AYB141" s="786"/>
      <c r="AYC141" s="786"/>
      <c r="AYD141" s="786"/>
      <c r="AYE141" s="786"/>
      <c r="AYF141" s="786"/>
      <c r="AYG141" s="786"/>
      <c r="AYH141" s="786"/>
      <c r="AYI141" s="786"/>
      <c r="AYJ141" s="786"/>
      <c r="AYK141" s="786"/>
      <c r="AYL141" s="786"/>
      <c r="AYM141" s="786"/>
      <c r="AYN141" s="786"/>
      <c r="AYO141" s="786"/>
      <c r="AYP141" s="786"/>
      <c r="AYQ141" s="786"/>
      <c r="AYR141" s="786"/>
      <c r="AYS141" s="786"/>
      <c r="AYT141" s="786"/>
      <c r="AYU141" s="786"/>
      <c r="AYV141" s="786"/>
      <c r="AYW141" s="786"/>
      <c r="AYX141" s="786"/>
      <c r="AYY141" s="786"/>
      <c r="AYZ141" s="786"/>
      <c r="AZA141" s="786"/>
      <c r="AZB141" s="786"/>
      <c r="AZC141" s="786"/>
      <c r="AZD141" s="786"/>
      <c r="AZE141" s="786"/>
      <c r="AZF141" s="786"/>
      <c r="AZG141" s="786"/>
      <c r="AZH141" s="786"/>
      <c r="AZI141" s="786"/>
      <c r="AZJ141" s="786"/>
      <c r="AZK141" s="786"/>
      <c r="AZL141" s="786"/>
      <c r="AZM141" s="786"/>
      <c r="AZN141" s="786"/>
      <c r="AZO141" s="786"/>
      <c r="AZP141" s="786"/>
      <c r="AZQ141" s="786"/>
      <c r="AZR141" s="786"/>
      <c r="AZS141" s="786"/>
      <c r="AZT141" s="786"/>
      <c r="AZU141" s="786"/>
      <c r="AZV141" s="786"/>
      <c r="AZW141" s="786"/>
      <c r="AZX141" s="786"/>
      <c r="AZY141" s="786"/>
      <c r="AZZ141" s="786"/>
      <c r="BAA141" s="786"/>
      <c r="BAB141" s="786"/>
      <c r="BAC141" s="786"/>
      <c r="BAD141" s="786"/>
      <c r="BAE141" s="786"/>
      <c r="BAF141" s="786"/>
      <c r="BAG141" s="786"/>
      <c r="BAH141" s="786"/>
      <c r="BAI141" s="786"/>
      <c r="BAJ141" s="786"/>
      <c r="BAK141" s="786"/>
      <c r="BAL141" s="786"/>
      <c r="BAM141" s="786"/>
      <c r="BAN141" s="786"/>
      <c r="BAO141" s="786"/>
      <c r="BAP141" s="786"/>
      <c r="BAQ141" s="786"/>
      <c r="BAR141" s="786"/>
      <c r="BAS141" s="786"/>
      <c r="BAT141" s="786"/>
      <c r="BAU141" s="786"/>
      <c r="BAV141" s="786"/>
      <c r="BAW141" s="786"/>
      <c r="BAX141" s="786"/>
      <c r="BAY141" s="786"/>
      <c r="BAZ141" s="786"/>
      <c r="BBA141" s="786"/>
      <c r="BBB141" s="786"/>
      <c r="BBC141" s="786"/>
      <c r="BBD141" s="786"/>
      <c r="BBE141" s="786"/>
      <c r="BBF141" s="786"/>
      <c r="BBG141" s="786"/>
      <c r="BBH141" s="786"/>
      <c r="BBI141" s="786"/>
      <c r="BBJ141" s="786"/>
      <c r="BBK141" s="786"/>
      <c r="BBL141" s="786"/>
      <c r="BBM141" s="786"/>
      <c r="BBN141" s="786"/>
      <c r="BBO141" s="786"/>
      <c r="BBP141" s="786"/>
      <c r="BBQ141" s="786"/>
      <c r="BBR141" s="786"/>
      <c r="BBS141" s="786"/>
      <c r="BBT141" s="786"/>
      <c r="BBU141" s="786"/>
      <c r="BBV141" s="786"/>
      <c r="BBW141" s="786"/>
      <c r="BBX141" s="786"/>
      <c r="BBY141" s="786"/>
      <c r="BBZ141" s="786"/>
      <c r="BCA141" s="786"/>
      <c r="BCB141" s="786"/>
      <c r="BCC141" s="786"/>
      <c r="BCD141" s="786"/>
      <c r="BCE141" s="786"/>
      <c r="BCF141" s="786"/>
      <c r="BCG141" s="786"/>
      <c r="BCH141" s="786"/>
      <c r="BCI141" s="786"/>
      <c r="BCJ141" s="786"/>
      <c r="BCK141" s="786"/>
      <c r="BCL141" s="786"/>
      <c r="BCM141" s="786"/>
      <c r="BCN141" s="786"/>
      <c r="BCO141" s="786"/>
      <c r="BCP141" s="786"/>
      <c r="BCQ141" s="786"/>
      <c r="BCR141" s="786"/>
      <c r="BCS141" s="786"/>
      <c r="BCT141" s="786"/>
      <c r="BCU141" s="786"/>
      <c r="BCV141" s="786"/>
      <c r="BCW141" s="786"/>
      <c r="BCX141" s="786"/>
      <c r="BCY141" s="786"/>
      <c r="BCZ141" s="786"/>
      <c r="BDA141" s="786"/>
      <c r="BDB141" s="786"/>
      <c r="BDC141" s="786"/>
      <c r="BDD141" s="786"/>
      <c r="BDE141" s="786"/>
      <c r="BDF141" s="786"/>
      <c r="BDG141" s="786"/>
      <c r="BDH141" s="786"/>
      <c r="BDI141" s="786"/>
      <c r="BDJ141" s="786"/>
      <c r="BDK141" s="786"/>
      <c r="BDL141" s="786"/>
      <c r="BDM141" s="786"/>
      <c r="BDN141" s="786"/>
      <c r="BDO141" s="786"/>
      <c r="BDP141" s="786"/>
      <c r="BDQ141" s="786"/>
      <c r="BDR141" s="786"/>
      <c r="BDS141" s="786"/>
      <c r="BDT141" s="786"/>
      <c r="BDU141" s="786"/>
      <c r="BDV141" s="786"/>
      <c r="BDW141" s="786"/>
      <c r="BDX141" s="786"/>
      <c r="BDY141" s="786"/>
      <c r="BDZ141" s="786"/>
      <c r="BEA141" s="786"/>
      <c r="BEB141" s="786"/>
      <c r="BEC141" s="786"/>
      <c r="BED141" s="786"/>
      <c r="BEE141" s="786"/>
      <c r="BEF141" s="786"/>
      <c r="BEG141" s="786"/>
      <c r="BEH141" s="786"/>
      <c r="BEI141" s="786"/>
      <c r="BEJ141" s="786"/>
      <c r="BEK141" s="786"/>
      <c r="BEL141" s="786"/>
      <c r="BEM141" s="786"/>
      <c r="BEN141" s="786"/>
      <c r="BEO141" s="786"/>
      <c r="BEP141" s="786"/>
      <c r="BEQ141" s="786"/>
      <c r="BER141" s="786"/>
      <c r="BES141" s="786"/>
      <c r="BET141" s="786"/>
      <c r="BEU141" s="786"/>
      <c r="BEV141" s="786"/>
      <c r="BEW141" s="786"/>
      <c r="BEX141" s="786"/>
      <c r="BEY141" s="786"/>
      <c r="BEZ141" s="786"/>
      <c r="BFA141" s="786"/>
      <c r="BFB141" s="786"/>
      <c r="BFC141" s="786"/>
      <c r="BFD141" s="786"/>
      <c r="BFE141" s="786"/>
      <c r="BFF141" s="786"/>
      <c r="BFG141" s="786"/>
      <c r="BFH141" s="786"/>
      <c r="BFI141" s="786"/>
      <c r="BFJ141" s="786"/>
      <c r="BFK141" s="786"/>
      <c r="BFL141" s="786"/>
      <c r="BFM141" s="786"/>
      <c r="BFN141" s="786"/>
      <c r="BFO141" s="786"/>
      <c r="BFP141" s="786"/>
      <c r="BFQ141" s="786"/>
      <c r="BFR141" s="786"/>
      <c r="BFS141" s="786"/>
      <c r="BFT141" s="786"/>
      <c r="BFU141" s="786"/>
      <c r="BFV141" s="786"/>
      <c r="BFW141" s="786"/>
      <c r="BFX141" s="786"/>
      <c r="BFY141" s="786"/>
      <c r="BFZ141" s="786"/>
      <c r="BGA141" s="786"/>
      <c r="BGB141" s="786"/>
      <c r="BGC141" s="786"/>
      <c r="BGD141" s="786"/>
      <c r="BGE141" s="786"/>
      <c r="BGF141" s="786"/>
      <c r="BGG141" s="786"/>
      <c r="BGH141" s="786"/>
      <c r="BGI141" s="786"/>
      <c r="BGJ141" s="786"/>
      <c r="BGK141" s="786"/>
      <c r="BGL141" s="786"/>
      <c r="BGM141" s="786"/>
      <c r="BGN141" s="786"/>
      <c r="BGO141" s="786"/>
      <c r="BGP141" s="786"/>
      <c r="BGQ141" s="786"/>
      <c r="BGR141" s="786"/>
      <c r="BGS141" s="786"/>
      <c r="BGT141" s="786"/>
      <c r="BGU141" s="786"/>
      <c r="BGV141" s="786"/>
      <c r="BGW141" s="786"/>
      <c r="BGX141" s="786"/>
      <c r="BGY141" s="786"/>
      <c r="BGZ141" s="786"/>
      <c r="BHA141" s="786"/>
      <c r="BHB141" s="786"/>
      <c r="BHC141" s="786"/>
      <c r="BHD141" s="786"/>
      <c r="BHE141" s="786"/>
      <c r="BHF141" s="786"/>
      <c r="BHG141" s="786"/>
      <c r="BHH141" s="786"/>
      <c r="BHI141" s="786"/>
      <c r="BHJ141" s="786"/>
      <c r="BHK141" s="786"/>
      <c r="BHL141" s="786"/>
      <c r="BHM141" s="786"/>
      <c r="BHN141" s="786"/>
      <c r="BHO141" s="786"/>
      <c r="BHP141" s="786"/>
      <c r="BHQ141" s="786"/>
      <c r="BHR141" s="786"/>
      <c r="BHS141" s="786"/>
      <c r="BHT141" s="786"/>
      <c r="BHU141" s="786"/>
      <c r="BHV141" s="786"/>
      <c r="BHW141" s="786"/>
      <c r="BHX141" s="786"/>
      <c r="BHY141" s="786"/>
      <c r="BHZ141" s="786"/>
      <c r="BIA141" s="786"/>
      <c r="BIB141" s="786"/>
      <c r="BIC141" s="786"/>
      <c r="BID141" s="786"/>
      <c r="BIE141" s="786"/>
      <c r="BIF141" s="786"/>
      <c r="BIG141" s="786"/>
      <c r="BIH141" s="786"/>
      <c r="BII141" s="786"/>
      <c r="BIJ141" s="786"/>
      <c r="BIK141" s="786"/>
      <c r="BIL141" s="786"/>
      <c r="BIM141" s="786"/>
      <c r="BIN141" s="786"/>
      <c r="BIO141" s="786"/>
      <c r="BIP141" s="786"/>
      <c r="BIQ141" s="786"/>
      <c r="BIR141" s="786"/>
      <c r="BIS141" s="786"/>
      <c r="BIT141" s="786"/>
      <c r="BIU141" s="786"/>
      <c r="BIV141" s="786"/>
      <c r="BIW141" s="786"/>
      <c r="BIX141" s="786"/>
      <c r="BIY141" s="786"/>
      <c r="BIZ141" s="786"/>
      <c r="BJA141" s="786"/>
      <c r="BJB141" s="786"/>
      <c r="BJC141" s="786"/>
      <c r="BJD141" s="786"/>
      <c r="BJE141" s="786"/>
      <c r="BJF141" s="786"/>
      <c r="BJG141" s="786"/>
      <c r="BJH141" s="786"/>
      <c r="BJI141" s="786"/>
      <c r="BJJ141" s="786"/>
      <c r="BJK141" s="786"/>
      <c r="BJL141" s="786"/>
      <c r="BJM141" s="786"/>
      <c r="BJN141" s="786"/>
      <c r="BJO141" s="786"/>
      <c r="BJP141" s="786"/>
      <c r="BJQ141" s="786"/>
      <c r="BJR141" s="786"/>
      <c r="BJS141" s="786"/>
      <c r="BJT141" s="786"/>
      <c r="BJU141" s="786"/>
      <c r="BJV141" s="786"/>
      <c r="BJW141" s="786"/>
      <c r="BJX141" s="786"/>
      <c r="BJY141" s="786"/>
      <c r="BJZ141" s="786"/>
      <c r="BKA141" s="786"/>
      <c r="BKB141" s="786"/>
      <c r="BKC141" s="786"/>
      <c r="BKD141" s="786"/>
      <c r="BKE141" s="786"/>
      <c r="BKF141" s="786"/>
      <c r="BKG141" s="786"/>
      <c r="BKH141" s="786"/>
      <c r="BKI141" s="786"/>
      <c r="BKJ141" s="786"/>
      <c r="BKK141" s="786"/>
      <c r="BKL141" s="786"/>
      <c r="BKM141" s="786"/>
      <c r="BKN141" s="786"/>
      <c r="BKO141" s="786"/>
      <c r="BKP141" s="786"/>
      <c r="BKQ141" s="786"/>
      <c r="BKR141" s="786"/>
      <c r="BKS141" s="786"/>
      <c r="BKT141" s="786"/>
      <c r="BKU141" s="786"/>
      <c r="BKV141" s="786"/>
      <c r="BKW141" s="786"/>
      <c r="BKX141" s="786"/>
      <c r="BKY141" s="786"/>
      <c r="BKZ141" s="786"/>
      <c r="BLA141" s="786"/>
      <c r="BLB141" s="786"/>
      <c r="BLC141" s="786"/>
      <c r="BLD141" s="786"/>
      <c r="BLE141" s="786"/>
      <c r="BLF141" s="786"/>
      <c r="BLG141" s="786"/>
      <c r="BLH141" s="786"/>
      <c r="BLI141" s="786"/>
      <c r="BLJ141" s="786"/>
      <c r="BLK141" s="786"/>
      <c r="BLL141" s="786"/>
      <c r="BLM141" s="786"/>
      <c r="BLN141" s="786"/>
      <c r="BLO141" s="786"/>
      <c r="BLP141" s="786"/>
      <c r="BLQ141" s="786"/>
      <c r="BLR141" s="786"/>
      <c r="BLS141" s="786"/>
      <c r="BLT141" s="786"/>
      <c r="BLU141" s="786"/>
      <c r="BLV141" s="786"/>
      <c r="BLW141" s="786"/>
      <c r="BLX141" s="786"/>
      <c r="BLY141" s="786"/>
      <c r="BLZ141" s="786"/>
      <c r="BMA141" s="786"/>
      <c r="BMB141" s="786"/>
      <c r="BMC141" s="786"/>
      <c r="BMD141" s="786"/>
      <c r="BME141" s="786"/>
      <c r="BMF141" s="786"/>
      <c r="BMG141" s="786"/>
      <c r="BMH141" s="786"/>
      <c r="BMI141" s="786"/>
      <c r="BMJ141" s="786"/>
      <c r="BMK141" s="786"/>
      <c r="BML141" s="786"/>
      <c r="BMM141" s="786"/>
      <c r="BMN141" s="786"/>
      <c r="BMO141" s="786"/>
      <c r="BMP141" s="786"/>
      <c r="BMQ141" s="786"/>
      <c r="BMR141" s="786"/>
      <c r="BMS141" s="786"/>
      <c r="BMT141" s="786"/>
      <c r="BMU141" s="786"/>
      <c r="BMV141" s="786"/>
      <c r="BMW141" s="786"/>
      <c r="BMX141" s="786"/>
      <c r="BMY141" s="786"/>
      <c r="BMZ141" s="786"/>
      <c r="BNA141" s="786"/>
      <c r="BNB141" s="786"/>
      <c r="BNC141" s="786"/>
      <c r="BND141" s="786"/>
      <c r="BNE141" s="786"/>
      <c r="BNF141" s="786"/>
      <c r="BNG141" s="786"/>
      <c r="BNH141" s="786"/>
      <c r="BNI141" s="786"/>
      <c r="BNJ141" s="786"/>
      <c r="BNK141" s="786"/>
      <c r="BNL141" s="786"/>
      <c r="BNM141" s="786"/>
      <c r="BNN141" s="786"/>
      <c r="BNO141" s="786"/>
      <c r="BNP141" s="786"/>
      <c r="BNQ141" s="786"/>
      <c r="BNR141" s="786"/>
      <c r="BNS141" s="786"/>
      <c r="BNT141" s="786"/>
      <c r="BNU141" s="786"/>
      <c r="BNV141" s="786"/>
      <c r="BNW141" s="786"/>
      <c r="BNX141" s="786"/>
      <c r="BNY141" s="786"/>
      <c r="BNZ141" s="786"/>
      <c r="BOA141" s="786"/>
      <c r="BOB141" s="786"/>
      <c r="BOC141" s="786"/>
      <c r="BOD141" s="786"/>
      <c r="BOE141" s="786"/>
      <c r="BOF141" s="786"/>
      <c r="BOG141" s="786"/>
      <c r="BOH141" s="786"/>
      <c r="BOI141" s="786"/>
      <c r="BOJ141" s="786"/>
      <c r="BOK141" s="786"/>
      <c r="BOL141" s="786"/>
      <c r="BOM141" s="786"/>
      <c r="BON141" s="786"/>
      <c r="BOO141" s="786"/>
      <c r="BOP141" s="786"/>
      <c r="BOQ141" s="786"/>
      <c r="BOR141" s="786"/>
      <c r="BOS141" s="786"/>
      <c r="BOT141" s="786"/>
      <c r="BOU141" s="786"/>
      <c r="BOV141" s="786"/>
      <c r="BOW141" s="786"/>
      <c r="BOX141" s="786"/>
      <c r="BOY141" s="786"/>
      <c r="BOZ141" s="786"/>
      <c r="BPA141" s="786"/>
      <c r="BPB141" s="786"/>
      <c r="BPC141" s="786"/>
      <c r="BPD141" s="786"/>
      <c r="BPE141" s="786"/>
      <c r="BPF141" s="786"/>
      <c r="BPG141" s="786"/>
      <c r="BPH141" s="786"/>
      <c r="BPI141" s="786"/>
      <c r="BPJ141" s="786"/>
      <c r="BPK141" s="786"/>
      <c r="BPL141" s="786"/>
      <c r="BPM141" s="786"/>
      <c r="BPN141" s="786"/>
      <c r="BPO141" s="786"/>
      <c r="BPP141" s="786"/>
      <c r="BPQ141" s="786"/>
      <c r="BPR141" s="786"/>
      <c r="BPS141" s="786"/>
      <c r="BPT141" s="786"/>
      <c r="BPU141" s="786"/>
      <c r="BPV141" s="786"/>
      <c r="BPW141" s="786"/>
      <c r="BPX141" s="786"/>
      <c r="BPY141" s="786"/>
      <c r="BPZ141" s="786"/>
      <c r="BQA141" s="786"/>
      <c r="BQB141" s="786"/>
      <c r="BQC141" s="786"/>
      <c r="BQD141" s="786"/>
      <c r="BQE141" s="786"/>
      <c r="BQF141" s="786"/>
      <c r="BQG141" s="786"/>
      <c r="BQH141" s="786"/>
      <c r="BQI141" s="786"/>
      <c r="BQJ141" s="786"/>
      <c r="BQK141" s="786"/>
      <c r="BQL141" s="786"/>
      <c r="BQM141" s="786"/>
      <c r="BQN141" s="786"/>
      <c r="BQO141" s="786"/>
      <c r="BQP141" s="786"/>
      <c r="BQQ141" s="786"/>
      <c r="BQR141" s="786"/>
      <c r="BQS141" s="786"/>
      <c r="BQT141" s="786"/>
      <c r="BQU141" s="786"/>
      <c r="BQV141" s="786"/>
      <c r="BQW141" s="786"/>
      <c r="BQX141" s="786"/>
      <c r="BQY141" s="786"/>
      <c r="BQZ141" s="786"/>
      <c r="BRA141" s="786"/>
      <c r="BRB141" s="786"/>
      <c r="BRC141" s="786"/>
      <c r="BRD141" s="786"/>
      <c r="BRE141" s="786"/>
      <c r="BRF141" s="786"/>
      <c r="BRG141" s="786"/>
      <c r="BRH141" s="786"/>
      <c r="BRI141" s="786"/>
      <c r="BRJ141" s="786"/>
      <c r="BRK141" s="786"/>
      <c r="BRL141" s="786"/>
      <c r="BRM141" s="786"/>
      <c r="BRN141" s="786"/>
      <c r="BRO141" s="786"/>
      <c r="BRP141" s="786"/>
      <c r="BRQ141" s="786"/>
      <c r="BRR141" s="786"/>
      <c r="BRS141" s="786"/>
      <c r="BRT141" s="786"/>
      <c r="BRU141" s="786"/>
      <c r="BRV141" s="786"/>
      <c r="BRW141" s="786"/>
      <c r="BRX141" s="786"/>
      <c r="BRY141" s="786"/>
      <c r="BRZ141" s="786"/>
      <c r="BSA141" s="786"/>
      <c r="BSB141" s="786"/>
      <c r="BSC141" s="786"/>
      <c r="BSD141" s="786"/>
      <c r="BSE141" s="786"/>
      <c r="BSF141" s="786"/>
      <c r="BSG141" s="786"/>
      <c r="BSH141" s="786"/>
      <c r="BSI141" s="786"/>
      <c r="BSJ141" s="786"/>
      <c r="BSK141" s="786"/>
      <c r="BSL141" s="786"/>
      <c r="BSM141" s="786"/>
      <c r="BSN141" s="786"/>
      <c r="BSO141" s="786"/>
      <c r="BSP141" s="786"/>
      <c r="BSQ141" s="786"/>
      <c r="BSR141" s="786"/>
      <c r="BSS141" s="786"/>
      <c r="BST141" s="786"/>
      <c r="BSU141" s="786"/>
      <c r="BSV141" s="786"/>
      <c r="BSW141" s="786"/>
      <c r="BSX141" s="786"/>
      <c r="BSY141" s="786"/>
      <c r="BSZ141" s="786"/>
      <c r="BTA141" s="786"/>
      <c r="BTB141" s="786"/>
      <c r="BTC141" s="786"/>
      <c r="BTD141" s="786"/>
      <c r="BTE141" s="786"/>
      <c r="BTF141" s="786"/>
      <c r="BTG141" s="786"/>
      <c r="BTH141" s="786"/>
      <c r="BTI141" s="786"/>
      <c r="BTJ141" s="786"/>
      <c r="BTK141" s="786"/>
      <c r="BTL141" s="786"/>
      <c r="BTM141" s="786"/>
      <c r="BTN141" s="786"/>
      <c r="BTO141" s="786"/>
      <c r="BTP141" s="786"/>
      <c r="BTQ141" s="786"/>
      <c r="BTR141" s="786"/>
      <c r="BTS141" s="786"/>
      <c r="BTT141" s="786"/>
      <c r="BTU141" s="786"/>
      <c r="BTV141" s="786"/>
      <c r="BTW141" s="786"/>
      <c r="BTX141" s="786"/>
      <c r="BTY141" s="786"/>
      <c r="BTZ141" s="786"/>
      <c r="BUA141" s="786"/>
      <c r="BUB141" s="786"/>
      <c r="BUC141" s="786"/>
      <c r="BUD141" s="786"/>
      <c r="BUE141" s="786"/>
      <c r="BUF141" s="786"/>
      <c r="BUG141" s="786"/>
      <c r="BUH141" s="786"/>
      <c r="BUI141" s="786"/>
      <c r="BUJ141" s="786"/>
      <c r="BUK141" s="786"/>
      <c r="BUL141" s="786"/>
      <c r="BUM141" s="786"/>
      <c r="BUN141" s="786"/>
      <c r="BUO141" s="786"/>
      <c r="BUP141" s="786"/>
      <c r="BUQ141" s="786"/>
      <c r="BUR141" s="786"/>
      <c r="BUS141" s="786"/>
      <c r="BUT141" s="786"/>
      <c r="BUU141" s="786"/>
      <c r="BUV141" s="786"/>
      <c r="BUW141" s="786"/>
      <c r="BUX141" s="786"/>
      <c r="BUY141" s="786"/>
      <c r="BUZ141" s="786"/>
      <c r="BVA141" s="786"/>
      <c r="BVB141" s="786"/>
      <c r="BVC141" s="786"/>
      <c r="BVD141" s="786"/>
      <c r="BVE141" s="786"/>
      <c r="BVF141" s="786"/>
      <c r="BVG141" s="786"/>
      <c r="BVH141" s="786"/>
      <c r="BVI141" s="786"/>
      <c r="BVJ141" s="786"/>
      <c r="BVK141" s="786"/>
      <c r="BVL141" s="786"/>
      <c r="BVM141" s="786"/>
      <c r="BVN141" s="786"/>
      <c r="BVO141" s="786"/>
      <c r="BVP141" s="786"/>
      <c r="BVQ141" s="786"/>
      <c r="BVR141" s="786"/>
      <c r="BVS141" s="786"/>
      <c r="BVT141" s="786"/>
      <c r="BVU141" s="786"/>
      <c r="BVV141" s="786"/>
      <c r="BVW141" s="786"/>
      <c r="BVX141" s="786"/>
      <c r="BVY141" s="786"/>
      <c r="BVZ141" s="786"/>
      <c r="BWA141" s="786"/>
      <c r="BWB141" s="786"/>
      <c r="BWC141" s="786"/>
      <c r="BWD141" s="786"/>
      <c r="BWE141" s="786"/>
      <c r="BWF141" s="786"/>
      <c r="BWG141" s="786"/>
      <c r="BWH141" s="786"/>
      <c r="BWI141" s="786"/>
      <c r="BWJ141" s="786"/>
      <c r="BWK141" s="786"/>
      <c r="BWL141" s="786"/>
      <c r="BWM141" s="786"/>
      <c r="BWN141" s="786"/>
      <c r="BWO141" s="786"/>
      <c r="BWP141" s="786"/>
      <c r="BWQ141" s="786"/>
      <c r="BWR141" s="786"/>
      <c r="BWS141" s="786"/>
      <c r="BWT141" s="786"/>
      <c r="BWU141" s="786"/>
      <c r="BWV141" s="786"/>
      <c r="BWW141" s="786"/>
      <c r="BWX141" s="786"/>
      <c r="BWY141" s="786"/>
      <c r="BWZ141" s="786"/>
      <c r="BXA141" s="786"/>
      <c r="BXB141" s="786"/>
      <c r="BXC141" s="786"/>
      <c r="BXD141" s="786"/>
      <c r="BXE141" s="786"/>
      <c r="BXF141" s="786"/>
      <c r="BXG141" s="786"/>
      <c r="BXH141" s="786"/>
      <c r="BXI141" s="786"/>
      <c r="BXJ141" s="786"/>
      <c r="BXK141" s="786"/>
      <c r="BXL141" s="786"/>
      <c r="BXM141" s="786"/>
      <c r="BXN141" s="786"/>
      <c r="BXO141" s="786"/>
      <c r="BXP141" s="786"/>
      <c r="BXQ141" s="786"/>
      <c r="BXR141" s="786"/>
      <c r="BXS141" s="786"/>
      <c r="BXT141" s="786"/>
      <c r="BXU141" s="786"/>
      <c r="BXV141" s="786"/>
      <c r="BXW141" s="786"/>
      <c r="BXX141" s="786"/>
      <c r="BXY141" s="786"/>
      <c r="BXZ141" s="786"/>
      <c r="BYA141" s="786"/>
      <c r="BYB141" s="786"/>
      <c r="BYC141" s="786"/>
      <c r="BYD141" s="786"/>
      <c r="BYE141" s="786"/>
      <c r="BYF141" s="786"/>
      <c r="BYG141" s="786"/>
      <c r="BYH141" s="786"/>
      <c r="BYI141" s="786"/>
      <c r="BYJ141" s="786"/>
      <c r="BYK141" s="786"/>
      <c r="BYL141" s="786"/>
      <c r="BYM141" s="786"/>
      <c r="BYN141" s="786"/>
      <c r="BYO141" s="786"/>
      <c r="BYP141" s="786"/>
      <c r="BYQ141" s="786"/>
      <c r="BYR141" s="786"/>
      <c r="BYS141" s="786"/>
      <c r="BYT141" s="786"/>
      <c r="BYU141" s="786"/>
      <c r="BYV141" s="786"/>
      <c r="BYW141" s="786"/>
      <c r="BYX141" s="786"/>
      <c r="BYY141" s="786"/>
      <c r="BYZ141" s="786"/>
      <c r="BZA141" s="786"/>
      <c r="BZB141" s="786"/>
      <c r="BZC141" s="786"/>
      <c r="BZD141" s="786"/>
      <c r="BZE141" s="786"/>
      <c r="BZF141" s="786"/>
      <c r="BZG141" s="786"/>
      <c r="BZH141" s="786"/>
      <c r="BZI141" s="786"/>
      <c r="BZJ141" s="786"/>
      <c r="BZK141" s="786"/>
      <c r="BZL141" s="786"/>
      <c r="BZM141" s="786"/>
      <c r="BZN141" s="786"/>
      <c r="BZO141" s="786"/>
      <c r="BZP141" s="786"/>
      <c r="BZQ141" s="786"/>
      <c r="BZR141" s="786"/>
      <c r="BZS141" s="786"/>
      <c r="BZT141" s="786"/>
      <c r="BZU141" s="786"/>
      <c r="BZV141" s="786"/>
      <c r="BZW141" s="786"/>
      <c r="BZX141" s="786"/>
      <c r="BZY141" s="786"/>
      <c r="BZZ141" s="786"/>
      <c r="CAA141" s="786"/>
      <c r="CAB141" s="786"/>
      <c r="CAC141" s="786"/>
      <c r="CAD141" s="786"/>
      <c r="CAE141" s="786"/>
      <c r="CAF141" s="786"/>
      <c r="CAG141" s="786"/>
      <c r="CAH141" s="786"/>
      <c r="CAI141" s="786"/>
      <c r="CAJ141" s="786"/>
      <c r="CAK141" s="786"/>
      <c r="CAL141" s="786"/>
      <c r="CAM141" s="786"/>
      <c r="CAN141" s="786"/>
      <c r="CAO141" s="786"/>
      <c r="CAP141" s="786"/>
      <c r="CAQ141" s="786"/>
      <c r="CAR141" s="786"/>
      <c r="CAS141" s="786"/>
      <c r="CAT141" s="786"/>
      <c r="CAU141" s="786"/>
      <c r="CAV141" s="786"/>
      <c r="CAW141" s="786"/>
      <c r="CAX141" s="786"/>
      <c r="CAY141" s="786"/>
      <c r="CAZ141" s="786"/>
      <c r="CBA141" s="786"/>
      <c r="CBB141" s="786"/>
      <c r="CBC141" s="786"/>
      <c r="CBD141" s="786"/>
      <c r="CBE141" s="786"/>
      <c r="CBF141" s="786"/>
      <c r="CBG141" s="786"/>
      <c r="CBH141" s="786"/>
      <c r="CBI141" s="786"/>
      <c r="CBJ141" s="786"/>
      <c r="CBK141" s="786"/>
      <c r="CBL141" s="786"/>
      <c r="CBM141" s="786"/>
      <c r="CBN141" s="786"/>
      <c r="CBO141" s="786"/>
      <c r="CBP141" s="786"/>
      <c r="CBQ141" s="786"/>
      <c r="CBR141" s="786"/>
      <c r="CBS141" s="786"/>
      <c r="CBT141" s="786"/>
      <c r="CBU141" s="786"/>
      <c r="CBV141" s="786"/>
      <c r="CBW141" s="786"/>
      <c r="CBX141" s="786"/>
      <c r="CBY141" s="786"/>
      <c r="CBZ141" s="786"/>
      <c r="CCA141" s="786"/>
      <c r="CCB141" s="786"/>
      <c r="CCC141" s="786"/>
      <c r="CCD141" s="786"/>
      <c r="CCE141" s="786"/>
      <c r="CCF141" s="786"/>
      <c r="CCG141" s="786"/>
      <c r="CCH141" s="786"/>
      <c r="CCI141" s="786"/>
      <c r="CCJ141" s="786"/>
      <c r="CCK141" s="786"/>
      <c r="CCL141" s="786"/>
      <c r="CCM141" s="786"/>
      <c r="CCN141" s="786"/>
      <c r="CCO141" s="786"/>
      <c r="CCP141" s="786"/>
      <c r="CCQ141" s="786"/>
      <c r="CCR141" s="786"/>
      <c r="CCS141" s="786"/>
      <c r="CCT141" s="786"/>
      <c r="CCU141" s="786"/>
      <c r="CCV141" s="786"/>
      <c r="CCW141" s="786"/>
      <c r="CCX141" s="786"/>
      <c r="CCY141" s="786"/>
      <c r="CCZ141" s="786"/>
      <c r="CDA141" s="786"/>
      <c r="CDB141" s="786"/>
      <c r="CDC141" s="786"/>
      <c r="CDD141" s="786"/>
      <c r="CDE141" s="786"/>
      <c r="CDF141" s="786"/>
      <c r="CDG141" s="786"/>
      <c r="CDH141" s="786"/>
      <c r="CDI141" s="786"/>
      <c r="CDJ141" s="786"/>
      <c r="CDK141" s="786"/>
      <c r="CDL141" s="786"/>
      <c r="CDM141" s="786"/>
      <c r="CDN141" s="786"/>
      <c r="CDO141" s="786"/>
      <c r="CDP141" s="786"/>
      <c r="CDQ141" s="786"/>
      <c r="CDR141" s="786"/>
      <c r="CDS141" s="786"/>
      <c r="CDT141" s="786"/>
      <c r="CDU141" s="786"/>
      <c r="CDV141" s="786"/>
      <c r="CDW141" s="786"/>
      <c r="CDX141" s="786"/>
      <c r="CDY141" s="786"/>
      <c r="CDZ141" s="786"/>
      <c r="CEA141" s="786"/>
      <c r="CEB141" s="786"/>
      <c r="CEC141" s="786"/>
      <c r="CED141" s="786"/>
      <c r="CEE141" s="786"/>
      <c r="CEF141" s="786"/>
      <c r="CEG141" s="786"/>
      <c r="CEH141" s="786"/>
      <c r="CEI141" s="786"/>
      <c r="CEJ141" s="786"/>
      <c r="CEK141" s="786"/>
      <c r="CEL141" s="786"/>
      <c r="CEM141" s="786"/>
      <c r="CEN141" s="786"/>
      <c r="CEO141" s="786"/>
      <c r="CEP141" s="786"/>
      <c r="CEQ141" s="786"/>
      <c r="CER141" s="786"/>
      <c r="CES141" s="786"/>
      <c r="CET141" s="786"/>
      <c r="CEU141" s="786"/>
      <c r="CEV141" s="786"/>
      <c r="CEW141" s="786"/>
      <c r="CEX141" s="786"/>
      <c r="CEY141" s="786"/>
      <c r="CEZ141" s="786"/>
      <c r="CFA141" s="786"/>
      <c r="CFB141" s="786"/>
      <c r="CFC141" s="786"/>
      <c r="CFD141" s="786"/>
      <c r="CFE141" s="786"/>
      <c r="CFF141" s="786"/>
      <c r="CFG141" s="786"/>
      <c r="CFH141" s="786"/>
      <c r="CFI141" s="786"/>
      <c r="CFJ141" s="786"/>
      <c r="CFK141" s="786"/>
      <c r="CFL141" s="786"/>
      <c r="CFM141" s="786"/>
      <c r="CFN141" s="786"/>
      <c r="CFO141" s="786"/>
      <c r="CFP141" s="786"/>
      <c r="CFQ141" s="786"/>
      <c r="CFR141" s="786"/>
      <c r="CFS141" s="786"/>
      <c r="CFT141" s="786"/>
      <c r="CFU141" s="786"/>
      <c r="CFV141" s="786"/>
      <c r="CFW141" s="786"/>
      <c r="CFX141" s="786"/>
      <c r="CFY141" s="786"/>
      <c r="CFZ141" s="786"/>
      <c r="CGA141" s="786"/>
      <c r="CGB141" s="786"/>
      <c r="CGC141" s="786"/>
      <c r="CGD141" s="786"/>
      <c r="CGE141" s="786"/>
      <c r="CGF141" s="786"/>
      <c r="CGG141" s="786"/>
      <c r="CGH141" s="786"/>
      <c r="CGI141" s="786"/>
      <c r="CGJ141" s="786"/>
      <c r="CGK141" s="786"/>
      <c r="CGL141" s="786"/>
      <c r="CGM141" s="786"/>
      <c r="CGN141" s="786"/>
      <c r="CGO141" s="786"/>
      <c r="CGP141" s="786"/>
      <c r="CGQ141" s="786"/>
      <c r="CGR141" s="786"/>
      <c r="CGS141" s="786"/>
      <c r="CGT141" s="786"/>
      <c r="CGU141" s="786"/>
      <c r="CGV141" s="786"/>
      <c r="CGW141" s="786"/>
      <c r="CGX141" s="786"/>
      <c r="CGY141" s="786"/>
      <c r="CGZ141" s="786"/>
      <c r="CHA141" s="786"/>
      <c r="CHB141" s="786"/>
      <c r="CHC141" s="786"/>
      <c r="CHD141" s="786"/>
      <c r="CHE141" s="786"/>
      <c r="CHF141" s="786"/>
      <c r="CHG141" s="786"/>
      <c r="CHH141" s="786"/>
      <c r="CHI141" s="786"/>
      <c r="CHJ141" s="786"/>
      <c r="CHK141" s="786"/>
      <c r="CHL141" s="786"/>
      <c r="CHM141" s="786"/>
      <c r="CHN141" s="786"/>
      <c r="CHO141" s="786"/>
      <c r="CHP141" s="786"/>
      <c r="CHQ141" s="786"/>
      <c r="CHR141" s="786"/>
      <c r="CHS141" s="786"/>
      <c r="CHT141" s="786"/>
      <c r="CHU141" s="786"/>
      <c r="CHV141" s="786"/>
      <c r="CHW141" s="786"/>
      <c r="CHX141" s="786"/>
      <c r="CHY141" s="786"/>
      <c r="CHZ141" s="786"/>
      <c r="CIA141" s="786"/>
      <c r="CIB141" s="786"/>
      <c r="CIC141" s="786"/>
      <c r="CID141" s="786"/>
      <c r="CIE141" s="786"/>
      <c r="CIF141" s="786"/>
      <c r="CIG141" s="786"/>
      <c r="CIH141" s="786"/>
      <c r="CII141" s="786"/>
      <c r="CIJ141" s="786"/>
      <c r="CIK141" s="786"/>
      <c r="CIL141" s="786"/>
      <c r="CIM141" s="786"/>
      <c r="CIN141" s="786"/>
      <c r="CIO141" s="786"/>
      <c r="CIP141" s="786"/>
      <c r="CIQ141" s="786"/>
      <c r="CIR141" s="786"/>
      <c r="CIS141" s="786"/>
      <c r="CIT141" s="786"/>
      <c r="CIU141" s="786"/>
      <c r="CIV141" s="786"/>
      <c r="CIW141" s="786"/>
      <c r="CIX141" s="786"/>
      <c r="CIY141" s="786"/>
      <c r="CIZ141" s="786"/>
      <c r="CJA141" s="786"/>
      <c r="CJB141" s="786"/>
      <c r="CJC141" s="786"/>
      <c r="CJD141" s="786"/>
      <c r="CJE141" s="786"/>
      <c r="CJF141" s="786"/>
      <c r="CJG141" s="786"/>
      <c r="CJH141" s="786"/>
      <c r="CJI141" s="786"/>
      <c r="CJJ141" s="786"/>
      <c r="CJK141" s="786"/>
      <c r="CJL141" s="786"/>
      <c r="CJM141" s="786"/>
      <c r="CJN141" s="786"/>
      <c r="CJO141" s="786"/>
      <c r="CJP141" s="786"/>
      <c r="CJQ141" s="786"/>
      <c r="CJR141" s="786"/>
      <c r="CJS141" s="786"/>
      <c r="CJT141" s="786"/>
      <c r="CJU141" s="786"/>
      <c r="CJV141" s="786"/>
      <c r="CJW141" s="786"/>
      <c r="CJX141" s="786"/>
      <c r="CJY141" s="786"/>
      <c r="CJZ141" s="786"/>
      <c r="CKA141" s="786"/>
      <c r="CKB141" s="786"/>
      <c r="CKC141" s="786"/>
      <c r="CKD141" s="786"/>
      <c r="CKE141" s="786"/>
      <c r="CKF141" s="786"/>
      <c r="CKG141" s="786"/>
      <c r="CKH141" s="786"/>
      <c r="CKI141" s="786"/>
      <c r="CKJ141" s="786"/>
      <c r="CKK141" s="786"/>
      <c r="CKL141" s="786"/>
      <c r="CKM141" s="786"/>
      <c r="CKN141" s="786"/>
      <c r="CKO141" s="786"/>
      <c r="CKP141" s="786"/>
      <c r="CKQ141" s="786"/>
      <c r="CKR141" s="786"/>
      <c r="CKS141" s="786"/>
      <c r="CKT141" s="786"/>
      <c r="CKU141" s="786"/>
      <c r="CKV141" s="786"/>
      <c r="CKW141" s="786"/>
      <c r="CKX141" s="786"/>
      <c r="CKY141" s="786"/>
      <c r="CKZ141" s="786"/>
      <c r="CLA141" s="786"/>
      <c r="CLB141" s="786"/>
      <c r="CLC141" s="786"/>
      <c r="CLD141" s="786"/>
      <c r="CLE141" s="786"/>
      <c r="CLF141" s="786"/>
      <c r="CLG141" s="786"/>
      <c r="CLH141" s="786"/>
      <c r="CLI141" s="786"/>
      <c r="CLJ141" s="786"/>
      <c r="CLK141" s="786"/>
      <c r="CLL141" s="786"/>
      <c r="CLM141" s="786"/>
      <c r="CLN141" s="786"/>
      <c r="CLO141" s="786"/>
      <c r="CLP141" s="786"/>
      <c r="CLQ141" s="786"/>
      <c r="CLR141" s="786"/>
      <c r="CLS141" s="786"/>
      <c r="CLT141" s="786"/>
      <c r="CLU141" s="786"/>
      <c r="CLV141" s="786"/>
      <c r="CLW141" s="786"/>
      <c r="CLX141" s="786"/>
      <c r="CLY141" s="786"/>
      <c r="CLZ141" s="786"/>
      <c r="CMA141" s="786"/>
      <c r="CMB141" s="786"/>
      <c r="CMC141" s="786"/>
      <c r="CMD141" s="786"/>
      <c r="CME141" s="786"/>
      <c r="CMF141" s="786"/>
      <c r="CMG141" s="786"/>
      <c r="CMH141" s="786"/>
      <c r="CMI141" s="786"/>
      <c r="CMJ141" s="786"/>
      <c r="CMK141" s="786"/>
      <c r="CML141" s="786"/>
      <c r="CMM141" s="786"/>
      <c r="CMN141" s="786"/>
      <c r="CMO141" s="786"/>
      <c r="CMP141" s="786"/>
      <c r="CMQ141" s="786"/>
      <c r="CMR141" s="786"/>
      <c r="CMS141" s="786"/>
      <c r="CMT141" s="786"/>
      <c r="CMU141" s="786"/>
      <c r="CMV141" s="786"/>
      <c r="CMW141" s="786"/>
      <c r="CMX141" s="786"/>
      <c r="CMY141" s="786"/>
      <c r="CMZ141" s="786"/>
      <c r="CNA141" s="786"/>
      <c r="CNB141" s="786"/>
      <c r="CNC141" s="786"/>
      <c r="CND141" s="786"/>
      <c r="CNE141" s="786"/>
      <c r="CNF141" s="786"/>
      <c r="CNG141" s="786"/>
      <c r="CNH141" s="786"/>
      <c r="CNI141" s="786"/>
      <c r="CNJ141" s="786"/>
      <c r="CNK141" s="786"/>
      <c r="CNL141" s="786"/>
      <c r="CNM141" s="786"/>
      <c r="CNN141" s="786"/>
      <c r="CNO141" s="786"/>
      <c r="CNP141" s="786"/>
      <c r="CNQ141" s="786"/>
      <c r="CNR141" s="786"/>
      <c r="CNS141" s="786"/>
      <c r="CNT141" s="786"/>
      <c r="CNU141" s="786"/>
      <c r="CNV141" s="786"/>
      <c r="CNW141" s="786"/>
      <c r="CNX141" s="786"/>
      <c r="CNY141" s="786"/>
      <c r="CNZ141" s="786"/>
      <c r="COA141" s="786"/>
      <c r="COB141" s="786"/>
      <c r="COC141" s="786"/>
      <c r="COD141" s="786"/>
      <c r="COE141" s="786"/>
      <c r="COF141" s="786"/>
      <c r="COG141" s="786"/>
      <c r="COH141" s="786"/>
      <c r="COI141" s="786"/>
      <c r="COJ141" s="786"/>
      <c r="COK141" s="786"/>
      <c r="COL141" s="786"/>
      <c r="COM141" s="786"/>
      <c r="CON141" s="786"/>
      <c r="COO141" s="786"/>
      <c r="COP141" s="786"/>
      <c r="COQ141" s="786"/>
      <c r="COR141" s="786"/>
      <c r="COS141" s="786"/>
      <c r="COT141" s="786"/>
      <c r="COU141" s="786"/>
      <c r="COV141" s="786"/>
      <c r="COW141" s="786"/>
      <c r="COX141" s="786"/>
      <c r="COY141" s="786"/>
      <c r="COZ141" s="786"/>
      <c r="CPA141" s="786"/>
      <c r="CPB141" s="786"/>
      <c r="CPC141" s="786"/>
      <c r="CPD141" s="786"/>
      <c r="CPE141" s="786"/>
      <c r="CPF141" s="786"/>
      <c r="CPG141" s="786"/>
      <c r="CPH141" s="786"/>
      <c r="CPI141" s="786"/>
      <c r="CPJ141" s="786"/>
      <c r="CPK141" s="786"/>
      <c r="CPL141" s="786"/>
      <c r="CPM141" s="786"/>
      <c r="CPN141" s="786"/>
      <c r="CPO141" s="786"/>
      <c r="CPP141" s="786"/>
      <c r="CPQ141" s="786"/>
      <c r="CPR141" s="786"/>
      <c r="CPS141" s="786"/>
      <c r="CPT141" s="786"/>
      <c r="CPU141" s="786"/>
      <c r="CPV141" s="786"/>
      <c r="CPW141" s="786"/>
      <c r="CPX141" s="786"/>
      <c r="CPY141" s="786"/>
      <c r="CPZ141" s="786"/>
      <c r="CQA141" s="786"/>
      <c r="CQB141" s="786"/>
      <c r="CQC141" s="786"/>
      <c r="CQD141" s="786"/>
      <c r="CQE141" s="786"/>
      <c r="CQF141" s="786"/>
      <c r="CQG141" s="786"/>
      <c r="CQH141" s="786"/>
      <c r="CQI141" s="786"/>
      <c r="CQJ141" s="786"/>
      <c r="CQK141" s="786"/>
      <c r="CQL141" s="786"/>
      <c r="CQM141" s="786"/>
      <c r="CQN141" s="786"/>
      <c r="CQO141" s="786"/>
      <c r="CQP141" s="786"/>
      <c r="CQQ141" s="786"/>
      <c r="CQR141" s="786"/>
      <c r="CQS141" s="786"/>
      <c r="CQT141" s="786"/>
      <c r="CQU141" s="786"/>
      <c r="CQV141" s="786"/>
      <c r="CQW141" s="786"/>
      <c r="CQX141" s="786"/>
      <c r="CQY141" s="786"/>
      <c r="CQZ141" s="786"/>
      <c r="CRA141" s="786"/>
      <c r="CRB141" s="786"/>
      <c r="CRC141" s="786"/>
      <c r="CRD141" s="786"/>
      <c r="CRE141" s="786"/>
      <c r="CRF141" s="786"/>
      <c r="CRG141" s="786"/>
      <c r="CRH141" s="786"/>
      <c r="CRI141" s="786"/>
      <c r="CRJ141" s="786"/>
      <c r="CRK141" s="786"/>
      <c r="CRL141" s="786"/>
      <c r="CRM141" s="786"/>
      <c r="CRN141" s="786"/>
      <c r="CRO141" s="786"/>
      <c r="CRP141" s="786"/>
      <c r="CRQ141" s="786"/>
      <c r="CRR141" s="786"/>
      <c r="CRS141" s="786"/>
      <c r="CRT141" s="786"/>
      <c r="CRU141" s="786"/>
      <c r="CRV141" s="786"/>
      <c r="CRW141" s="786"/>
      <c r="CRX141" s="786"/>
      <c r="CRY141" s="786"/>
      <c r="CRZ141" s="786"/>
      <c r="CSA141" s="786"/>
      <c r="CSB141" s="786"/>
      <c r="CSC141" s="786"/>
      <c r="CSD141" s="786"/>
      <c r="CSE141" s="786"/>
      <c r="CSF141" s="786"/>
      <c r="CSG141" s="786"/>
      <c r="CSH141" s="786"/>
      <c r="CSI141" s="786"/>
      <c r="CSJ141" s="786"/>
      <c r="CSK141" s="786"/>
      <c r="CSL141" s="786"/>
      <c r="CSM141" s="786"/>
      <c r="CSN141" s="786"/>
      <c r="CSO141" s="786"/>
      <c r="CSP141" s="786"/>
      <c r="CSQ141" s="786"/>
      <c r="CSR141" s="786"/>
      <c r="CSS141" s="786"/>
      <c r="CST141" s="786"/>
      <c r="CSU141" s="786"/>
      <c r="CSV141" s="786"/>
      <c r="CSW141" s="786"/>
      <c r="CSX141" s="786"/>
      <c r="CSY141" s="786"/>
      <c r="CSZ141" s="786"/>
      <c r="CTA141" s="786"/>
      <c r="CTB141" s="786"/>
      <c r="CTC141" s="786"/>
      <c r="CTD141" s="786"/>
      <c r="CTE141" s="786"/>
      <c r="CTF141" s="786"/>
      <c r="CTG141" s="786"/>
      <c r="CTH141" s="786"/>
      <c r="CTI141" s="786"/>
      <c r="CTJ141" s="786"/>
      <c r="CTK141" s="786"/>
      <c r="CTL141" s="786"/>
      <c r="CTM141" s="786"/>
      <c r="CTN141" s="786"/>
      <c r="CTO141" s="786"/>
      <c r="CTP141" s="786"/>
      <c r="CTQ141" s="786"/>
      <c r="CTR141" s="786"/>
      <c r="CTS141" s="786"/>
      <c r="CTT141" s="786"/>
      <c r="CTU141" s="786"/>
      <c r="CTV141" s="786"/>
      <c r="CTW141" s="786"/>
      <c r="CTX141" s="786"/>
      <c r="CTY141" s="786"/>
      <c r="CTZ141" s="786"/>
      <c r="CUA141" s="786"/>
      <c r="CUB141" s="786"/>
      <c r="CUC141" s="786"/>
      <c r="CUD141" s="786"/>
      <c r="CUE141" s="786"/>
      <c r="CUF141" s="786"/>
      <c r="CUG141" s="786"/>
      <c r="CUH141" s="786"/>
      <c r="CUI141" s="786"/>
      <c r="CUJ141" s="786"/>
      <c r="CUK141" s="786"/>
      <c r="CUL141" s="786"/>
      <c r="CUM141" s="786"/>
      <c r="CUN141" s="786"/>
      <c r="CUO141" s="786"/>
      <c r="CUP141" s="786"/>
      <c r="CUQ141" s="786"/>
      <c r="CUR141" s="786"/>
      <c r="CUS141" s="786"/>
      <c r="CUT141" s="786"/>
      <c r="CUU141" s="786"/>
      <c r="CUV141" s="786"/>
      <c r="CUW141" s="786"/>
      <c r="CUX141" s="786"/>
      <c r="CUY141" s="786"/>
      <c r="CUZ141" s="786"/>
      <c r="CVA141" s="786"/>
      <c r="CVB141" s="786"/>
      <c r="CVC141" s="786"/>
      <c r="CVD141" s="786"/>
      <c r="CVE141" s="786"/>
      <c r="CVF141" s="786"/>
      <c r="CVG141" s="786"/>
      <c r="CVH141" s="786"/>
      <c r="CVI141" s="786"/>
      <c r="CVJ141" s="786"/>
      <c r="CVK141" s="786"/>
      <c r="CVL141" s="786"/>
      <c r="CVM141" s="786"/>
      <c r="CVN141" s="786"/>
      <c r="CVO141" s="786"/>
      <c r="CVP141" s="786"/>
      <c r="CVQ141" s="786"/>
      <c r="CVR141" s="786"/>
      <c r="CVS141" s="786"/>
      <c r="CVT141" s="786"/>
      <c r="CVU141" s="786"/>
      <c r="CVV141" s="786"/>
      <c r="CVW141" s="786"/>
      <c r="CVX141" s="786"/>
      <c r="CVY141" s="786"/>
      <c r="CVZ141" s="786"/>
      <c r="CWA141" s="786"/>
      <c r="CWB141" s="786"/>
      <c r="CWC141" s="786"/>
      <c r="CWD141" s="786"/>
      <c r="CWE141" s="786"/>
      <c r="CWF141" s="786"/>
      <c r="CWG141" s="786"/>
      <c r="CWH141" s="786"/>
      <c r="CWI141" s="786"/>
      <c r="CWJ141" s="786"/>
      <c r="CWK141" s="786"/>
      <c r="CWL141" s="786"/>
      <c r="CWM141" s="786"/>
      <c r="CWN141" s="786"/>
      <c r="CWO141" s="786"/>
      <c r="CWP141" s="786"/>
      <c r="CWQ141" s="786"/>
      <c r="CWR141" s="786"/>
      <c r="CWS141" s="786"/>
      <c r="CWT141" s="786"/>
      <c r="CWU141" s="786"/>
      <c r="CWV141" s="786"/>
      <c r="CWW141" s="786"/>
      <c r="CWX141" s="786"/>
      <c r="CWY141" s="786"/>
      <c r="CWZ141" s="786"/>
      <c r="CXA141" s="786"/>
      <c r="CXB141" s="786"/>
      <c r="CXC141" s="786"/>
      <c r="CXD141" s="786"/>
      <c r="CXE141" s="786"/>
      <c r="CXF141" s="786"/>
      <c r="CXG141" s="786"/>
      <c r="CXH141" s="786"/>
      <c r="CXI141" s="786"/>
      <c r="CXJ141" s="786"/>
      <c r="CXK141" s="786"/>
      <c r="CXL141" s="786"/>
      <c r="CXM141" s="786"/>
      <c r="CXN141" s="786"/>
      <c r="CXO141" s="786"/>
      <c r="CXP141" s="786"/>
      <c r="CXQ141" s="786"/>
      <c r="CXR141" s="786"/>
      <c r="CXS141" s="786"/>
      <c r="CXT141" s="786"/>
      <c r="CXU141" s="786"/>
      <c r="CXV141" s="786"/>
      <c r="CXW141" s="786"/>
      <c r="CXX141" s="786"/>
      <c r="CXY141" s="786"/>
      <c r="CXZ141" s="786"/>
      <c r="CYA141" s="786"/>
      <c r="CYB141" s="786"/>
      <c r="CYC141" s="786"/>
      <c r="CYD141" s="786"/>
      <c r="CYE141" s="786"/>
      <c r="CYF141" s="786"/>
      <c r="CYG141" s="786"/>
      <c r="CYH141" s="786"/>
      <c r="CYI141" s="786"/>
      <c r="CYJ141" s="786"/>
      <c r="CYK141" s="786"/>
      <c r="CYL141" s="786"/>
      <c r="CYM141" s="786"/>
      <c r="CYN141" s="786"/>
      <c r="CYO141" s="786"/>
      <c r="CYP141" s="786"/>
      <c r="CYQ141" s="786"/>
      <c r="CYR141" s="786"/>
      <c r="CYS141" s="786"/>
      <c r="CYT141" s="786"/>
      <c r="CYU141" s="786"/>
      <c r="CYV141" s="786"/>
      <c r="CYW141" s="786"/>
      <c r="CYX141" s="786"/>
      <c r="CYY141" s="786"/>
      <c r="CYZ141" s="786"/>
      <c r="CZA141" s="786"/>
      <c r="CZB141" s="786"/>
      <c r="CZC141" s="786"/>
      <c r="CZD141" s="786"/>
      <c r="CZE141" s="786"/>
      <c r="CZF141" s="786"/>
      <c r="CZG141" s="786"/>
      <c r="CZH141" s="786"/>
      <c r="CZI141" s="786"/>
      <c r="CZJ141" s="786"/>
      <c r="CZK141" s="786"/>
      <c r="CZL141" s="786"/>
      <c r="CZM141" s="786"/>
      <c r="CZN141" s="786"/>
      <c r="CZO141" s="786"/>
      <c r="CZP141" s="786"/>
      <c r="CZQ141" s="786"/>
      <c r="CZR141" s="786"/>
      <c r="CZS141" s="786"/>
      <c r="CZT141" s="786"/>
      <c r="CZU141" s="786"/>
      <c r="CZV141" s="786"/>
      <c r="CZW141" s="786"/>
      <c r="CZX141" s="786"/>
      <c r="CZY141" s="786"/>
      <c r="CZZ141" s="786"/>
      <c r="DAA141" s="786"/>
      <c r="DAB141" s="786"/>
      <c r="DAC141" s="786"/>
      <c r="DAD141" s="786"/>
      <c r="DAE141" s="786"/>
      <c r="DAF141" s="786"/>
      <c r="DAG141" s="786"/>
      <c r="DAH141" s="786"/>
      <c r="DAI141" s="786"/>
      <c r="DAJ141" s="786"/>
      <c r="DAK141" s="786"/>
      <c r="DAL141" s="786"/>
      <c r="DAM141" s="786"/>
      <c r="DAN141" s="786"/>
      <c r="DAO141" s="786"/>
      <c r="DAP141" s="786"/>
      <c r="DAQ141" s="786"/>
      <c r="DAR141" s="786"/>
      <c r="DAS141" s="786"/>
      <c r="DAT141" s="786"/>
      <c r="DAU141" s="786"/>
      <c r="DAV141" s="786"/>
      <c r="DAW141" s="786"/>
      <c r="DAX141" s="786"/>
      <c r="DAY141" s="786"/>
      <c r="DAZ141" s="786"/>
      <c r="DBA141" s="786"/>
      <c r="DBB141" s="786"/>
      <c r="DBC141" s="786"/>
      <c r="DBD141" s="786"/>
      <c r="DBE141" s="786"/>
      <c r="DBF141" s="786"/>
      <c r="DBG141" s="786"/>
      <c r="DBH141" s="786"/>
      <c r="DBI141" s="786"/>
      <c r="DBJ141" s="786"/>
      <c r="DBK141" s="786"/>
      <c r="DBL141" s="786"/>
      <c r="DBM141" s="786"/>
      <c r="DBN141" s="786"/>
      <c r="DBO141" s="786"/>
      <c r="DBP141" s="786"/>
      <c r="DBQ141" s="786"/>
      <c r="DBR141" s="786"/>
      <c r="DBS141" s="786"/>
      <c r="DBT141" s="786"/>
      <c r="DBU141" s="786"/>
      <c r="DBV141" s="786"/>
      <c r="DBW141" s="786"/>
      <c r="DBX141" s="786"/>
      <c r="DBY141" s="786"/>
      <c r="DBZ141" s="786"/>
      <c r="DCA141" s="786"/>
      <c r="DCB141" s="786"/>
      <c r="DCC141" s="786"/>
      <c r="DCD141" s="786"/>
      <c r="DCE141" s="786"/>
      <c r="DCF141" s="786"/>
      <c r="DCG141" s="786"/>
      <c r="DCH141" s="786"/>
      <c r="DCI141" s="786"/>
      <c r="DCJ141" s="786"/>
      <c r="DCK141" s="786"/>
      <c r="DCL141" s="786"/>
      <c r="DCM141" s="786"/>
      <c r="DCN141" s="786"/>
      <c r="DCO141" s="786"/>
      <c r="DCP141" s="786"/>
      <c r="DCQ141" s="786"/>
      <c r="DCR141" s="786"/>
      <c r="DCS141" s="786"/>
      <c r="DCT141" s="786"/>
      <c r="DCU141" s="786"/>
      <c r="DCV141" s="786"/>
      <c r="DCW141" s="786"/>
      <c r="DCX141" s="786"/>
      <c r="DCY141" s="786"/>
      <c r="DCZ141" s="786"/>
      <c r="DDA141" s="786"/>
      <c r="DDB141" s="786"/>
      <c r="DDC141" s="786"/>
      <c r="DDD141" s="786"/>
      <c r="DDE141" s="786"/>
      <c r="DDF141" s="786"/>
      <c r="DDG141" s="786"/>
      <c r="DDH141" s="786"/>
      <c r="DDI141" s="786"/>
      <c r="DDJ141" s="786"/>
      <c r="DDK141" s="786"/>
      <c r="DDL141" s="786"/>
      <c r="DDM141" s="786"/>
      <c r="DDN141" s="786"/>
      <c r="DDO141" s="786"/>
      <c r="DDP141" s="786"/>
      <c r="DDQ141" s="786"/>
      <c r="DDR141" s="786"/>
      <c r="DDS141" s="786"/>
      <c r="DDT141" s="786"/>
      <c r="DDU141" s="786"/>
      <c r="DDV141" s="786"/>
      <c r="DDW141" s="786"/>
      <c r="DDX141" s="786"/>
      <c r="DDY141" s="786"/>
      <c r="DDZ141" s="786"/>
      <c r="DEA141" s="786"/>
      <c r="DEB141" s="786"/>
      <c r="DEC141" s="786"/>
      <c r="DED141" s="786"/>
      <c r="DEE141" s="786"/>
      <c r="DEF141" s="786"/>
      <c r="DEG141" s="786"/>
      <c r="DEH141" s="786"/>
      <c r="DEI141" s="786"/>
      <c r="DEJ141" s="786"/>
      <c r="DEK141" s="786"/>
      <c r="DEL141" s="786"/>
      <c r="DEM141" s="786"/>
      <c r="DEN141" s="786"/>
      <c r="DEO141" s="786"/>
      <c r="DEP141" s="786"/>
      <c r="DEQ141" s="786"/>
      <c r="DER141" s="786"/>
      <c r="DES141" s="786"/>
      <c r="DET141" s="786"/>
      <c r="DEU141" s="786"/>
      <c r="DEV141" s="786"/>
      <c r="DEW141" s="786"/>
      <c r="DEX141" s="786"/>
      <c r="DEY141" s="786"/>
      <c r="DEZ141" s="786"/>
      <c r="DFA141" s="786"/>
      <c r="DFB141" s="786"/>
      <c r="DFC141" s="786"/>
      <c r="DFD141" s="786"/>
      <c r="DFE141" s="786"/>
      <c r="DFF141" s="786"/>
      <c r="DFG141" s="786"/>
      <c r="DFH141" s="786"/>
      <c r="DFI141" s="786"/>
      <c r="DFJ141" s="786"/>
      <c r="DFK141" s="786"/>
      <c r="DFL141" s="786"/>
      <c r="DFM141" s="786"/>
      <c r="DFN141" s="786"/>
      <c r="DFO141" s="786"/>
      <c r="DFP141" s="786"/>
      <c r="DFQ141" s="786"/>
      <c r="DFR141" s="786"/>
      <c r="DFS141" s="786"/>
      <c r="DFT141" s="786"/>
      <c r="DFU141" s="786"/>
      <c r="DFV141" s="786"/>
      <c r="DFW141" s="786"/>
      <c r="DFX141" s="786"/>
      <c r="DFY141" s="786"/>
      <c r="DFZ141" s="786"/>
      <c r="DGA141" s="786"/>
      <c r="DGB141" s="786"/>
      <c r="DGC141" s="786"/>
      <c r="DGD141" s="786"/>
      <c r="DGE141" s="786"/>
      <c r="DGF141" s="786"/>
      <c r="DGG141" s="786"/>
      <c r="DGH141" s="786"/>
      <c r="DGI141" s="786"/>
      <c r="DGJ141" s="786"/>
      <c r="DGK141" s="786"/>
      <c r="DGL141" s="786"/>
      <c r="DGM141" s="786"/>
      <c r="DGN141" s="786"/>
      <c r="DGO141" s="786"/>
      <c r="DGP141" s="786"/>
      <c r="DGQ141" s="786"/>
      <c r="DGR141" s="786"/>
      <c r="DGS141" s="786"/>
      <c r="DGT141" s="786"/>
      <c r="DGU141" s="786"/>
      <c r="DGV141" s="786"/>
      <c r="DGW141" s="786"/>
      <c r="DGX141" s="786"/>
      <c r="DGY141" s="786"/>
      <c r="DGZ141" s="786"/>
      <c r="DHA141" s="786"/>
      <c r="DHB141" s="786"/>
      <c r="DHC141" s="786"/>
      <c r="DHD141" s="786"/>
      <c r="DHE141" s="786"/>
      <c r="DHF141" s="786"/>
      <c r="DHG141" s="786"/>
      <c r="DHH141" s="786"/>
      <c r="DHI141" s="786"/>
      <c r="DHJ141" s="786"/>
      <c r="DHK141" s="786"/>
      <c r="DHL141" s="786"/>
      <c r="DHM141" s="786"/>
      <c r="DHN141" s="786"/>
      <c r="DHO141" s="786"/>
      <c r="DHP141" s="786"/>
      <c r="DHQ141" s="786"/>
      <c r="DHR141" s="786"/>
      <c r="DHS141" s="786"/>
      <c r="DHT141" s="786"/>
      <c r="DHU141" s="786"/>
      <c r="DHV141" s="786"/>
      <c r="DHW141" s="786"/>
      <c r="DHX141" s="786"/>
      <c r="DHY141" s="786"/>
      <c r="DHZ141" s="786"/>
      <c r="DIA141" s="786"/>
      <c r="DIB141" s="786"/>
      <c r="DIC141" s="786"/>
      <c r="DID141" s="786"/>
      <c r="DIE141" s="786"/>
      <c r="DIF141" s="786"/>
      <c r="DIG141" s="786"/>
      <c r="DIH141" s="786"/>
      <c r="DII141" s="786"/>
      <c r="DIJ141" s="786"/>
      <c r="DIK141" s="786"/>
      <c r="DIL141" s="786"/>
      <c r="DIM141" s="786"/>
      <c r="DIN141" s="786"/>
      <c r="DIO141" s="786"/>
      <c r="DIP141" s="786"/>
      <c r="DIQ141" s="786"/>
      <c r="DIR141" s="786"/>
      <c r="DIS141" s="786"/>
      <c r="DIT141" s="786"/>
      <c r="DIU141" s="786"/>
      <c r="DIV141" s="786"/>
      <c r="DIW141" s="786"/>
      <c r="DIX141" s="786"/>
      <c r="DIY141" s="786"/>
      <c r="DIZ141" s="786"/>
      <c r="DJA141" s="786"/>
      <c r="DJB141" s="786"/>
      <c r="DJC141" s="786"/>
      <c r="DJD141" s="786"/>
      <c r="DJE141" s="786"/>
      <c r="DJF141" s="786"/>
      <c r="DJG141" s="786"/>
      <c r="DJH141" s="786"/>
      <c r="DJI141" s="786"/>
      <c r="DJJ141" s="786"/>
      <c r="DJK141" s="786"/>
      <c r="DJL141" s="786"/>
      <c r="DJM141" s="786"/>
      <c r="DJN141" s="786"/>
      <c r="DJO141" s="786"/>
      <c r="DJP141" s="786"/>
      <c r="DJQ141" s="786"/>
      <c r="DJR141" s="786"/>
      <c r="DJS141" s="786"/>
      <c r="DJT141" s="786"/>
      <c r="DJU141" s="786"/>
      <c r="DJV141" s="786"/>
      <c r="DJW141" s="786"/>
      <c r="DJX141" s="786"/>
      <c r="DJY141" s="786"/>
      <c r="DJZ141" s="786"/>
      <c r="DKA141" s="786"/>
      <c r="DKB141" s="786"/>
      <c r="DKC141" s="786"/>
      <c r="DKD141" s="786"/>
      <c r="DKE141" s="786"/>
      <c r="DKF141" s="786"/>
      <c r="DKG141" s="786"/>
      <c r="DKH141" s="786"/>
      <c r="DKI141" s="786"/>
      <c r="DKJ141" s="786"/>
      <c r="DKK141" s="786"/>
      <c r="DKL141" s="786"/>
      <c r="DKM141" s="786"/>
      <c r="DKN141" s="786"/>
      <c r="DKO141" s="786"/>
      <c r="DKP141" s="786"/>
      <c r="DKQ141" s="786"/>
      <c r="DKR141" s="786"/>
      <c r="DKS141" s="786"/>
      <c r="DKT141" s="786"/>
      <c r="DKU141" s="786"/>
      <c r="DKV141" s="786"/>
      <c r="DKW141" s="786"/>
      <c r="DKX141" s="786"/>
      <c r="DKY141" s="786"/>
      <c r="DKZ141" s="786"/>
      <c r="DLA141" s="786"/>
      <c r="DLB141" s="786"/>
      <c r="DLC141" s="786"/>
      <c r="DLD141" s="786"/>
      <c r="DLE141" s="786"/>
      <c r="DLF141" s="786"/>
      <c r="DLG141" s="786"/>
      <c r="DLH141" s="786"/>
      <c r="DLI141" s="786"/>
      <c r="DLJ141" s="786"/>
      <c r="DLK141" s="786"/>
      <c r="DLL141" s="786"/>
      <c r="DLM141" s="786"/>
      <c r="DLN141" s="786"/>
      <c r="DLO141" s="786"/>
      <c r="DLP141" s="786"/>
      <c r="DLQ141" s="786"/>
      <c r="DLR141" s="786"/>
      <c r="DLS141" s="786"/>
      <c r="DLT141" s="786"/>
      <c r="DLU141" s="786"/>
      <c r="DLV141" s="786"/>
      <c r="DLW141" s="786"/>
      <c r="DLX141" s="786"/>
      <c r="DLY141" s="786"/>
      <c r="DLZ141" s="786"/>
      <c r="DMA141" s="786"/>
      <c r="DMB141" s="786"/>
      <c r="DMC141" s="786"/>
      <c r="DMD141" s="786"/>
      <c r="DME141" s="786"/>
      <c r="DMF141" s="786"/>
      <c r="DMG141" s="786"/>
      <c r="DMH141" s="786"/>
      <c r="DMI141" s="786"/>
      <c r="DMJ141" s="786"/>
      <c r="DMK141" s="786"/>
      <c r="DML141" s="786"/>
      <c r="DMM141" s="786"/>
      <c r="DMN141" s="786"/>
      <c r="DMO141" s="786"/>
      <c r="DMP141" s="786"/>
      <c r="DMQ141" s="786"/>
      <c r="DMR141" s="786"/>
      <c r="DMS141" s="786"/>
      <c r="DMT141" s="786"/>
      <c r="DMU141" s="786"/>
      <c r="DMV141" s="786"/>
      <c r="DMW141" s="786"/>
      <c r="DMX141" s="786"/>
      <c r="DMY141" s="786"/>
      <c r="DMZ141" s="786"/>
      <c r="DNA141" s="786"/>
      <c r="DNB141" s="786"/>
      <c r="DNC141" s="786"/>
      <c r="DND141" s="786"/>
      <c r="DNE141" s="786"/>
      <c r="DNF141" s="786"/>
      <c r="DNG141" s="786"/>
      <c r="DNH141" s="786"/>
      <c r="DNI141" s="786"/>
      <c r="DNJ141" s="786"/>
      <c r="DNK141" s="786"/>
      <c r="DNL141" s="786"/>
      <c r="DNM141" s="786"/>
      <c r="DNN141" s="786"/>
      <c r="DNO141" s="786"/>
      <c r="DNP141" s="786"/>
      <c r="DNQ141" s="786"/>
      <c r="DNR141" s="786"/>
      <c r="DNS141" s="786"/>
      <c r="DNT141" s="786"/>
      <c r="DNU141" s="786"/>
      <c r="DNV141" s="786"/>
      <c r="DNW141" s="786"/>
      <c r="DNX141" s="786"/>
      <c r="DNY141" s="786"/>
      <c r="DNZ141" s="786"/>
      <c r="DOA141" s="786"/>
      <c r="DOB141" s="786"/>
      <c r="DOC141" s="786"/>
      <c r="DOD141" s="786"/>
      <c r="DOE141" s="786"/>
      <c r="DOF141" s="786"/>
      <c r="DOG141" s="786"/>
      <c r="DOH141" s="786"/>
      <c r="DOI141" s="786"/>
      <c r="DOJ141" s="786"/>
      <c r="DOK141" s="786"/>
      <c r="DOL141" s="786"/>
      <c r="DOM141" s="786"/>
      <c r="DON141" s="786"/>
      <c r="DOO141" s="786"/>
      <c r="DOP141" s="786"/>
      <c r="DOQ141" s="786"/>
      <c r="DOR141" s="786"/>
      <c r="DOS141" s="786"/>
      <c r="DOT141" s="786"/>
      <c r="DOU141" s="786"/>
      <c r="DOV141" s="786"/>
      <c r="DOW141" s="786"/>
      <c r="DOX141" s="786"/>
      <c r="DOY141" s="786"/>
      <c r="DOZ141" s="786"/>
      <c r="DPA141" s="786"/>
      <c r="DPB141" s="786"/>
      <c r="DPC141" s="786"/>
      <c r="DPD141" s="786"/>
      <c r="DPE141" s="786"/>
      <c r="DPF141" s="786"/>
      <c r="DPG141" s="786"/>
      <c r="DPH141" s="786"/>
      <c r="DPI141" s="786"/>
      <c r="DPJ141" s="786"/>
      <c r="DPK141" s="786"/>
      <c r="DPL141" s="786"/>
      <c r="DPM141" s="786"/>
      <c r="DPN141" s="786"/>
      <c r="DPO141" s="786"/>
      <c r="DPP141" s="786"/>
      <c r="DPQ141" s="786"/>
      <c r="DPR141" s="786"/>
      <c r="DPS141" s="786"/>
      <c r="DPT141" s="786"/>
      <c r="DPU141" s="786"/>
      <c r="DPV141" s="786"/>
      <c r="DPW141" s="786"/>
      <c r="DPX141" s="786"/>
      <c r="DPY141" s="786"/>
      <c r="DPZ141" s="786"/>
      <c r="DQA141" s="786"/>
      <c r="DQB141" s="786"/>
      <c r="DQC141" s="786"/>
      <c r="DQD141" s="786"/>
      <c r="DQE141" s="786"/>
      <c r="DQF141" s="786"/>
      <c r="DQG141" s="786"/>
      <c r="DQH141" s="786"/>
      <c r="DQI141" s="786"/>
      <c r="DQJ141" s="786"/>
      <c r="DQK141" s="786"/>
      <c r="DQL141" s="786"/>
      <c r="DQM141" s="786"/>
      <c r="DQN141" s="786"/>
      <c r="DQO141" s="786"/>
      <c r="DQP141" s="786"/>
      <c r="DQQ141" s="786"/>
      <c r="DQR141" s="786"/>
      <c r="DQS141" s="786"/>
      <c r="DQT141" s="786"/>
      <c r="DQU141" s="786"/>
      <c r="DQV141" s="786"/>
      <c r="DQW141" s="786"/>
      <c r="DQX141" s="786"/>
      <c r="DQY141" s="786"/>
      <c r="DQZ141" s="786"/>
      <c r="DRA141" s="786"/>
      <c r="DRB141" s="786"/>
      <c r="DRC141" s="786"/>
      <c r="DRD141" s="786"/>
      <c r="DRE141" s="786"/>
      <c r="DRF141" s="786"/>
      <c r="DRG141" s="786"/>
      <c r="DRH141" s="786"/>
      <c r="DRI141" s="786"/>
      <c r="DRJ141" s="786"/>
      <c r="DRK141" s="786"/>
      <c r="DRL141" s="786"/>
      <c r="DRM141" s="786"/>
      <c r="DRN141" s="786"/>
      <c r="DRO141" s="786"/>
      <c r="DRP141" s="786"/>
      <c r="DRQ141" s="786"/>
      <c r="DRR141" s="786"/>
      <c r="DRS141" s="786"/>
      <c r="DRT141" s="786"/>
      <c r="DRU141" s="786"/>
      <c r="DRV141" s="786"/>
      <c r="DRW141" s="786"/>
      <c r="DRX141" s="786"/>
      <c r="DRY141" s="786"/>
      <c r="DRZ141" s="786"/>
      <c r="DSA141" s="786"/>
      <c r="DSB141" s="786"/>
      <c r="DSC141" s="786"/>
      <c r="DSD141" s="786"/>
      <c r="DSE141" s="786"/>
      <c r="DSF141" s="786"/>
      <c r="DSG141" s="786"/>
      <c r="DSH141" s="786"/>
      <c r="DSI141" s="786"/>
      <c r="DSJ141" s="786"/>
      <c r="DSK141" s="786"/>
      <c r="DSL141" s="786"/>
      <c r="DSM141" s="786"/>
      <c r="DSN141" s="786"/>
      <c r="DSO141" s="786"/>
      <c r="DSP141" s="786"/>
      <c r="DSQ141" s="786"/>
      <c r="DSR141" s="786"/>
      <c r="DSS141" s="786"/>
      <c r="DST141" s="786"/>
      <c r="DSU141" s="786"/>
      <c r="DSV141" s="786"/>
      <c r="DSW141" s="786"/>
      <c r="DSX141" s="786"/>
      <c r="DSY141" s="786"/>
      <c r="DSZ141" s="786"/>
      <c r="DTA141" s="786"/>
      <c r="DTB141" s="786"/>
      <c r="DTC141" s="786"/>
      <c r="DTD141" s="786"/>
      <c r="DTE141" s="786"/>
      <c r="DTF141" s="786"/>
      <c r="DTG141" s="786"/>
      <c r="DTH141" s="786"/>
      <c r="DTI141" s="786"/>
      <c r="DTJ141" s="786"/>
      <c r="DTK141" s="786"/>
      <c r="DTL141" s="786"/>
      <c r="DTM141" s="786"/>
      <c r="DTN141" s="786"/>
      <c r="DTO141" s="786"/>
      <c r="DTP141" s="786"/>
      <c r="DTQ141" s="786"/>
      <c r="DTR141" s="786"/>
      <c r="DTS141" s="786"/>
      <c r="DTT141" s="786"/>
      <c r="DTU141" s="786"/>
      <c r="DTV141" s="786"/>
      <c r="DTW141" s="786"/>
      <c r="DTX141" s="786"/>
      <c r="DTY141" s="786"/>
      <c r="DTZ141" s="786"/>
      <c r="DUA141" s="786"/>
      <c r="DUB141" s="786"/>
      <c r="DUC141" s="786"/>
      <c r="DUD141" s="786"/>
      <c r="DUE141" s="786"/>
      <c r="DUF141" s="786"/>
      <c r="DUG141" s="786"/>
      <c r="DUH141" s="786"/>
      <c r="DUI141" s="786"/>
      <c r="DUJ141" s="786"/>
      <c r="DUK141" s="786"/>
      <c r="DUL141" s="786"/>
      <c r="DUM141" s="786"/>
      <c r="DUN141" s="786"/>
      <c r="DUO141" s="786"/>
      <c r="DUP141" s="786"/>
      <c r="DUQ141" s="786"/>
      <c r="DUR141" s="786"/>
      <c r="DUS141" s="786"/>
      <c r="DUT141" s="786"/>
      <c r="DUU141" s="786"/>
      <c r="DUV141" s="786"/>
      <c r="DUW141" s="786"/>
      <c r="DUX141" s="786"/>
      <c r="DUY141" s="786"/>
      <c r="DUZ141" s="786"/>
      <c r="DVA141" s="786"/>
      <c r="DVB141" s="786"/>
      <c r="DVC141" s="786"/>
      <c r="DVD141" s="786"/>
      <c r="DVE141" s="786"/>
      <c r="DVF141" s="786"/>
      <c r="DVG141" s="786"/>
      <c r="DVH141" s="786"/>
      <c r="DVI141" s="786"/>
      <c r="DVJ141" s="786"/>
      <c r="DVK141" s="786"/>
      <c r="DVL141" s="786"/>
      <c r="DVM141" s="786"/>
      <c r="DVN141" s="786"/>
      <c r="DVO141" s="786"/>
      <c r="DVP141" s="786"/>
      <c r="DVQ141" s="786"/>
      <c r="DVR141" s="786"/>
      <c r="DVS141" s="786"/>
      <c r="DVT141" s="786"/>
      <c r="DVU141" s="786"/>
      <c r="DVV141" s="786"/>
      <c r="DVW141" s="786"/>
      <c r="DVX141" s="786"/>
      <c r="DVY141" s="786"/>
      <c r="DVZ141" s="786"/>
      <c r="DWA141" s="786"/>
      <c r="DWB141" s="786"/>
      <c r="DWC141" s="786"/>
      <c r="DWD141" s="786"/>
      <c r="DWE141" s="786"/>
      <c r="DWF141" s="786"/>
      <c r="DWG141" s="786"/>
      <c r="DWH141" s="786"/>
      <c r="DWI141" s="786"/>
      <c r="DWJ141" s="786"/>
      <c r="DWK141" s="786"/>
      <c r="DWL141" s="786"/>
      <c r="DWM141" s="786"/>
      <c r="DWN141" s="786"/>
      <c r="DWO141" s="786"/>
      <c r="DWP141" s="786"/>
      <c r="DWQ141" s="786"/>
      <c r="DWR141" s="786"/>
      <c r="DWS141" s="786"/>
      <c r="DWT141" s="786"/>
      <c r="DWU141" s="786"/>
      <c r="DWV141" s="786"/>
      <c r="DWW141" s="786"/>
      <c r="DWX141" s="786"/>
      <c r="DWY141" s="786"/>
      <c r="DWZ141" s="786"/>
      <c r="DXA141" s="786"/>
      <c r="DXB141" s="786"/>
      <c r="DXC141" s="786"/>
      <c r="DXD141" s="786"/>
      <c r="DXE141" s="786"/>
      <c r="DXF141" s="786"/>
      <c r="DXG141" s="786"/>
      <c r="DXH141" s="786"/>
      <c r="DXI141" s="786"/>
      <c r="DXJ141" s="786"/>
      <c r="DXK141" s="786"/>
      <c r="DXL141" s="786"/>
      <c r="DXM141" s="786"/>
      <c r="DXN141" s="786"/>
      <c r="DXO141" s="786"/>
      <c r="DXP141" s="786"/>
      <c r="DXQ141" s="786"/>
      <c r="DXR141" s="786"/>
      <c r="DXS141" s="786"/>
      <c r="DXT141" s="786"/>
      <c r="DXU141" s="786"/>
      <c r="DXV141" s="786"/>
      <c r="DXW141" s="786"/>
      <c r="DXX141" s="786"/>
      <c r="DXY141" s="786"/>
      <c r="DXZ141" s="786"/>
      <c r="DYA141" s="786"/>
      <c r="DYB141" s="786"/>
      <c r="DYC141" s="786"/>
      <c r="DYD141" s="786"/>
      <c r="DYE141" s="786"/>
      <c r="DYF141" s="786"/>
      <c r="DYG141" s="786"/>
      <c r="DYH141" s="786"/>
      <c r="DYI141" s="786"/>
      <c r="DYJ141" s="786"/>
      <c r="DYK141" s="786"/>
      <c r="DYL141" s="786"/>
      <c r="DYM141" s="786"/>
      <c r="DYN141" s="786"/>
      <c r="DYO141" s="786"/>
      <c r="DYP141" s="786"/>
      <c r="DYQ141" s="786"/>
      <c r="DYR141" s="786"/>
      <c r="DYS141" s="786"/>
      <c r="DYT141" s="786"/>
      <c r="DYU141" s="786"/>
      <c r="DYV141" s="786"/>
      <c r="DYW141" s="786"/>
      <c r="DYX141" s="786"/>
      <c r="DYY141" s="786"/>
      <c r="DYZ141" s="786"/>
      <c r="DZA141" s="786"/>
      <c r="DZB141" s="786"/>
      <c r="DZC141" s="786"/>
      <c r="DZD141" s="786"/>
      <c r="DZE141" s="786"/>
      <c r="DZF141" s="786"/>
      <c r="DZG141" s="786"/>
      <c r="DZH141" s="786"/>
      <c r="DZI141" s="786"/>
      <c r="DZJ141" s="786"/>
      <c r="DZK141" s="786"/>
      <c r="DZL141" s="786"/>
      <c r="DZM141" s="786"/>
      <c r="DZN141" s="786"/>
      <c r="DZO141" s="786"/>
      <c r="DZP141" s="786"/>
      <c r="DZQ141" s="786"/>
      <c r="DZR141" s="786"/>
      <c r="DZS141" s="786"/>
      <c r="DZT141" s="786"/>
      <c r="DZU141" s="786"/>
      <c r="DZV141" s="786"/>
      <c r="DZW141" s="786"/>
      <c r="DZX141" s="786"/>
      <c r="DZY141" s="786"/>
      <c r="DZZ141" s="786"/>
      <c r="EAA141" s="786"/>
      <c r="EAB141" s="786"/>
      <c r="EAC141" s="786"/>
      <c r="EAD141" s="786"/>
      <c r="EAE141" s="786"/>
      <c r="EAF141" s="786"/>
      <c r="EAG141" s="786"/>
      <c r="EAH141" s="786"/>
      <c r="EAI141" s="786"/>
      <c r="EAJ141" s="786"/>
      <c r="EAK141" s="786"/>
      <c r="EAL141" s="786"/>
      <c r="EAM141" s="786"/>
      <c r="EAN141" s="786"/>
      <c r="EAO141" s="786"/>
      <c r="EAP141" s="786"/>
      <c r="EAQ141" s="786"/>
      <c r="EAR141" s="786"/>
      <c r="EAS141" s="786"/>
      <c r="EAT141" s="786"/>
      <c r="EAU141" s="786"/>
      <c r="EAV141" s="786"/>
      <c r="EAW141" s="786"/>
      <c r="EAX141" s="786"/>
      <c r="EAY141" s="786"/>
      <c r="EAZ141" s="786"/>
      <c r="EBA141" s="786"/>
      <c r="EBB141" s="786"/>
      <c r="EBC141" s="786"/>
      <c r="EBD141" s="786"/>
      <c r="EBE141" s="786"/>
      <c r="EBF141" s="786"/>
      <c r="EBG141" s="786"/>
      <c r="EBH141" s="786"/>
      <c r="EBI141" s="786"/>
      <c r="EBJ141" s="786"/>
      <c r="EBK141" s="786"/>
      <c r="EBL141" s="786"/>
      <c r="EBM141" s="786"/>
      <c r="EBN141" s="786"/>
      <c r="EBO141" s="786"/>
      <c r="EBP141" s="786"/>
      <c r="EBQ141" s="786"/>
      <c r="EBR141" s="786"/>
      <c r="EBS141" s="786"/>
      <c r="EBT141" s="786"/>
      <c r="EBU141" s="786"/>
      <c r="EBV141" s="786"/>
      <c r="EBW141" s="786"/>
      <c r="EBX141" s="786"/>
      <c r="EBY141" s="786"/>
      <c r="EBZ141" s="786"/>
      <c r="ECA141" s="786"/>
      <c r="ECB141" s="786"/>
      <c r="ECC141" s="786"/>
      <c r="ECD141" s="786"/>
      <c r="ECE141" s="786"/>
      <c r="ECF141" s="786"/>
      <c r="ECG141" s="786"/>
      <c r="ECH141" s="786"/>
      <c r="ECI141" s="786"/>
      <c r="ECJ141" s="786"/>
      <c r="ECK141" s="786"/>
      <c r="ECL141" s="786"/>
      <c r="ECM141" s="786"/>
      <c r="ECN141" s="786"/>
      <c r="ECO141" s="786"/>
      <c r="ECP141" s="786"/>
      <c r="ECQ141" s="786"/>
      <c r="ECR141" s="786"/>
      <c r="ECS141" s="786"/>
      <c r="ECT141" s="786"/>
      <c r="ECU141" s="786"/>
      <c r="ECV141" s="786"/>
      <c r="ECW141" s="786"/>
      <c r="ECX141" s="786"/>
      <c r="ECY141" s="786"/>
      <c r="ECZ141" s="786"/>
      <c r="EDA141" s="786"/>
      <c r="EDB141" s="786"/>
      <c r="EDC141" s="786"/>
      <c r="EDD141" s="786"/>
      <c r="EDE141" s="786"/>
      <c r="EDF141" s="786"/>
      <c r="EDG141" s="786"/>
      <c r="EDH141" s="786"/>
      <c r="EDI141" s="786"/>
      <c r="EDJ141" s="786"/>
      <c r="EDK141" s="786"/>
      <c r="EDL141" s="786"/>
      <c r="EDM141" s="786"/>
      <c r="EDN141" s="786"/>
      <c r="EDO141" s="786"/>
      <c r="EDP141" s="786"/>
      <c r="EDQ141" s="786"/>
      <c r="EDR141" s="786"/>
      <c r="EDS141" s="786"/>
      <c r="EDT141" s="786"/>
      <c r="EDU141" s="786"/>
      <c r="EDV141" s="786"/>
      <c r="EDW141" s="786"/>
      <c r="EDX141" s="786"/>
      <c r="EDY141" s="786"/>
      <c r="EDZ141" s="786"/>
      <c r="EEA141" s="786"/>
      <c r="EEB141" s="786"/>
      <c r="EEC141" s="786"/>
      <c r="EED141" s="786"/>
      <c r="EEE141" s="786"/>
      <c r="EEF141" s="786"/>
      <c r="EEG141" s="786"/>
      <c r="EEH141" s="786"/>
      <c r="EEI141" s="786"/>
      <c r="EEJ141" s="786"/>
      <c r="EEK141" s="786"/>
      <c r="EEL141" s="786"/>
      <c r="EEM141" s="786"/>
      <c r="EEN141" s="786"/>
      <c r="EEO141" s="786"/>
      <c r="EEP141" s="786"/>
      <c r="EEQ141" s="786"/>
      <c r="EER141" s="786"/>
      <c r="EES141" s="786"/>
      <c r="EET141" s="786"/>
      <c r="EEU141" s="786"/>
      <c r="EEV141" s="786"/>
      <c r="EEW141" s="786"/>
      <c r="EEX141" s="786"/>
      <c r="EEY141" s="786"/>
      <c r="EEZ141" s="786"/>
      <c r="EFA141" s="786"/>
      <c r="EFB141" s="786"/>
      <c r="EFC141" s="786"/>
      <c r="EFD141" s="786"/>
      <c r="EFE141" s="786"/>
      <c r="EFF141" s="786"/>
      <c r="EFG141" s="786"/>
      <c r="EFH141" s="786"/>
      <c r="EFI141" s="786"/>
      <c r="EFJ141" s="786"/>
      <c r="EFK141" s="786"/>
      <c r="EFL141" s="786"/>
      <c r="EFM141" s="786"/>
      <c r="EFN141" s="786"/>
      <c r="EFO141" s="786"/>
      <c r="EFP141" s="786"/>
      <c r="EFQ141" s="786"/>
      <c r="EFR141" s="786"/>
      <c r="EFS141" s="786"/>
      <c r="EFT141" s="786"/>
      <c r="EFU141" s="786"/>
      <c r="EFV141" s="786"/>
      <c r="EFW141" s="786"/>
      <c r="EFX141" s="786"/>
      <c r="EFY141" s="786"/>
      <c r="EFZ141" s="786"/>
      <c r="EGA141" s="786"/>
      <c r="EGB141" s="786"/>
      <c r="EGC141" s="786"/>
      <c r="EGD141" s="786"/>
      <c r="EGE141" s="786"/>
      <c r="EGF141" s="786"/>
      <c r="EGG141" s="786"/>
      <c r="EGH141" s="786"/>
      <c r="EGI141" s="786"/>
      <c r="EGJ141" s="786"/>
      <c r="EGK141" s="786"/>
      <c r="EGL141" s="786"/>
      <c r="EGM141" s="786"/>
      <c r="EGN141" s="786"/>
      <c r="EGO141" s="786"/>
      <c r="EGP141" s="786"/>
      <c r="EGQ141" s="786"/>
      <c r="EGR141" s="786"/>
      <c r="EGS141" s="786"/>
      <c r="EGT141" s="786"/>
      <c r="EGU141" s="786"/>
      <c r="EGV141" s="786"/>
      <c r="EGW141" s="786"/>
      <c r="EGX141" s="786"/>
      <c r="EGY141" s="786"/>
      <c r="EGZ141" s="786"/>
      <c r="EHA141" s="786"/>
      <c r="EHB141" s="786"/>
      <c r="EHC141" s="786"/>
      <c r="EHD141" s="786"/>
      <c r="EHE141" s="786"/>
      <c r="EHF141" s="786"/>
      <c r="EHG141" s="786"/>
      <c r="EHH141" s="786"/>
      <c r="EHI141" s="786"/>
      <c r="EHJ141" s="786"/>
      <c r="EHK141" s="786"/>
      <c r="EHL141" s="786"/>
      <c r="EHM141" s="786"/>
      <c r="EHN141" s="786"/>
      <c r="EHO141" s="786"/>
      <c r="EHP141" s="786"/>
      <c r="EHQ141" s="786"/>
      <c r="EHR141" s="786"/>
      <c r="EHS141" s="786"/>
      <c r="EHT141" s="786"/>
      <c r="EHU141" s="786"/>
      <c r="EHV141" s="786"/>
      <c r="EHW141" s="786"/>
      <c r="EHX141" s="786"/>
      <c r="EHY141" s="786"/>
      <c r="EHZ141" s="786"/>
      <c r="EIA141" s="786"/>
      <c r="EIB141" s="786"/>
      <c r="EIC141" s="786"/>
      <c r="EID141" s="786"/>
      <c r="EIE141" s="786"/>
      <c r="EIF141" s="786"/>
      <c r="EIG141" s="786"/>
      <c r="EIH141" s="786"/>
      <c r="EII141" s="786"/>
      <c r="EIJ141" s="786"/>
      <c r="EIK141" s="786"/>
      <c r="EIL141" s="786"/>
      <c r="EIM141" s="786"/>
      <c r="EIN141" s="786"/>
      <c r="EIO141" s="786"/>
      <c r="EIP141" s="786"/>
      <c r="EIQ141" s="786"/>
      <c r="EIR141" s="786"/>
      <c r="EIS141" s="786"/>
      <c r="EIT141" s="786"/>
      <c r="EIU141" s="786"/>
      <c r="EIV141" s="786"/>
      <c r="EIW141" s="786"/>
      <c r="EIX141" s="786"/>
      <c r="EIY141" s="786"/>
      <c r="EIZ141" s="786"/>
      <c r="EJA141" s="786"/>
      <c r="EJB141" s="786"/>
      <c r="EJC141" s="786"/>
      <c r="EJD141" s="786"/>
      <c r="EJE141" s="786"/>
      <c r="EJF141" s="786"/>
      <c r="EJG141" s="786"/>
      <c r="EJH141" s="786"/>
      <c r="EJI141" s="786"/>
      <c r="EJJ141" s="786"/>
      <c r="EJK141" s="786"/>
      <c r="EJL141" s="786"/>
      <c r="EJM141" s="786"/>
      <c r="EJN141" s="786"/>
      <c r="EJO141" s="786"/>
      <c r="EJP141" s="786"/>
      <c r="EJQ141" s="786"/>
      <c r="EJR141" s="786"/>
      <c r="EJS141" s="786"/>
      <c r="EJT141" s="786"/>
      <c r="EJU141" s="786"/>
      <c r="EJV141" s="786"/>
      <c r="EJW141" s="786"/>
      <c r="EJX141" s="786"/>
      <c r="EJY141" s="786"/>
      <c r="EJZ141" s="786"/>
      <c r="EKA141" s="786"/>
      <c r="EKB141" s="786"/>
      <c r="EKC141" s="786"/>
      <c r="EKD141" s="786"/>
      <c r="EKE141" s="786"/>
      <c r="EKF141" s="786"/>
      <c r="EKG141" s="786"/>
      <c r="EKH141" s="786"/>
      <c r="EKI141" s="786"/>
      <c r="EKJ141" s="786"/>
      <c r="EKK141" s="786"/>
      <c r="EKL141" s="786"/>
      <c r="EKM141" s="786"/>
      <c r="EKN141" s="786"/>
      <c r="EKO141" s="786"/>
      <c r="EKP141" s="786"/>
      <c r="EKQ141" s="786"/>
      <c r="EKR141" s="786"/>
      <c r="EKS141" s="786"/>
      <c r="EKT141" s="786"/>
      <c r="EKU141" s="786"/>
      <c r="EKV141" s="786"/>
      <c r="EKW141" s="786"/>
      <c r="EKX141" s="786"/>
      <c r="EKY141" s="786"/>
      <c r="EKZ141" s="786"/>
      <c r="ELA141" s="786"/>
      <c r="ELB141" s="786"/>
      <c r="ELC141" s="786"/>
      <c r="ELD141" s="786"/>
      <c r="ELE141" s="786"/>
      <c r="ELF141" s="786"/>
      <c r="ELG141" s="786"/>
      <c r="ELH141" s="786"/>
      <c r="ELI141" s="786"/>
      <c r="ELJ141" s="786"/>
      <c r="ELK141" s="786"/>
      <c r="ELL141" s="786"/>
      <c r="ELM141" s="786"/>
      <c r="ELN141" s="786"/>
      <c r="ELO141" s="786"/>
      <c r="ELP141" s="786"/>
      <c r="ELQ141" s="786"/>
      <c r="ELR141" s="786"/>
      <c r="ELS141" s="786"/>
      <c r="ELT141" s="786"/>
      <c r="ELU141" s="786"/>
      <c r="ELV141" s="786"/>
      <c r="ELW141" s="786"/>
      <c r="ELX141" s="786"/>
      <c r="ELY141" s="786"/>
      <c r="ELZ141" s="786"/>
      <c r="EMA141" s="786"/>
      <c r="EMB141" s="786"/>
      <c r="EMC141" s="786"/>
      <c r="EMD141" s="786"/>
      <c r="EME141" s="786"/>
      <c r="EMF141" s="786"/>
      <c r="EMG141" s="786"/>
      <c r="EMH141" s="786"/>
      <c r="EMI141" s="786"/>
      <c r="EMJ141" s="786"/>
      <c r="EMK141" s="786"/>
      <c r="EML141" s="786"/>
      <c r="EMM141" s="786"/>
      <c r="EMN141" s="786"/>
      <c r="EMO141" s="786"/>
      <c r="EMP141" s="786"/>
      <c r="EMQ141" s="786"/>
      <c r="EMR141" s="786"/>
      <c r="EMS141" s="786"/>
      <c r="EMT141" s="786"/>
      <c r="EMU141" s="786"/>
      <c r="EMV141" s="786"/>
      <c r="EMW141" s="786"/>
      <c r="EMX141" s="786"/>
      <c r="EMY141" s="786"/>
      <c r="EMZ141" s="786"/>
      <c r="ENA141" s="786"/>
      <c r="ENB141" s="786"/>
      <c r="ENC141" s="786"/>
      <c r="END141" s="786"/>
      <c r="ENE141" s="786"/>
      <c r="ENF141" s="786"/>
      <c r="ENG141" s="786"/>
      <c r="ENH141" s="786"/>
      <c r="ENI141" s="786"/>
      <c r="ENJ141" s="786"/>
      <c r="ENK141" s="786"/>
      <c r="ENL141" s="786"/>
      <c r="ENM141" s="786"/>
      <c r="ENN141" s="786"/>
      <c r="ENO141" s="786"/>
      <c r="ENP141" s="786"/>
      <c r="ENQ141" s="786"/>
      <c r="ENR141" s="786"/>
      <c r="ENS141" s="786"/>
      <c r="ENT141" s="786"/>
      <c r="ENU141" s="786"/>
      <c r="ENV141" s="786"/>
      <c r="ENW141" s="786"/>
      <c r="ENX141" s="786"/>
      <c r="ENY141" s="786"/>
      <c r="ENZ141" s="786"/>
      <c r="EOA141" s="786"/>
      <c r="EOB141" s="786"/>
      <c r="EOC141" s="786"/>
      <c r="EOD141" s="786"/>
      <c r="EOE141" s="786"/>
      <c r="EOF141" s="786"/>
      <c r="EOG141" s="786"/>
      <c r="EOH141" s="786"/>
      <c r="EOI141" s="786"/>
      <c r="EOJ141" s="786"/>
      <c r="EOK141" s="786"/>
      <c r="EOL141" s="786"/>
      <c r="EOM141" s="786"/>
      <c r="EON141" s="786"/>
      <c r="EOO141" s="786"/>
      <c r="EOP141" s="786"/>
      <c r="EOQ141" s="786"/>
      <c r="EOR141" s="786"/>
      <c r="EOS141" s="786"/>
      <c r="EOT141" s="786"/>
      <c r="EOU141" s="786"/>
      <c r="EOV141" s="786"/>
      <c r="EOW141" s="786"/>
      <c r="EOX141" s="786"/>
      <c r="EOY141" s="786"/>
      <c r="EOZ141" s="786"/>
      <c r="EPA141" s="786"/>
      <c r="EPB141" s="786"/>
      <c r="EPC141" s="786"/>
      <c r="EPD141" s="786"/>
      <c r="EPE141" s="786"/>
      <c r="EPF141" s="786"/>
      <c r="EPG141" s="786"/>
      <c r="EPH141" s="786"/>
      <c r="EPI141" s="786"/>
      <c r="EPJ141" s="786"/>
      <c r="EPK141" s="786"/>
      <c r="EPL141" s="786"/>
      <c r="EPM141" s="786"/>
      <c r="EPN141" s="786"/>
      <c r="EPO141" s="786"/>
      <c r="EPP141" s="786"/>
      <c r="EPQ141" s="786"/>
      <c r="EPR141" s="786"/>
      <c r="EPS141" s="786"/>
      <c r="EPT141" s="786"/>
      <c r="EPU141" s="786"/>
      <c r="EPV141" s="786"/>
      <c r="EPW141" s="786"/>
      <c r="EPX141" s="786"/>
      <c r="EPY141" s="786"/>
      <c r="EPZ141" s="786"/>
      <c r="EQA141" s="786"/>
      <c r="EQB141" s="786"/>
      <c r="EQC141" s="786"/>
      <c r="EQD141" s="786"/>
      <c r="EQE141" s="786"/>
      <c r="EQF141" s="786"/>
      <c r="EQG141" s="786"/>
      <c r="EQH141" s="786"/>
      <c r="EQI141" s="786"/>
      <c r="EQJ141" s="786"/>
      <c r="EQK141" s="786"/>
      <c r="EQL141" s="786"/>
      <c r="EQM141" s="786"/>
      <c r="EQN141" s="786"/>
      <c r="EQO141" s="786"/>
      <c r="EQP141" s="786"/>
      <c r="EQQ141" s="786"/>
      <c r="EQR141" s="786"/>
      <c r="EQS141" s="786"/>
      <c r="EQT141" s="786"/>
      <c r="EQU141" s="786"/>
      <c r="EQV141" s="786"/>
      <c r="EQW141" s="786"/>
      <c r="EQX141" s="786"/>
      <c r="EQY141" s="786"/>
      <c r="EQZ141" s="786"/>
      <c r="ERA141" s="786"/>
      <c r="ERB141" s="786"/>
      <c r="ERC141" s="786"/>
      <c r="ERD141" s="786"/>
      <c r="ERE141" s="786"/>
      <c r="ERF141" s="786"/>
      <c r="ERG141" s="786"/>
      <c r="ERH141" s="786"/>
      <c r="ERI141" s="786"/>
      <c r="ERJ141" s="786"/>
      <c r="ERK141" s="786"/>
      <c r="ERL141" s="786"/>
      <c r="ERM141" s="786"/>
      <c r="ERN141" s="786"/>
      <c r="ERO141" s="786"/>
      <c r="ERP141" s="786"/>
      <c r="ERQ141" s="786"/>
      <c r="ERR141" s="786"/>
      <c r="ERS141" s="786"/>
      <c r="ERT141" s="786"/>
      <c r="ERU141" s="786"/>
      <c r="ERV141" s="786"/>
      <c r="ERW141" s="786"/>
      <c r="ERX141" s="786"/>
      <c r="ERY141" s="786"/>
      <c r="ERZ141" s="786"/>
      <c r="ESA141" s="786"/>
      <c r="ESB141" s="786"/>
      <c r="ESC141" s="786"/>
      <c r="ESD141" s="786"/>
      <c r="ESE141" s="786"/>
      <c r="ESF141" s="786"/>
      <c r="ESG141" s="786"/>
      <c r="ESH141" s="786"/>
      <c r="ESI141" s="786"/>
      <c r="ESJ141" s="786"/>
      <c r="ESK141" s="786"/>
      <c r="ESL141" s="786"/>
      <c r="ESM141" s="786"/>
      <c r="ESN141" s="786"/>
      <c r="ESO141" s="786"/>
      <c r="ESP141" s="786"/>
      <c r="ESQ141" s="786"/>
      <c r="ESR141" s="786"/>
      <c r="ESS141" s="786"/>
      <c r="EST141" s="786"/>
      <c r="ESU141" s="786"/>
      <c r="ESV141" s="786"/>
      <c r="ESW141" s="786"/>
      <c r="ESX141" s="786"/>
      <c r="ESY141" s="786"/>
      <c r="ESZ141" s="786"/>
      <c r="ETA141" s="786"/>
      <c r="ETB141" s="786"/>
      <c r="ETC141" s="786"/>
      <c r="ETD141" s="786"/>
      <c r="ETE141" s="786"/>
      <c r="ETF141" s="786"/>
      <c r="ETG141" s="786"/>
      <c r="ETH141" s="786"/>
      <c r="ETI141" s="786"/>
      <c r="ETJ141" s="786"/>
      <c r="ETK141" s="786"/>
      <c r="ETL141" s="786"/>
      <c r="ETM141" s="786"/>
      <c r="ETN141" s="786"/>
      <c r="ETO141" s="786"/>
      <c r="ETP141" s="786"/>
      <c r="ETQ141" s="786"/>
      <c r="ETR141" s="786"/>
      <c r="ETS141" s="786"/>
      <c r="ETT141" s="786"/>
      <c r="ETU141" s="786"/>
      <c r="ETV141" s="786"/>
      <c r="ETW141" s="786"/>
      <c r="ETX141" s="786"/>
      <c r="ETY141" s="786"/>
      <c r="ETZ141" s="786"/>
      <c r="EUA141" s="786"/>
      <c r="EUB141" s="786"/>
      <c r="EUC141" s="786"/>
      <c r="EUD141" s="786"/>
      <c r="EUE141" s="786"/>
      <c r="EUF141" s="786"/>
      <c r="EUG141" s="786"/>
      <c r="EUH141" s="786"/>
      <c r="EUI141" s="786"/>
      <c r="EUJ141" s="786"/>
      <c r="EUK141" s="786"/>
      <c r="EUL141" s="786"/>
      <c r="EUM141" s="786"/>
      <c r="EUN141" s="786"/>
      <c r="EUO141" s="786"/>
      <c r="EUP141" s="786"/>
      <c r="EUQ141" s="786"/>
      <c r="EUR141" s="786"/>
      <c r="EUS141" s="786"/>
      <c r="EUT141" s="786"/>
      <c r="EUU141" s="786"/>
      <c r="EUV141" s="786"/>
      <c r="EUW141" s="786"/>
      <c r="EUX141" s="786"/>
      <c r="EUY141" s="786"/>
      <c r="EUZ141" s="786"/>
      <c r="EVA141" s="786"/>
      <c r="EVB141" s="786"/>
      <c r="EVC141" s="786"/>
      <c r="EVD141" s="786"/>
      <c r="EVE141" s="786"/>
      <c r="EVF141" s="786"/>
      <c r="EVG141" s="786"/>
      <c r="EVH141" s="786"/>
      <c r="EVI141" s="786"/>
      <c r="EVJ141" s="786"/>
      <c r="EVK141" s="786"/>
      <c r="EVL141" s="786"/>
      <c r="EVM141" s="786"/>
      <c r="EVN141" s="786"/>
      <c r="EVO141" s="786"/>
      <c r="EVP141" s="786"/>
      <c r="EVQ141" s="786"/>
      <c r="EVR141" s="786"/>
      <c r="EVS141" s="786"/>
      <c r="EVT141" s="786"/>
      <c r="EVU141" s="786"/>
      <c r="EVV141" s="786"/>
      <c r="EVW141" s="786"/>
      <c r="EVX141" s="786"/>
      <c r="EVY141" s="786"/>
      <c r="EVZ141" s="786"/>
      <c r="EWA141" s="786"/>
      <c r="EWB141" s="786"/>
      <c r="EWC141" s="786"/>
      <c r="EWD141" s="786"/>
      <c r="EWE141" s="786"/>
      <c r="EWF141" s="786"/>
      <c r="EWG141" s="786"/>
      <c r="EWH141" s="786"/>
      <c r="EWI141" s="786"/>
      <c r="EWJ141" s="786"/>
      <c r="EWK141" s="786"/>
      <c r="EWL141" s="786"/>
      <c r="EWM141" s="786"/>
      <c r="EWN141" s="786"/>
      <c r="EWO141" s="786"/>
      <c r="EWP141" s="786"/>
      <c r="EWQ141" s="786"/>
      <c r="EWR141" s="786"/>
      <c r="EWS141" s="786"/>
      <c r="EWT141" s="786"/>
      <c r="EWU141" s="786"/>
      <c r="EWV141" s="786"/>
      <c r="EWW141" s="786"/>
      <c r="EWX141" s="786"/>
      <c r="EWY141" s="786"/>
      <c r="EWZ141" s="786"/>
      <c r="EXA141" s="786"/>
      <c r="EXB141" s="786"/>
      <c r="EXC141" s="786"/>
      <c r="EXD141" s="786"/>
      <c r="EXE141" s="786"/>
      <c r="EXF141" s="786"/>
      <c r="EXG141" s="786"/>
      <c r="EXH141" s="786"/>
      <c r="EXI141" s="786"/>
      <c r="EXJ141" s="786"/>
      <c r="EXK141" s="786"/>
      <c r="EXL141" s="786"/>
      <c r="EXM141" s="786"/>
      <c r="EXN141" s="786"/>
      <c r="EXO141" s="786"/>
      <c r="EXP141" s="786"/>
      <c r="EXQ141" s="786"/>
      <c r="EXR141" s="786"/>
      <c r="EXS141" s="786"/>
      <c r="EXT141" s="786"/>
      <c r="EXU141" s="786"/>
      <c r="EXV141" s="786"/>
      <c r="EXW141" s="786"/>
      <c r="EXX141" s="786"/>
      <c r="EXY141" s="786"/>
      <c r="EXZ141" s="786"/>
      <c r="EYA141" s="786"/>
      <c r="EYB141" s="786"/>
      <c r="EYC141" s="786"/>
      <c r="EYD141" s="786"/>
      <c r="EYE141" s="786"/>
      <c r="EYF141" s="786"/>
      <c r="EYG141" s="786"/>
      <c r="EYH141" s="786"/>
      <c r="EYI141" s="786"/>
      <c r="EYJ141" s="786"/>
      <c r="EYK141" s="786"/>
      <c r="EYL141" s="786"/>
      <c r="EYM141" s="786"/>
      <c r="EYN141" s="786"/>
      <c r="EYO141" s="786"/>
      <c r="EYP141" s="786"/>
      <c r="EYQ141" s="786"/>
      <c r="EYR141" s="786"/>
      <c r="EYS141" s="786"/>
      <c r="EYT141" s="786"/>
      <c r="EYU141" s="786"/>
      <c r="EYV141" s="786"/>
      <c r="EYW141" s="786"/>
      <c r="EYX141" s="786"/>
      <c r="EYY141" s="786"/>
      <c r="EYZ141" s="786"/>
      <c r="EZA141" s="786"/>
      <c r="EZB141" s="786"/>
      <c r="EZC141" s="786"/>
      <c r="EZD141" s="786"/>
      <c r="EZE141" s="786"/>
      <c r="EZF141" s="786"/>
      <c r="EZG141" s="786"/>
      <c r="EZH141" s="786"/>
      <c r="EZI141" s="786"/>
      <c r="EZJ141" s="786"/>
      <c r="EZK141" s="786"/>
      <c r="EZL141" s="786"/>
      <c r="EZM141" s="786"/>
      <c r="EZN141" s="786"/>
      <c r="EZO141" s="786"/>
      <c r="EZP141" s="786"/>
      <c r="EZQ141" s="786"/>
      <c r="EZR141" s="786"/>
      <c r="EZS141" s="786"/>
      <c r="EZT141" s="786"/>
      <c r="EZU141" s="786"/>
      <c r="EZV141" s="786"/>
      <c r="EZW141" s="786"/>
      <c r="EZX141" s="786"/>
      <c r="EZY141" s="786"/>
      <c r="EZZ141" s="786"/>
      <c r="FAA141" s="786"/>
      <c r="FAB141" s="786"/>
      <c r="FAC141" s="786"/>
      <c r="FAD141" s="786"/>
      <c r="FAE141" s="786"/>
      <c r="FAF141" s="786"/>
      <c r="FAG141" s="786"/>
      <c r="FAH141" s="786"/>
      <c r="FAI141" s="786"/>
      <c r="FAJ141" s="786"/>
      <c r="FAK141" s="786"/>
      <c r="FAL141" s="786"/>
      <c r="FAM141" s="786"/>
      <c r="FAN141" s="786"/>
      <c r="FAO141" s="786"/>
      <c r="FAP141" s="786"/>
      <c r="FAQ141" s="786"/>
      <c r="FAR141" s="786"/>
      <c r="FAS141" s="786"/>
      <c r="FAT141" s="786"/>
      <c r="FAU141" s="786"/>
      <c r="FAV141" s="786"/>
      <c r="FAW141" s="786"/>
      <c r="FAX141" s="786"/>
      <c r="FAY141" s="786"/>
      <c r="FAZ141" s="786"/>
      <c r="FBA141" s="786"/>
      <c r="FBB141" s="786"/>
      <c r="FBC141" s="786"/>
      <c r="FBD141" s="786"/>
      <c r="FBE141" s="786"/>
      <c r="FBF141" s="786"/>
      <c r="FBG141" s="786"/>
      <c r="FBH141" s="786"/>
      <c r="FBI141" s="786"/>
      <c r="FBJ141" s="786"/>
      <c r="FBK141" s="786"/>
      <c r="FBL141" s="786"/>
      <c r="FBM141" s="786"/>
      <c r="FBN141" s="786"/>
      <c r="FBO141" s="786"/>
      <c r="FBP141" s="786"/>
      <c r="FBQ141" s="786"/>
      <c r="FBR141" s="786"/>
      <c r="FBS141" s="786"/>
      <c r="FBT141" s="786"/>
      <c r="FBU141" s="786"/>
      <c r="FBV141" s="786"/>
      <c r="FBW141" s="786"/>
      <c r="FBX141" s="786"/>
      <c r="FBY141" s="786"/>
      <c r="FBZ141" s="786"/>
      <c r="FCA141" s="786"/>
      <c r="FCB141" s="786"/>
      <c r="FCC141" s="786"/>
      <c r="FCD141" s="786"/>
      <c r="FCE141" s="786"/>
      <c r="FCF141" s="786"/>
      <c r="FCG141" s="786"/>
      <c r="FCH141" s="786"/>
      <c r="FCI141" s="786"/>
      <c r="FCJ141" s="786"/>
      <c r="FCK141" s="786"/>
      <c r="FCL141" s="786"/>
      <c r="FCM141" s="786"/>
      <c r="FCN141" s="786"/>
      <c r="FCO141" s="786"/>
      <c r="FCP141" s="786"/>
      <c r="FCQ141" s="786"/>
      <c r="FCR141" s="786"/>
      <c r="FCS141" s="786"/>
      <c r="FCT141" s="786"/>
      <c r="FCU141" s="786"/>
      <c r="FCV141" s="786"/>
      <c r="FCW141" s="786"/>
      <c r="FCX141" s="786"/>
      <c r="FCY141" s="786"/>
      <c r="FCZ141" s="786"/>
      <c r="FDA141" s="786"/>
      <c r="FDB141" s="786"/>
      <c r="FDC141" s="786"/>
      <c r="FDD141" s="786"/>
      <c r="FDE141" s="786"/>
      <c r="FDF141" s="786"/>
      <c r="FDG141" s="786"/>
      <c r="FDH141" s="786"/>
      <c r="FDI141" s="786"/>
      <c r="FDJ141" s="786"/>
      <c r="FDK141" s="786"/>
      <c r="FDL141" s="786"/>
      <c r="FDM141" s="786"/>
      <c r="FDN141" s="786"/>
      <c r="FDO141" s="786"/>
      <c r="FDP141" s="786"/>
      <c r="FDQ141" s="786"/>
      <c r="FDR141" s="786"/>
      <c r="FDS141" s="786"/>
      <c r="FDT141" s="786"/>
      <c r="FDU141" s="786"/>
      <c r="FDV141" s="786"/>
      <c r="FDW141" s="786"/>
      <c r="FDX141" s="786"/>
      <c r="FDY141" s="786"/>
      <c r="FDZ141" s="786"/>
      <c r="FEA141" s="786"/>
      <c r="FEB141" s="786"/>
      <c r="FEC141" s="786"/>
      <c r="FED141" s="786"/>
      <c r="FEE141" s="786"/>
      <c r="FEF141" s="786"/>
      <c r="FEG141" s="786"/>
      <c r="FEH141" s="786"/>
      <c r="FEI141" s="786"/>
      <c r="FEJ141" s="786"/>
      <c r="FEK141" s="786"/>
      <c r="FEL141" s="786"/>
      <c r="FEM141" s="786"/>
      <c r="FEN141" s="786"/>
      <c r="FEO141" s="786"/>
      <c r="FEP141" s="786"/>
      <c r="FEQ141" s="786"/>
      <c r="FER141" s="786"/>
      <c r="FES141" s="786"/>
      <c r="FET141" s="786"/>
      <c r="FEU141" s="786"/>
      <c r="FEV141" s="786"/>
      <c r="FEW141" s="786"/>
      <c r="FEX141" s="786"/>
      <c r="FEY141" s="786"/>
      <c r="FEZ141" s="786"/>
      <c r="FFA141" s="786"/>
      <c r="FFB141" s="786"/>
      <c r="FFC141" s="786"/>
      <c r="FFD141" s="786"/>
      <c r="FFE141" s="786"/>
      <c r="FFF141" s="786"/>
      <c r="FFG141" s="786"/>
      <c r="FFH141" s="786"/>
      <c r="FFI141" s="786"/>
      <c r="FFJ141" s="786"/>
      <c r="FFK141" s="786"/>
      <c r="FFL141" s="786"/>
      <c r="FFM141" s="786"/>
      <c r="FFN141" s="786"/>
      <c r="FFO141" s="786"/>
      <c r="FFP141" s="786"/>
      <c r="FFQ141" s="786"/>
      <c r="FFR141" s="786"/>
      <c r="FFS141" s="786"/>
      <c r="FFT141" s="786"/>
      <c r="FFU141" s="786"/>
      <c r="FFV141" s="786"/>
      <c r="FFW141" s="786"/>
      <c r="FFX141" s="786"/>
      <c r="FFY141" s="786"/>
      <c r="FFZ141" s="786"/>
      <c r="FGA141" s="786"/>
      <c r="FGB141" s="786"/>
      <c r="FGC141" s="786"/>
      <c r="FGD141" s="786"/>
      <c r="FGE141" s="786"/>
      <c r="FGF141" s="786"/>
      <c r="FGG141" s="786"/>
      <c r="FGH141" s="786"/>
      <c r="FGI141" s="786"/>
      <c r="FGJ141" s="786"/>
      <c r="FGK141" s="786"/>
      <c r="FGL141" s="786"/>
      <c r="FGM141" s="786"/>
      <c r="FGN141" s="786"/>
      <c r="FGO141" s="786"/>
      <c r="FGP141" s="786"/>
      <c r="FGQ141" s="786"/>
      <c r="FGR141" s="786"/>
      <c r="FGS141" s="786"/>
      <c r="FGT141" s="786"/>
      <c r="FGU141" s="786"/>
      <c r="FGV141" s="786"/>
      <c r="FGW141" s="786"/>
      <c r="FGX141" s="786"/>
      <c r="FGY141" s="786"/>
      <c r="FGZ141" s="786"/>
      <c r="FHA141" s="786"/>
      <c r="FHB141" s="786"/>
      <c r="FHC141" s="786"/>
      <c r="FHD141" s="786"/>
      <c r="FHE141" s="786"/>
      <c r="FHF141" s="786"/>
      <c r="FHG141" s="786"/>
      <c r="FHH141" s="786"/>
      <c r="FHI141" s="786"/>
      <c r="FHJ141" s="786"/>
      <c r="FHK141" s="786"/>
      <c r="FHL141" s="786"/>
      <c r="FHM141" s="786"/>
      <c r="FHN141" s="786"/>
      <c r="FHO141" s="786"/>
      <c r="FHP141" s="786"/>
      <c r="FHQ141" s="786"/>
      <c r="FHR141" s="786"/>
      <c r="FHS141" s="786"/>
      <c r="FHT141" s="786"/>
      <c r="FHU141" s="786"/>
      <c r="FHV141" s="786"/>
      <c r="FHW141" s="786"/>
      <c r="FHX141" s="786"/>
      <c r="FHY141" s="786"/>
      <c r="FHZ141" s="786"/>
      <c r="FIA141" s="786"/>
      <c r="FIB141" s="786"/>
      <c r="FIC141" s="786"/>
      <c r="FID141" s="786"/>
      <c r="FIE141" s="786"/>
      <c r="FIF141" s="786"/>
      <c r="FIG141" s="786"/>
      <c r="FIH141" s="786"/>
      <c r="FII141" s="786"/>
      <c r="FIJ141" s="786"/>
      <c r="FIK141" s="786"/>
      <c r="FIL141" s="786"/>
      <c r="FIM141" s="786"/>
      <c r="FIN141" s="786"/>
      <c r="FIO141" s="786"/>
      <c r="FIP141" s="786"/>
      <c r="FIQ141" s="786"/>
      <c r="FIR141" s="786"/>
      <c r="FIS141" s="786"/>
      <c r="FIT141" s="786"/>
      <c r="FIU141" s="786"/>
      <c r="FIV141" s="786"/>
      <c r="FIW141" s="786"/>
      <c r="FIX141" s="786"/>
      <c r="FIY141" s="786"/>
      <c r="FIZ141" s="786"/>
      <c r="FJA141" s="786"/>
      <c r="FJB141" s="786"/>
      <c r="FJC141" s="786"/>
      <c r="FJD141" s="786"/>
      <c r="FJE141" s="786"/>
      <c r="FJF141" s="786"/>
      <c r="FJG141" s="786"/>
      <c r="FJH141" s="786"/>
      <c r="FJI141" s="786"/>
      <c r="FJJ141" s="786"/>
      <c r="FJK141" s="786"/>
      <c r="FJL141" s="786"/>
      <c r="FJM141" s="786"/>
      <c r="FJN141" s="786"/>
      <c r="FJO141" s="786"/>
      <c r="FJP141" s="786"/>
      <c r="FJQ141" s="786"/>
      <c r="FJR141" s="786"/>
      <c r="FJS141" s="786"/>
      <c r="FJT141" s="786"/>
      <c r="FJU141" s="786"/>
      <c r="FJV141" s="786"/>
      <c r="FJW141" s="786"/>
      <c r="FJX141" s="786"/>
      <c r="FJY141" s="786"/>
      <c r="FJZ141" s="786"/>
      <c r="FKA141" s="786"/>
      <c r="FKB141" s="786"/>
      <c r="FKC141" s="786"/>
      <c r="FKD141" s="786"/>
      <c r="FKE141" s="786"/>
      <c r="FKF141" s="786"/>
      <c r="FKG141" s="786"/>
      <c r="FKH141" s="786"/>
      <c r="FKI141" s="786"/>
      <c r="FKJ141" s="786"/>
      <c r="FKK141" s="786"/>
      <c r="FKL141" s="786"/>
      <c r="FKM141" s="786"/>
      <c r="FKN141" s="786"/>
      <c r="FKO141" s="786"/>
      <c r="FKP141" s="786"/>
      <c r="FKQ141" s="786"/>
      <c r="FKR141" s="786"/>
      <c r="FKS141" s="786"/>
      <c r="FKT141" s="786"/>
      <c r="FKU141" s="786"/>
      <c r="FKV141" s="786"/>
      <c r="FKW141" s="786"/>
      <c r="FKX141" s="786"/>
      <c r="FKY141" s="786"/>
      <c r="FKZ141" s="786"/>
      <c r="FLA141" s="786"/>
      <c r="FLB141" s="786"/>
      <c r="FLC141" s="786"/>
      <c r="FLD141" s="786"/>
      <c r="FLE141" s="786"/>
      <c r="FLF141" s="786"/>
      <c r="FLG141" s="786"/>
      <c r="FLH141" s="786"/>
      <c r="FLI141" s="786"/>
      <c r="FLJ141" s="786"/>
      <c r="FLK141" s="786"/>
      <c r="FLL141" s="786"/>
      <c r="FLM141" s="786"/>
      <c r="FLN141" s="786"/>
      <c r="FLO141" s="786"/>
      <c r="FLP141" s="786"/>
      <c r="FLQ141" s="786"/>
      <c r="FLR141" s="786"/>
      <c r="FLS141" s="786"/>
      <c r="FLT141" s="786"/>
      <c r="FLU141" s="786"/>
      <c r="FLV141" s="786"/>
      <c r="FLW141" s="786"/>
      <c r="FLX141" s="786"/>
      <c r="FLY141" s="786"/>
      <c r="FLZ141" s="786"/>
      <c r="FMA141" s="786"/>
      <c r="FMB141" s="786"/>
      <c r="FMC141" s="786"/>
      <c r="FMD141" s="786"/>
      <c r="FME141" s="786"/>
      <c r="FMF141" s="786"/>
      <c r="FMG141" s="786"/>
      <c r="FMH141" s="786"/>
      <c r="FMI141" s="786"/>
      <c r="FMJ141" s="786"/>
      <c r="FMK141" s="786"/>
      <c r="FML141" s="786"/>
      <c r="FMM141" s="786"/>
      <c r="FMN141" s="786"/>
      <c r="FMO141" s="786"/>
      <c r="FMP141" s="786"/>
      <c r="FMQ141" s="786"/>
      <c r="FMR141" s="786"/>
      <c r="FMS141" s="786"/>
      <c r="FMT141" s="786"/>
      <c r="FMU141" s="786"/>
      <c r="FMV141" s="786"/>
      <c r="FMW141" s="786"/>
      <c r="FMX141" s="786"/>
      <c r="FMY141" s="786"/>
      <c r="FMZ141" s="786"/>
      <c r="FNA141" s="786"/>
      <c r="FNB141" s="786"/>
      <c r="FNC141" s="786"/>
      <c r="FND141" s="786"/>
      <c r="FNE141" s="786"/>
      <c r="FNF141" s="786"/>
      <c r="FNG141" s="786"/>
      <c r="FNH141" s="786"/>
      <c r="FNI141" s="786"/>
      <c r="FNJ141" s="786"/>
      <c r="FNK141" s="786"/>
      <c r="FNL141" s="786"/>
      <c r="FNM141" s="786"/>
      <c r="FNN141" s="786"/>
      <c r="FNO141" s="786"/>
      <c r="FNP141" s="786"/>
      <c r="FNQ141" s="786"/>
      <c r="FNR141" s="786"/>
      <c r="FNS141" s="786"/>
      <c r="FNT141" s="786"/>
      <c r="FNU141" s="786"/>
      <c r="FNV141" s="786"/>
      <c r="FNW141" s="786"/>
      <c r="FNX141" s="786"/>
      <c r="FNY141" s="786"/>
      <c r="FNZ141" s="786"/>
      <c r="FOA141" s="786"/>
      <c r="FOB141" s="786"/>
      <c r="FOC141" s="786"/>
      <c r="FOD141" s="786"/>
      <c r="FOE141" s="786"/>
      <c r="FOF141" s="786"/>
      <c r="FOG141" s="786"/>
      <c r="FOH141" s="786"/>
      <c r="FOI141" s="786"/>
      <c r="FOJ141" s="786"/>
      <c r="FOK141" s="786"/>
      <c r="FOL141" s="786"/>
      <c r="FOM141" s="786"/>
      <c r="FON141" s="786"/>
      <c r="FOO141" s="786"/>
      <c r="FOP141" s="786"/>
      <c r="FOQ141" s="786"/>
      <c r="FOR141" s="786"/>
      <c r="FOS141" s="786"/>
      <c r="FOT141" s="786"/>
      <c r="FOU141" s="786"/>
      <c r="FOV141" s="786"/>
      <c r="FOW141" s="786"/>
      <c r="FOX141" s="786"/>
      <c r="FOY141" s="786"/>
      <c r="FOZ141" s="786"/>
      <c r="FPA141" s="786"/>
      <c r="FPB141" s="786"/>
      <c r="FPC141" s="786"/>
      <c r="FPD141" s="786"/>
      <c r="FPE141" s="786"/>
      <c r="FPF141" s="786"/>
      <c r="FPG141" s="786"/>
      <c r="FPH141" s="786"/>
      <c r="FPI141" s="786"/>
      <c r="FPJ141" s="786"/>
      <c r="FPK141" s="786"/>
      <c r="FPL141" s="786"/>
      <c r="FPM141" s="786"/>
      <c r="FPN141" s="786"/>
      <c r="FPO141" s="786"/>
      <c r="FPP141" s="786"/>
      <c r="FPQ141" s="786"/>
      <c r="FPR141" s="786"/>
      <c r="FPS141" s="786"/>
      <c r="FPT141" s="786"/>
      <c r="FPU141" s="786"/>
      <c r="FPV141" s="786"/>
      <c r="FPW141" s="786"/>
      <c r="FPX141" s="786"/>
      <c r="FPY141" s="786"/>
      <c r="FPZ141" s="786"/>
      <c r="FQA141" s="786"/>
      <c r="FQB141" s="786"/>
      <c r="FQC141" s="786"/>
      <c r="FQD141" s="786"/>
      <c r="FQE141" s="786"/>
      <c r="FQF141" s="786"/>
      <c r="FQG141" s="786"/>
      <c r="FQH141" s="786"/>
      <c r="FQI141" s="786"/>
      <c r="FQJ141" s="786"/>
      <c r="FQK141" s="786"/>
      <c r="FQL141" s="786"/>
      <c r="FQM141" s="786"/>
      <c r="FQN141" s="786"/>
      <c r="FQO141" s="786"/>
      <c r="FQP141" s="786"/>
      <c r="FQQ141" s="786"/>
      <c r="FQR141" s="786"/>
      <c r="FQS141" s="786"/>
      <c r="FQT141" s="786"/>
      <c r="FQU141" s="786"/>
      <c r="FQV141" s="786"/>
      <c r="FQW141" s="786"/>
      <c r="FQX141" s="786"/>
      <c r="FQY141" s="786"/>
      <c r="FQZ141" s="786"/>
      <c r="FRA141" s="786"/>
      <c r="FRB141" s="786"/>
      <c r="FRC141" s="786"/>
      <c r="FRD141" s="786"/>
      <c r="FRE141" s="786"/>
      <c r="FRF141" s="786"/>
      <c r="FRG141" s="786"/>
      <c r="FRH141" s="786"/>
      <c r="FRI141" s="786"/>
      <c r="FRJ141" s="786"/>
      <c r="FRK141" s="786"/>
      <c r="FRL141" s="786"/>
      <c r="FRM141" s="786"/>
      <c r="FRN141" s="786"/>
      <c r="FRO141" s="786"/>
      <c r="FRP141" s="786"/>
      <c r="FRQ141" s="786"/>
      <c r="FRR141" s="786"/>
      <c r="FRS141" s="786"/>
      <c r="FRT141" s="786"/>
      <c r="FRU141" s="786"/>
      <c r="FRV141" s="786"/>
      <c r="FRW141" s="786"/>
      <c r="FRX141" s="786"/>
      <c r="FRY141" s="786"/>
      <c r="FRZ141" s="786"/>
      <c r="FSA141" s="786"/>
      <c r="FSB141" s="786"/>
      <c r="FSC141" s="786"/>
      <c r="FSD141" s="786"/>
      <c r="FSE141" s="786"/>
      <c r="FSF141" s="786"/>
      <c r="FSG141" s="786"/>
      <c r="FSH141" s="786"/>
      <c r="FSI141" s="786"/>
      <c r="FSJ141" s="786"/>
      <c r="FSK141" s="786"/>
      <c r="FSL141" s="786"/>
      <c r="FSM141" s="786"/>
      <c r="FSN141" s="786"/>
      <c r="FSO141" s="786"/>
      <c r="FSP141" s="786"/>
      <c r="FSQ141" s="786"/>
      <c r="FSR141" s="786"/>
      <c r="FSS141" s="786"/>
      <c r="FST141" s="786"/>
      <c r="FSU141" s="786"/>
      <c r="FSV141" s="786"/>
      <c r="FSW141" s="786"/>
      <c r="FSX141" s="786"/>
      <c r="FSY141" s="786"/>
      <c r="FSZ141" s="786"/>
      <c r="FTA141" s="786"/>
      <c r="FTB141" s="786"/>
      <c r="FTC141" s="786"/>
      <c r="FTD141" s="786"/>
      <c r="FTE141" s="786"/>
      <c r="FTF141" s="786"/>
      <c r="FTG141" s="786"/>
      <c r="FTH141" s="786"/>
      <c r="FTI141" s="786"/>
      <c r="FTJ141" s="786"/>
      <c r="FTK141" s="786"/>
      <c r="FTL141" s="786"/>
      <c r="FTM141" s="786"/>
      <c r="FTN141" s="786"/>
      <c r="FTO141" s="786"/>
      <c r="FTP141" s="786"/>
      <c r="FTQ141" s="786"/>
      <c r="FTR141" s="786"/>
      <c r="FTS141" s="786"/>
      <c r="FTT141" s="786"/>
      <c r="FTU141" s="786"/>
      <c r="FTV141" s="786"/>
      <c r="FTW141" s="786"/>
      <c r="FTX141" s="786"/>
      <c r="FTY141" s="786"/>
      <c r="FTZ141" s="786"/>
      <c r="FUA141" s="786"/>
      <c r="FUB141" s="786"/>
      <c r="FUC141" s="786"/>
      <c r="FUD141" s="786"/>
      <c r="FUE141" s="786"/>
      <c r="FUF141" s="786"/>
      <c r="FUG141" s="786"/>
      <c r="FUH141" s="786"/>
      <c r="FUI141" s="786"/>
      <c r="FUJ141" s="786"/>
      <c r="FUK141" s="786"/>
      <c r="FUL141" s="786"/>
      <c r="FUM141" s="786"/>
      <c r="FUN141" s="786"/>
      <c r="FUO141" s="786"/>
      <c r="FUP141" s="786"/>
      <c r="FUQ141" s="786"/>
      <c r="FUR141" s="786"/>
      <c r="FUS141" s="786"/>
      <c r="FUT141" s="786"/>
      <c r="FUU141" s="786"/>
      <c r="FUV141" s="786"/>
      <c r="FUW141" s="786"/>
      <c r="FUX141" s="786"/>
      <c r="FUY141" s="786"/>
      <c r="FUZ141" s="786"/>
      <c r="FVA141" s="786"/>
      <c r="FVB141" s="786"/>
      <c r="FVC141" s="786"/>
      <c r="FVD141" s="786"/>
      <c r="FVE141" s="786"/>
      <c r="FVF141" s="786"/>
      <c r="FVG141" s="786"/>
      <c r="FVH141" s="786"/>
      <c r="FVI141" s="786"/>
      <c r="FVJ141" s="786"/>
      <c r="FVK141" s="786"/>
      <c r="FVL141" s="786"/>
      <c r="FVM141" s="786"/>
      <c r="FVN141" s="786"/>
      <c r="FVO141" s="786"/>
      <c r="FVP141" s="786"/>
      <c r="FVQ141" s="786"/>
      <c r="FVR141" s="786"/>
      <c r="FVS141" s="786"/>
      <c r="FVT141" s="786"/>
      <c r="FVU141" s="786"/>
      <c r="FVV141" s="786"/>
      <c r="FVW141" s="786"/>
      <c r="FVX141" s="786"/>
      <c r="FVY141" s="786"/>
      <c r="FVZ141" s="786"/>
      <c r="FWA141" s="786"/>
      <c r="FWB141" s="786"/>
      <c r="FWC141" s="786"/>
      <c r="FWD141" s="786"/>
      <c r="FWE141" s="786"/>
      <c r="FWF141" s="786"/>
      <c r="FWG141" s="786"/>
      <c r="FWH141" s="786"/>
      <c r="FWI141" s="786"/>
      <c r="FWJ141" s="786"/>
      <c r="FWK141" s="786"/>
      <c r="FWL141" s="786"/>
      <c r="FWM141" s="786"/>
      <c r="FWN141" s="786"/>
      <c r="FWO141" s="786"/>
      <c r="FWP141" s="786"/>
      <c r="FWQ141" s="786"/>
      <c r="FWR141" s="786"/>
      <c r="FWS141" s="786"/>
      <c r="FWT141" s="786"/>
      <c r="FWU141" s="786"/>
      <c r="FWV141" s="786"/>
      <c r="FWW141" s="786"/>
      <c r="FWX141" s="786"/>
      <c r="FWY141" s="786"/>
      <c r="FWZ141" s="786"/>
      <c r="FXA141" s="786"/>
      <c r="FXB141" s="786"/>
      <c r="FXC141" s="786"/>
      <c r="FXD141" s="786"/>
      <c r="FXE141" s="786"/>
      <c r="FXF141" s="786"/>
      <c r="FXG141" s="786"/>
      <c r="FXH141" s="786"/>
      <c r="FXI141" s="786"/>
      <c r="FXJ141" s="786"/>
      <c r="FXK141" s="786"/>
      <c r="FXL141" s="786"/>
      <c r="FXM141" s="786"/>
      <c r="FXN141" s="786"/>
      <c r="FXO141" s="786"/>
      <c r="FXP141" s="786"/>
      <c r="FXQ141" s="786"/>
      <c r="FXR141" s="786"/>
      <c r="FXS141" s="786"/>
      <c r="FXT141" s="786"/>
      <c r="FXU141" s="786"/>
      <c r="FXV141" s="786"/>
      <c r="FXW141" s="786"/>
      <c r="FXX141" s="786"/>
      <c r="FXY141" s="786"/>
      <c r="FXZ141" s="786"/>
      <c r="FYA141" s="786"/>
      <c r="FYB141" s="786"/>
      <c r="FYC141" s="786"/>
      <c r="FYD141" s="786"/>
      <c r="FYE141" s="786"/>
      <c r="FYF141" s="786"/>
      <c r="FYG141" s="786"/>
      <c r="FYH141" s="786"/>
      <c r="FYI141" s="786"/>
      <c r="FYJ141" s="786"/>
      <c r="FYK141" s="786"/>
      <c r="FYL141" s="786"/>
      <c r="FYM141" s="786"/>
      <c r="FYN141" s="786"/>
      <c r="FYO141" s="786"/>
      <c r="FYP141" s="786"/>
      <c r="FYQ141" s="786"/>
      <c r="FYR141" s="786"/>
      <c r="FYS141" s="786"/>
      <c r="FYT141" s="786"/>
      <c r="FYU141" s="786"/>
      <c r="FYV141" s="786"/>
      <c r="FYW141" s="786"/>
      <c r="FYX141" s="786"/>
      <c r="FYY141" s="786"/>
      <c r="FYZ141" s="786"/>
      <c r="FZA141" s="786"/>
      <c r="FZB141" s="786"/>
      <c r="FZC141" s="786"/>
      <c r="FZD141" s="786"/>
      <c r="FZE141" s="786"/>
      <c r="FZF141" s="786"/>
      <c r="FZG141" s="786"/>
      <c r="FZH141" s="786"/>
      <c r="FZI141" s="786"/>
      <c r="FZJ141" s="786"/>
      <c r="FZK141" s="786"/>
      <c r="FZL141" s="786"/>
      <c r="FZM141" s="786"/>
      <c r="FZN141" s="786"/>
      <c r="FZO141" s="786"/>
      <c r="FZP141" s="786"/>
      <c r="FZQ141" s="786"/>
      <c r="FZR141" s="786"/>
      <c r="FZS141" s="786"/>
      <c r="FZT141" s="786"/>
      <c r="FZU141" s="786"/>
      <c r="FZV141" s="786"/>
      <c r="FZW141" s="786"/>
      <c r="FZX141" s="786"/>
      <c r="FZY141" s="786"/>
      <c r="FZZ141" s="786"/>
      <c r="GAA141" s="786"/>
      <c r="GAB141" s="786"/>
      <c r="GAC141" s="786"/>
      <c r="GAD141" s="786"/>
      <c r="GAE141" s="786"/>
      <c r="GAF141" s="786"/>
      <c r="GAG141" s="786"/>
      <c r="GAH141" s="786"/>
      <c r="GAI141" s="786"/>
      <c r="GAJ141" s="786"/>
      <c r="GAK141" s="786"/>
      <c r="GAL141" s="786"/>
      <c r="GAM141" s="786"/>
      <c r="GAN141" s="786"/>
      <c r="GAO141" s="786"/>
      <c r="GAP141" s="786"/>
      <c r="GAQ141" s="786"/>
      <c r="GAR141" s="786"/>
      <c r="GAS141" s="786"/>
      <c r="GAT141" s="786"/>
      <c r="GAU141" s="786"/>
      <c r="GAV141" s="786"/>
      <c r="GAW141" s="786"/>
      <c r="GAX141" s="786"/>
      <c r="GAY141" s="786"/>
      <c r="GAZ141" s="786"/>
      <c r="GBA141" s="786"/>
      <c r="GBB141" s="786"/>
      <c r="GBC141" s="786"/>
      <c r="GBD141" s="786"/>
      <c r="GBE141" s="786"/>
      <c r="GBF141" s="786"/>
      <c r="GBG141" s="786"/>
      <c r="GBH141" s="786"/>
      <c r="GBI141" s="786"/>
      <c r="GBJ141" s="786"/>
      <c r="GBK141" s="786"/>
      <c r="GBL141" s="786"/>
      <c r="GBM141" s="786"/>
      <c r="GBN141" s="786"/>
      <c r="GBO141" s="786"/>
      <c r="GBP141" s="786"/>
      <c r="GBQ141" s="786"/>
      <c r="GBR141" s="786"/>
      <c r="GBS141" s="786"/>
      <c r="GBT141" s="786"/>
      <c r="GBU141" s="786"/>
      <c r="GBV141" s="786"/>
      <c r="GBW141" s="786"/>
      <c r="GBX141" s="786"/>
      <c r="GBY141" s="786"/>
      <c r="GBZ141" s="786"/>
      <c r="GCA141" s="786"/>
      <c r="GCB141" s="786"/>
      <c r="GCC141" s="786"/>
      <c r="GCD141" s="786"/>
      <c r="GCE141" s="786"/>
      <c r="GCF141" s="786"/>
      <c r="GCG141" s="786"/>
      <c r="GCH141" s="786"/>
      <c r="GCI141" s="786"/>
      <c r="GCJ141" s="786"/>
      <c r="GCK141" s="786"/>
      <c r="GCL141" s="786"/>
      <c r="GCM141" s="786"/>
      <c r="GCN141" s="786"/>
      <c r="GCO141" s="786"/>
      <c r="GCP141" s="786"/>
      <c r="GCQ141" s="786"/>
      <c r="GCR141" s="786"/>
      <c r="GCS141" s="786"/>
      <c r="GCT141" s="786"/>
      <c r="GCU141" s="786"/>
      <c r="GCV141" s="786"/>
      <c r="GCW141" s="786"/>
      <c r="GCX141" s="786"/>
      <c r="GCY141" s="786"/>
      <c r="GCZ141" s="786"/>
      <c r="GDA141" s="786"/>
      <c r="GDB141" s="786"/>
      <c r="GDC141" s="786"/>
      <c r="GDD141" s="786"/>
      <c r="GDE141" s="786"/>
      <c r="GDF141" s="786"/>
      <c r="GDG141" s="786"/>
      <c r="GDH141" s="786"/>
      <c r="GDI141" s="786"/>
      <c r="GDJ141" s="786"/>
      <c r="GDK141" s="786"/>
      <c r="GDL141" s="786"/>
      <c r="GDM141" s="786"/>
      <c r="GDN141" s="786"/>
      <c r="GDO141" s="786"/>
      <c r="GDP141" s="786"/>
      <c r="GDQ141" s="786"/>
      <c r="GDR141" s="786"/>
      <c r="GDS141" s="786"/>
      <c r="GDT141" s="786"/>
      <c r="GDU141" s="786"/>
      <c r="GDV141" s="786"/>
      <c r="GDW141" s="786"/>
      <c r="GDX141" s="786"/>
      <c r="GDY141" s="786"/>
      <c r="GDZ141" s="786"/>
      <c r="GEA141" s="786"/>
      <c r="GEB141" s="786"/>
      <c r="GEC141" s="786"/>
      <c r="GED141" s="786"/>
      <c r="GEE141" s="786"/>
      <c r="GEF141" s="786"/>
      <c r="GEG141" s="786"/>
      <c r="GEH141" s="786"/>
      <c r="GEI141" s="786"/>
      <c r="GEJ141" s="786"/>
      <c r="GEK141" s="786"/>
      <c r="GEL141" s="786"/>
      <c r="GEM141" s="786"/>
      <c r="GEN141" s="786"/>
      <c r="GEO141" s="786"/>
      <c r="GEP141" s="786"/>
      <c r="GEQ141" s="786"/>
      <c r="GER141" s="786"/>
      <c r="GES141" s="786"/>
      <c r="GET141" s="786"/>
      <c r="GEU141" s="786"/>
      <c r="GEV141" s="786"/>
      <c r="GEW141" s="786"/>
      <c r="GEX141" s="786"/>
      <c r="GEY141" s="786"/>
      <c r="GEZ141" s="786"/>
      <c r="GFA141" s="786"/>
      <c r="GFB141" s="786"/>
      <c r="GFC141" s="786"/>
      <c r="GFD141" s="786"/>
      <c r="GFE141" s="786"/>
      <c r="GFF141" s="786"/>
      <c r="GFG141" s="786"/>
      <c r="GFH141" s="786"/>
      <c r="GFI141" s="786"/>
      <c r="GFJ141" s="786"/>
      <c r="GFK141" s="786"/>
      <c r="GFL141" s="786"/>
      <c r="GFM141" s="786"/>
      <c r="GFN141" s="786"/>
      <c r="GFO141" s="786"/>
      <c r="GFP141" s="786"/>
      <c r="GFQ141" s="786"/>
      <c r="GFR141" s="786"/>
      <c r="GFS141" s="786"/>
      <c r="GFT141" s="786"/>
      <c r="GFU141" s="786"/>
      <c r="GFV141" s="786"/>
      <c r="GFW141" s="786"/>
      <c r="GFX141" s="786"/>
      <c r="GFY141" s="786"/>
      <c r="GFZ141" s="786"/>
      <c r="GGA141" s="786"/>
      <c r="GGB141" s="786"/>
      <c r="GGC141" s="786"/>
      <c r="GGD141" s="786"/>
      <c r="GGE141" s="786"/>
      <c r="GGF141" s="786"/>
      <c r="GGG141" s="786"/>
      <c r="GGH141" s="786"/>
      <c r="GGI141" s="786"/>
      <c r="GGJ141" s="786"/>
      <c r="GGK141" s="786"/>
      <c r="GGL141" s="786"/>
      <c r="GGM141" s="786"/>
      <c r="GGN141" s="786"/>
      <c r="GGO141" s="786"/>
      <c r="GGP141" s="786"/>
      <c r="GGQ141" s="786"/>
      <c r="GGR141" s="786"/>
      <c r="GGS141" s="786"/>
      <c r="GGT141" s="786"/>
      <c r="GGU141" s="786"/>
      <c r="GGV141" s="786"/>
      <c r="GGW141" s="786"/>
      <c r="GGX141" s="786"/>
      <c r="GGY141" s="786"/>
      <c r="GGZ141" s="786"/>
      <c r="GHA141" s="786"/>
      <c r="GHB141" s="786"/>
      <c r="GHC141" s="786"/>
      <c r="GHD141" s="786"/>
      <c r="GHE141" s="786"/>
      <c r="GHF141" s="786"/>
      <c r="GHG141" s="786"/>
      <c r="GHH141" s="786"/>
      <c r="GHI141" s="786"/>
      <c r="GHJ141" s="786"/>
      <c r="GHK141" s="786"/>
      <c r="GHL141" s="786"/>
      <c r="GHM141" s="786"/>
      <c r="GHN141" s="786"/>
      <c r="GHO141" s="786"/>
      <c r="GHP141" s="786"/>
      <c r="GHQ141" s="786"/>
      <c r="GHR141" s="786"/>
      <c r="GHS141" s="786"/>
      <c r="GHT141" s="786"/>
      <c r="GHU141" s="786"/>
      <c r="GHV141" s="786"/>
      <c r="GHW141" s="786"/>
      <c r="GHX141" s="786"/>
      <c r="GHY141" s="786"/>
      <c r="GHZ141" s="786"/>
      <c r="GIA141" s="786"/>
      <c r="GIB141" s="786"/>
      <c r="GIC141" s="786"/>
      <c r="GID141" s="786"/>
      <c r="GIE141" s="786"/>
      <c r="GIF141" s="786"/>
      <c r="GIG141" s="786"/>
      <c r="GIH141" s="786"/>
      <c r="GII141" s="786"/>
      <c r="GIJ141" s="786"/>
      <c r="GIK141" s="786"/>
      <c r="GIL141" s="786"/>
      <c r="GIM141" s="786"/>
      <c r="GIN141" s="786"/>
      <c r="GIO141" s="786"/>
      <c r="GIP141" s="786"/>
      <c r="GIQ141" s="786"/>
      <c r="GIR141" s="786"/>
      <c r="GIS141" s="786"/>
      <c r="GIT141" s="786"/>
      <c r="GIU141" s="786"/>
      <c r="GIV141" s="786"/>
      <c r="GIW141" s="786"/>
      <c r="GIX141" s="786"/>
      <c r="GIY141" s="786"/>
      <c r="GIZ141" s="786"/>
      <c r="GJA141" s="786"/>
      <c r="GJB141" s="786"/>
      <c r="GJC141" s="786"/>
      <c r="GJD141" s="786"/>
      <c r="GJE141" s="786"/>
      <c r="GJF141" s="786"/>
      <c r="GJG141" s="786"/>
      <c r="GJH141" s="786"/>
      <c r="GJI141" s="786"/>
      <c r="GJJ141" s="786"/>
      <c r="GJK141" s="786"/>
      <c r="GJL141" s="786"/>
      <c r="GJM141" s="786"/>
      <c r="GJN141" s="786"/>
      <c r="GJO141" s="786"/>
      <c r="GJP141" s="786"/>
      <c r="GJQ141" s="786"/>
      <c r="GJR141" s="786"/>
      <c r="GJS141" s="786"/>
      <c r="GJT141" s="786"/>
      <c r="GJU141" s="786"/>
      <c r="GJV141" s="786"/>
      <c r="GJW141" s="786"/>
      <c r="GJX141" s="786"/>
      <c r="GJY141" s="786"/>
      <c r="GJZ141" s="786"/>
      <c r="GKA141" s="786"/>
      <c r="GKB141" s="786"/>
      <c r="GKC141" s="786"/>
      <c r="GKD141" s="786"/>
      <c r="GKE141" s="786"/>
      <c r="GKF141" s="786"/>
      <c r="GKG141" s="786"/>
      <c r="GKH141" s="786"/>
      <c r="GKI141" s="786"/>
      <c r="GKJ141" s="786"/>
      <c r="GKK141" s="786"/>
      <c r="GKL141" s="786"/>
      <c r="GKM141" s="786"/>
      <c r="GKN141" s="786"/>
      <c r="GKO141" s="786"/>
      <c r="GKP141" s="786"/>
      <c r="GKQ141" s="786"/>
      <c r="GKR141" s="786"/>
      <c r="GKS141" s="786"/>
      <c r="GKT141" s="786"/>
      <c r="GKU141" s="786"/>
      <c r="GKV141" s="786"/>
      <c r="GKW141" s="786"/>
      <c r="GKX141" s="786"/>
      <c r="GKY141" s="786"/>
      <c r="GKZ141" s="786"/>
      <c r="GLA141" s="786"/>
      <c r="GLB141" s="786"/>
      <c r="GLC141" s="786"/>
      <c r="GLD141" s="786"/>
      <c r="GLE141" s="786"/>
      <c r="GLF141" s="786"/>
      <c r="GLG141" s="786"/>
      <c r="GLH141" s="786"/>
      <c r="GLI141" s="786"/>
      <c r="GLJ141" s="786"/>
      <c r="GLK141" s="786"/>
      <c r="GLL141" s="786"/>
      <c r="GLM141" s="786"/>
      <c r="GLN141" s="786"/>
      <c r="GLO141" s="786"/>
      <c r="GLP141" s="786"/>
      <c r="GLQ141" s="786"/>
      <c r="GLR141" s="786"/>
      <c r="GLS141" s="786"/>
      <c r="GLT141" s="786"/>
      <c r="GLU141" s="786"/>
      <c r="GLV141" s="786"/>
      <c r="GLW141" s="786"/>
      <c r="GLX141" s="786"/>
      <c r="GLY141" s="786"/>
      <c r="GLZ141" s="786"/>
      <c r="GMA141" s="786"/>
      <c r="GMB141" s="786"/>
      <c r="GMC141" s="786"/>
      <c r="GMD141" s="786"/>
      <c r="GME141" s="786"/>
      <c r="GMF141" s="786"/>
      <c r="GMG141" s="786"/>
      <c r="GMH141" s="786"/>
      <c r="GMI141" s="786"/>
      <c r="GMJ141" s="786"/>
      <c r="GMK141" s="786"/>
      <c r="GML141" s="786"/>
      <c r="GMM141" s="786"/>
      <c r="GMN141" s="786"/>
      <c r="GMO141" s="786"/>
      <c r="GMP141" s="786"/>
      <c r="GMQ141" s="786"/>
      <c r="GMR141" s="786"/>
      <c r="GMS141" s="786"/>
      <c r="GMT141" s="786"/>
      <c r="GMU141" s="786"/>
      <c r="GMV141" s="786"/>
      <c r="GMW141" s="786"/>
      <c r="GMX141" s="786"/>
      <c r="GMY141" s="786"/>
      <c r="GMZ141" s="786"/>
      <c r="GNA141" s="786"/>
      <c r="GNB141" s="786"/>
      <c r="GNC141" s="786"/>
      <c r="GND141" s="786"/>
      <c r="GNE141" s="786"/>
      <c r="GNF141" s="786"/>
      <c r="GNG141" s="786"/>
      <c r="GNH141" s="786"/>
      <c r="GNI141" s="786"/>
      <c r="GNJ141" s="786"/>
      <c r="GNK141" s="786"/>
      <c r="GNL141" s="786"/>
      <c r="GNM141" s="786"/>
      <c r="GNN141" s="786"/>
      <c r="GNO141" s="786"/>
      <c r="GNP141" s="786"/>
      <c r="GNQ141" s="786"/>
      <c r="GNR141" s="786"/>
      <c r="GNS141" s="786"/>
      <c r="GNT141" s="786"/>
      <c r="GNU141" s="786"/>
      <c r="GNV141" s="786"/>
      <c r="GNW141" s="786"/>
      <c r="GNX141" s="786"/>
      <c r="GNY141" s="786"/>
      <c r="GNZ141" s="786"/>
      <c r="GOA141" s="786"/>
      <c r="GOB141" s="786"/>
      <c r="GOC141" s="786"/>
      <c r="GOD141" s="786"/>
      <c r="GOE141" s="786"/>
      <c r="GOF141" s="786"/>
      <c r="GOG141" s="786"/>
      <c r="GOH141" s="786"/>
      <c r="GOI141" s="786"/>
      <c r="GOJ141" s="786"/>
      <c r="GOK141" s="786"/>
      <c r="GOL141" s="786"/>
      <c r="GOM141" s="786"/>
      <c r="GON141" s="786"/>
      <c r="GOO141" s="786"/>
      <c r="GOP141" s="786"/>
      <c r="GOQ141" s="786"/>
      <c r="GOR141" s="786"/>
      <c r="GOS141" s="786"/>
      <c r="GOT141" s="786"/>
      <c r="GOU141" s="786"/>
      <c r="GOV141" s="786"/>
      <c r="GOW141" s="786"/>
      <c r="GOX141" s="786"/>
      <c r="GOY141" s="786"/>
      <c r="GOZ141" s="786"/>
      <c r="GPA141" s="786"/>
      <c r="GPB141" s="786"/>
      <c r="GPC141" s="786"/>
      <c r="GPD141" s="786"/>
      <c r="GPE141" s="786"/>
      <c r="GPF141" s="786"/>
      <c r="GPG141" s="786"/>
      <c r="GPH141" s="786"/>
      <c r="GPI141" s="786"/>
      <c r="GPJ141" s="786"/>
      <c r="GPK141" s="786"/>
      <c r="GPL141" s="786"/>
      <c r="GPM141" s="786"/>
      <c r="GPN141" s="786"/>
      <c r="GPO141" s="786"/>
      <c r="GPP141" s="786"/>
      <c r="GPQ141" s="786"/>
      <c r="GPR141" s="786"/>
      <c r="GPS141" s="786"/>
      <c r="GPT141" s="786"/>
      <c r="GPU141" s="786"/>
      <c r="GPV141" s="786"/>
      <c r="GPW141" s="786"/>
      <c r="GPX141" s="786"/>
      <c r="GPY141" s="786"/>
      <c r="GPZ141" s="786"/>
      <c r="GQA141" s="786"/>
      <c r="GQB141" s="786"/>
      <c r="GQC141" s="786"/>
      <c r="GQD141" s="786"/>
      <c r="GQE141" s="786"/>
      <c r="GQF141" s="786"/>
      <c r="GQG141" s="786"/>
      <c r="GQH141" s="786"/>
      <c r="GQI141" s="786"/>
      <c r="GQJ141" s="786"/>
      <c r="GQK141" s="786"/>
      <c r="GQL141" s="786"/>
      <c r="GQM141" s="786"/>
      <c r="GQN141" s="786"/>
      <c r="GQO141" s="786"/>
      <c r="GQP141" s="786"/>
      <c r="GQQ141" s="786"/>
      <c r="GQR141" s="786"/>
      <c r="GQS141" s="786"/>
      <c r="GQT141" s="786"/>
      <c r="GQU141" s="786"/>
      <c r="GQV141" s="786"/>
      <c r="GQW141" s="786"/>
      <c r="GQX141" s="786"/>
      <c r="GQY141" s="786"/>
      <c r="GQZ141" s="786"/>
      <c r="GRA141" s="786"/>
      <c r="GRB141" s="786"/>
      <c r="GRC141" s="786"/>
      <c r="GRD141" s="786"/>
      <c r="GRE141" s="786"/>
      <c r="GRF141" s="786"/>
      <c r="GRG141" s="786"/>
      <c r="GRH141" s="786"/>
      <c r="GRI141" s="786"/>
      <c r="GRJ141" s="786"/>
      <c r="GRK141" s="786"/>
      <c r="GRL141" s="786"/>
      <c r="GRM141" s="786"/>
      <c r="GRN141" s="786"/>
      <c r="GRO141" s="786"/>
      <c r="GRP141" s="786"/>
      <c r="GRQ141" s="786"/>
      <c r="GRR141" s="786"/>
      <c r="GRS141" s="786"/>
      <c r="GRT141" s="786"/>
      <c r="GRU141" s="786"/>
      <c r="GRV141" s="786"/>
      <c r="GRW141" s="786"/>
      <c r="GRX141" s="786"/>
      <c r="GRY141" s="786"/>
      <c r="GRZ141" s="786"/>
      <c r="GSA141" s="786"/>
      <c r="GSB141" s="786"/>
      <c r="GSC141" s="786"/>
      <c r="GSD141" s="786"/>
      <c r="GSE141" s="786"/>
      <c r="GSF141" s="786"/>
      <c r="GSG141" s="786"/>
      <c r="GSH141" s="786"/>
      <c r="GSI141" s="786"/>
      <c r="GSJ141" s="786"/>
      <c r="GSK141" s="786"/>
      <c r="GSL141" s="786"/>
      <c r="GSM141" s="786"/>
      <c r="GSN141" s="786"/>
      <c r="GSO141" s="786"/>
      <c r="GSP141" s="786"/>
      <c r="GSQ141" s="786"/>
      <c r="GSR141" s="786"/>
      <c r="GSS141" s="786"/>
      <c r="GST141" s="786"/>
      <c r="GSU141" s="786"/>
      <c r="GSV141" s="786"/>
      <c r="GSW141" s="786"/>
      <c r="GSX141" s="786"/>
      <c r="GSY141" s="786"/>
      <c r="GSZ141" s="786"/>
      <c r="GTA141" s="786"/>
      <c r="GTB141" s="786"/>
      <c r="GTC141" s="786"/>
      <c r="GTD141" s="786"/>
      <c r="GTE141" s="786"/>
      <c r="GTF141" s="786"/>
      <c r="GTG141" s="786"/>
      <c r="GTH141" s="786"/>
      <c r="GTI141" s="786"/>
      <c r="GTJ141" s="786"/>
      <c r="GTK141" s="786"/>
      <c r="GTL141" s="786"/>
      <c r="GTM141" s="786"/>
      <c r="GTN141" s="786"/>
      <c r="GTO141" s="786"/>
      <c r="GTP141" s="786"/>
      <c r="GTQ141" s="786"/>
      <c r="GTR141" s="786"/>
      <c r="GTS141" s="786"/>
      <c r="GTT141" s="786"/>
      <c r="GTU141" s="786"/>
      <c r="GTV141" s="786"/>
      <c r="GTW141" s="786"/>
      <c r="GTX141" s="786"/>
      <c r="GTY141" s="786"/>
      <c r="GTZ141" s="786"/>
      <c r="GUA141" s="786"/>
      <c r="GUB141" s="786"/>
      <c r="GUC141" s="786"/>
      <c r="GUD141" s="786"/>
      <c r="GUE141" s="786"/>
      <c r="GUF141" s="786"/>
      <c r="GUG141" s="786"/>
      <c r="GUH141" s="786"/>
      <c r="GUI141" s="786"/>
      <c r="GUJ141" s="786"/>
      <c r="GUK141" s="786"/>
      <c r="GUL141" s="786"/>
      <c r="GUM141" s="786"/>
      <c r="GUN141" s="786"/>
      <c r="GUO141" s="786"/>
      <c r="GUP141" s="786"/>
      <c r="GUQ141" s="786"/>
      <c r="GUR141" s="786"/>
      <c r="GUS141" s="786"/>
      <c r="GUT141" s="786"/>
      <c r="GUU141" s="786"/>
      <c r="GUV141" s="786"/>
      <c r="GUW141" s="786"/>
      <c r="GUX141" s="786"/>
      <c r="GUY141" s="786"/>
      <c r="GUZ141" s="786"/>
      <c r="GVA141" s="786"/>
      <c r="GVB141" s="786"/>
      <c r="GVC141" s="786"/>
      <c r="GVD141" s="786"/>
      <c r="GVE141" s="786"/>
      <c r="GVF141" s="786"/>
      <c r="GVG141" s="786"/>
      <c r="GVH141" s="786"/>
      <c r="GVI141" s="786"/>
      <c r="GVJ141" s="786"/>
      <c r="GVK141" s="786"/>
      <c r="GVL141" s="786"/>
      <c r="GVM141" s="786"/>
      <c r="GVN141" s="786"/>
      <c r="GVO141" s="786"/>
      <c r="GVP141" s="786"/>
      <c r="GVQ141" s="786"/>
      <c r="GVR141" s="786"/>
      <c r="GVS141" s="786"/>
      <c r="GVT141" s="786"/>
      <c r="GVU141" s="786"/>
      <c r="GVV141" s="786"/>
      <c r="GVW141" s="786"/>
      <c r="GVX141" s="786"/>
      <c r="GVY141" s="786"/>
      <c r="GVZ141" s="786"/>
      <c r="GWA141" s="786"/>
      <c r="GWB141" s="786"/>
      <c r="GWC141" s="786"/>
      <c r="GWD141" s="786"/>
      <c r="GWE141" s="786"/>
      <c r="GWF141" s="786"/>
      <c r="GWG141" s="786"/>
      <c r="GWH141" s="786"/>
      <c r="GWI141" s="786"/>
      <c r="GWJ141" s="786"/>
      <c r="GWK141" s="786"/>
      <c r="GWL141" s="786"/>
      <c r="GWM141" s="786"/>
      <c r="GWN141" s="786"/>
      <c r="GWO141" s="786"/>
      <c r="GWP141" s="786"/>
      <c r="GWQ141" s="786"/>
      <c r="GWR141" s="786"/>
      <c r="GWS141" s="786"/>
      <c r="GWT141" s="786"/>
      <c r="GWU141" s="786"/>
      <c r="GWV141" s="786"/>
      <c r="GWW141" s="786"/>
      <c r="GWX141" s="786"/>
      <c r="GWY141" s="786"/>
      <c r="GWZ141" s="786"/>
      <c r="GXA141" s="786"/>
      <c r="GXB141" s="786"/>
      <c r="GXC141" s="786"/>
      <c r="GXD141" s="786"/>
      <c r="GXE141" s="786"/>
      <c r="GXF141" s="786"/>
      <c r="GXG141" s="786"/>
      <c r="GXH141" s="786"/>
      <c r="GXI141" s="786"/>
      <c r="GXJ141" s="786"/>
      <c r="GXK141" s="786"/>
      <c r="GXL141" s="786"/>
      <c r="GXM141" s="786"/>
      <c r="GXN141" s="786"/>
      <c r="GXO141" s="786"/>
      <c r="GXP141" s="786"/>
      <c r="GXQ141" s="786"/>
      <c r="GXR141" s="786"/>
      <c r="GXS141" s="786"/>
      <c r="GXT141" s="786"/>
      <c r="GXU141" s="786"/>
      <c r="GXV141" s="786"/>
      <c r="GXW141" s="786"/>
      <c r="GXX141" s="786"/>
      <c r="GXY141" s="786"/>
      <c r="GXZ141" s="786"/>
      <c r="GYA141" s="786"/>
      <c r="GYB141" s="786"/>
      <c r="GYC141" s="786"/>
      <c r="GYD141" s="786"/>
      <c r="GYE141" s="786"/>
      <c r="GYF141" s="786"/>
      <c r="GYG141" s="786"/>
      <c r="GYH141" s="786"/>
      <c r="GYI141" s="786"/>
      <c r="GYJ141" s="786"/>
      <c r="GYK141" s="786"/>
      <c r="GYL141" s="786"/>
      <c r="GYM141" s="786"/>
      <c r="GYN141" s="786"/>
      <c r="GYO141" s="786"/>
      <c r="GYP141" s="786"/>
      <c r="GYQ141" s="786"/>
      <c r="GYR141" s="786"/>
      <c r="GYS141" s="786"/>
      <c r="GYT141" s="786"/>
      <c r="GYU141" s="786"/>
      <c r="GYV141" s="786"/>
      <c r="GYW141" s="786"/>
      <c r="GYX141" s="786"/>
      <c r="GYY141" s="786"/>
      <c r="GYZ141" s="786"/>
      <c r="GZA141" s="786"/>
      <c r="GZB141" s="786"/>
      <c r="GZC141" s="786"/>
      <c r="GZD141" s="786"/>
      <c r="GZE141" s="786"/>
      <c r="GZF141" s="786"/>
      <c r="GZG141" s="786"/>
      <c r="GZH141" s="786"/>
      <c r="GZI141" s="786"/>
      <c r="GZJ141" s="786"/>
      <c r="GZK141" s="786"/>
      <c r="GZL141" s="786"/>
      <c r="GZM141" s="786"/>
      <c r="GZN141" s="786"/>
      <c r="GZO141" s="786"/>
      <c r="GZP141" s="786"/>
      <c r="GZQ141" s="786"/>
      <c r="GZR141" s="786"/>
      <c r="GZS141" s="786"/>
      <c r="GZT141" s="786"/>
      <c r="GZU141" s="786"/>
      <c r="GZV141" s="786"/>
      <c r="GZW141" s="786"/>
      <c r="GZX141" s="786"/>
      <c r="GZY141" s="786"/>
      <c r="GZZ141" s="786"/>
      <c r="HAA141" s="786"/>
      <c r="HAB141" s="786"/>
      <c r="HAC141" s="786"/>
      <c r="HAD141" s="786"/>
      <c r="HAE141" s="786"/>
      <c r="HAF141" s="786"/>
      <c r="HAG141" s="786"/>
      <c r="HAH141" s="786"/>
      <c r="HAI141" s="786"/>
      <c r="HAJ141" s="786"/>
      <c r="HAK141" s="786"/>
      <c r="HAL141" s="786"/>
      <c r="HAM141" s="786"/>
      <c r="HAN141" s="786"/>
      <c r="HAO141" s="786"/>
      <c r="HAP141" s="786"/>
      <c r="HAQ141" s="786"/>
      <c r="HAR141" s="786"/>
      <c r="HAS141" s="786"/>
      <c r="HAT141" s="786"/>
      <c r="HAU141" s="786"/>
      <c r="HAV141" s="786"/>
      <c r="HAW141" s="786"/>
      <c r="HAX141" s="786"/>
      <c r="HAY141" s="786"/>
      <c r="HAZ141" s="786"/>
      <c r="HBA141" s="786"/>
      <c r="HBB141" s="786"/>
      <c r="HBC141" s="786"/>
      <c r="HBD141" s="786"/>
      <c r="HBE141" s="786"/>
      <c r="HBF141" s="786"/>
      <c r="HBG141" s="786"/>
      <c r="HBH141" s="786"/>
      <c r="HBI141" s="786"/>
      <c r="HBJ141" s="786"/>
      <c r="HBK141" s="786"/>
      <c r="HBL141" s="786"/>
      <c r="HBM141" s="786"/>
      <c r="HBN141" s="786"/>
      <c r="HBO141" s="786"/>
      <c r="HBP141" s="786"/>
      <c r="HBQ141" s="786"/>
      <c r="HBR141" s="786"/>
      <c r="HBS141" s="786"/>
      <c r="HBT141" s="786"/>
      <c r="HBU141" s="786"/>
      <c r="HBV141" s="786"/>
      <c r="HBW141" s="786"/>
      <c r="HBX141" s="786"/>
      <c r="HBY141" s="786"/>
      <c r="HBZ141" s="786"/>
      <c r="HCA141" s="786"/>
      <c r="HCB141" s="786"/>
      <c r="HCC141" s="786"/>
      <c r="HCD141" s="786"/>
      <c r="HCE141" s="786"/>
      <c r="HCF141" s="786"/>
      <c r="HCG141" s="786"/>
      <c r="HCH141" s="786"/>
      <c r="HCI141" s="786"/>
      <c r="HCJ141" s="786"/>
      <c r="HCK141" s="786"/>
      <c r="HCL141" s="786"/>
      <c r="HCM141" s="786"/>
      <c r="HCN141" s="786"/>
      <c r="HCO141" s="786"/>
      <c r="HCP141" s="786"/>
      <c r="HCQ141" s="786"/>
      <c r="HCR141" s="786"/>
      <c r="HCS141" s="786"/>
      <c r="HCT141" s="786"/>
      <c r="HCU141" s="786"/>
      <c r="HCV141" s="786"/>
      <c r="HCW141" s="786"/>
      <c r="HCX141" s="786"/>
      <c r="HCY141" s="786"/>
      <c r="HCZ141" s="786"/>
      <c r="HDA141" s="786"/>
      <c r="HDB141" s="786"/>
      <c r="HDC141" s="786"/>
      <c r="HDD141" s="786"/>
      <c r="HDE141" s="786"/>
      <c r="HDF141" s="786"/>
      <c r="HDG141" s="786"/>
      <c r="HDH141" s="786"/>
      <c r="HDI141" s="786"/>
      <c r="HDJ141" s="786"/>
      <c r="HDK141" s="786"/>
      <c r="HDL141" s="786"/>
      <c r="HDM141" s="786"/>
      <c r="HDN141" s="786"/>
      <c r="HDO141" s="786"/>
      <c r="HDP141" s="786"/>
      <c r="HDQ141" s="786"/>
      <c r="HDR141" s="786"/>
      <c r="HDS141" s="786"/>
      <c r="HDT141" s="786"/>
      <c r="HDU141" s="786"/>
      <c r="HDV141" s="786"/>
      <c r="HDW141" s="786"/>
      <c r="HDX141" s="786"/>
      <c r="HDY141" s="786"/>
      <c r="HDZ141" s="786"/>
      <c r="HEA141" s="786"/>
      <c r="HEB141" s="786"/>
      <c r="HEC141" s="786"/>
      <c r="HED141" s="786"/>
      <c r="HEE141" s="786"/>
      <c r="HEF141" s="786"/>
      <c r="HEG141" s="786"/>
      <c r="HEH141" s="786"/>
      <c r="HEI141" s="786"/>
      <c r="HEJ141" s="786"/>
      <c r="HEK141" s="786"/>
      <c r="HEL141" s="786"/>
      <c r="HEM141" s="786"/>
      <c r="HEN141" s="786"/>
      <c r="HEO141" s="786"/>
      <c r="HEP141" s="786"/>
      <c r="HEQ141" s="786"/>
      <c r="HER141" s="786"/>
      <c r="HES141" s="786"/>
      <c r="HET141" s="786"/>
      <c r="HEU141" s="786"/>
      <c r="HEV141" s="786"/>
      <c r="HEW141" s="786"/>
      <c r="HEX141" s="786"/>
      <c r="HEY141" s="786"/>
      <c r="HEZ141" s="786"/>
      <c r="HFA141" s="786"/>
      <c r="HFB141" s="786"/>
      <c r="HFC141" s="786"/>
      <c r="HFD141" s="786"/>
      <c r="HFE141" s="786"/>
      <c r="HFF141" s="786"/>
      <c r="HFG141" s="786"/>
      <c r="HFH141" s="786"/>
      <c r="HFI141" s="786"/>
      <c r="HFJ141" s="786"/>
      <c r="HFK141" s="786"/>
      <c r="HFL141" s="786"/>
      <c r="HFM141" s="786"/>
      <c r="HFN141" s="786"/>
      <c r="HFO141" s="786"/>
      <c r="HFP141" s="786"/>
      <c r="HFQ141" s="786"/>
      <c r="HFR141" s="786"/>
      <c r="HFS141" s="786"/>
      <c r="HFT141" s="786"/>
      <c r="HFU141" s="786"/>
      <c r="HFV141" s="786"/>
      <c r="HFW141" s="786"/>
      <c r="HFX141" s="786"/>
      <c r="HFY141" s="786"/>
      <c r="HFZ141" s="786"/>
      <c r="HGA141" s="786"/>
      <c r="HGB141" s="786"/>
      <c r="HGC141" s="786"/>
      <c r="HGD141" s="786"/>
      <c r="HGE141" s="786"/>
      <c r="HGF141" s="786"/>
      <c r="HGG141" s="786"/>
      <c r="HGH141" s="786"/>
      <c r="HGI141" s="786"/>
      <c r="HGJ141" s="786"/>
      <c r="HGK141" s="786"/>
      <c r="HGL141" s="786"/>
      <c r="HGM141" s="786"/>
      <c r="HGN141" s="786"/>
      <c r="HGO141" s="786"/>
      <c r="HGP141" s="786"/>
      <c r="HGQ141" s="786"/>
      <c r="HGR141" s="786"/>
      <c r="HGS141" s="786"/>
      <c r="HGT141" s="786"/>
      <c r="HGU141" s="786"/>
      <c r="HGV141" s="786"/>
      <c r="HGW141" s="786"/>
      <c r="HGX141" s="786"/>
      <c r="HGY141" s="786"/>
      <c r="HGZ141" s="786"/>
      <c r="HHA141" s="786"/>
      <c r="HHB141" s="786"/>
      <c r="HHC141" s="786"/>
      <c r="HHD141" s="786"/>
      <c r="HHE141" s="786"/>
      <c r="HHF141" s="786"/>
      <c r="HHG141" s="786"/>
      <c r="HHH141" s="786"/>
      <c r="HHI141" s="786"/>
      <c r="HHJ141" s="786"/>
      <c r="HHK141" s="786"/>
      <c r="HHL141" s="786"/>
      <c r="HHM141" s="786"/>
      <c r="HHN141" s="786"/>
      <c r="HHO141" s="786"/>
      <c r="HHP141" s="786"/>
      <c r="HHQ141" s="786"/>
      <c r="HHR141" s="786"/>
      <c r="HHS141" s="786"/>
      <c r="HHT141" s="786"/>
      <c r="HHU141" s="786"/>
      <c r="HHV141" s="786"/>
      <c r="HHW141" s="786"/>
      <c r="HHX141" s="786"/>
      <c r="HHY141" s="786"/>
      <c r="HHZ141" s="786"/>
      <c r="HIA141" s="786"/>
      <c r="HIB141" s="786"/>
      <c r="HIC141" s="786"/>
      <c r="HID141" s="786"/>
      <c r="HIE141" s="786"/>
      <c r="HIF141" s="786"/>
      <c r="HIG141" s="786"/>
      <c r="HIH141" s="786"/>
      <c r="HII141" s="786"/>
      <c r="HIJ141" s="786"/>
      <c r="HIK141" s="786"/>
      <c r="HIL141" s="786"/>
      <c r="HIM141" s="786"/>
      <c r="HIN141" s="786"/>
      <c r="HIO141" s="786"/>
      <c r="HIP141" s="786"/>
      <c r="HIQ141" s="786"/>
      <c r="HIR141" s="786"/>
      <c r="HIS141" s="786"/>
      <c r="HIT141" s="786"/>
      <c r="HIU141" s="786"/>
      <c r="HIV141" s="786"/>
      <c r="HIW141" s="786"/>
      <c r="HIX141" s="786"/>
      <c r="HIY141" s="786"/>
      <c r="HIZ141" s="786"/>
      <c r="HJA141" s="786"/>
      <c r="HJB141" s="786"/>
      <c r="HJC141" s="786"/>
      <c r="HJD141" s="786"/>
      <c r="HJE141" s="786"/>
      <c r="HJF141" s="786"/>
      <c r="HJG141" s="786"/>
      <c r="HJH141" s="786"/>
      <c r="HJI141" s="786"/>
      <c r="HJJ141" s="786"/>
      <c r="HJK141" s="786"/>
      <c r="HJL141" s="786"/>
      <c r="HJM141" s="786"/>
      <c r="HJN141" s="786"/>
      <c r="HJO141" s="786"/>
      <c r="HJP141" s="786"/>
      <c r="HJQ141" s="786"/>
      <c r="HJR141" s="786"/>
      <c r="HJS141" s="786"/>
      <c r="HJT141" s="786"/>
      <c r="HJU141" s="786"/>
      <c r="HJV141" s="786"/>
      <c r="HJW141" s="786"/>
      <c r="HJX141" s="786"/>
      <c r="HJY141" s="786"/>
      <c r="HJZ141" s="786"/>
      <c r="HKA141" s="786"/>
      <c r="HKB141" s="786"/>
      <c r="HKC141" s="786"/>
      <c r="HKD141" s="786"/>
      <c r="HKE141" s="786"/>
      <c r="HKF141" s="786"/>
      <c r="HKG141" s="786"/>
      <c r="HKH141" s="786"/>
      <c r="HKI141" s="786"/>
      <c r="HKJ141" s="786"/>
      <c r="HKK141" s="786"/>
      <c r="HKL141" s="786"/>
      <c r="HKM141" s="786"/>
      <c r="HKN141" s="786"/>
      <c r="HKO141" s="786"/>
      <c r="HKP141" s="786"/>
      <c r="HKQ141" s="786"/>
      <c r="HKR141" s="786"/>
      <c r="HKS141" s="786"/>
      <c r="HKT141" s="786"/>
      <c r="HKU141" s="786"/>
      <c r="HKV141" s="786"/>
      <c r="HKW141" s="786"/>
      <c r="HKX141" s="786"/>
      <c r="HKY141" s="786"/>
      <c r="HKZ141" s="786"/>
      <c r="HLA141" s="786"/>
      <c r="HLB141" s="786"/>
      <c r="HLC141" s="786"/>
      <c r="HLD141" s="786"/>
      <c r="HLE141" s="786"/>
      <c r="HLF141" s="786"/>
      <c r="HLG141" s="786"/>
      <c r="HLH141" s="786"/>
      <c r="HLI141" s="786"/>
      <c r="HLJ141" s="786"/>
      <c r="HLK141" s="786"/>
      <c r="HLL141" s="786"/>
      <c r="HLM141" s="786"/>
      <c r="HLN141" s="786"/>
      <c r="HLO141" s="786"/>
      <c r="HLP141" s="786"/>
      <c r="HLQ141" s="786"/>
      <c r="HLR141" s="786"/>
      <c r="HLS141" s="786"/>
      <c r="HLT141" s="786"/>
      <c r="HLU141" s="786"/>
      <c r="HLV141" s="786"/>
      <c r="HLW141" s="786"/>
      <c r="HLX141" s="786"/>
      <c r="HLY141" s="786"/>
      <c r="HLZ141" s="786"/>
      <c r="HMA141" s="786"/>
      <c r="HMB141" s="786"/>
      <c r="HMC141" s="786"/>
      <c r="HMD141" s="786"/>
      <c r="HME141" s="786"/>
      <c r="HMF141" s="786"/>
      <c r="HMG141" s="786"/>
      <c r="HMH141" s="786"/>
      <c r="HMI141" s="786"/>
      <c r="HMJ141" s="786"/>
      <c r="HMK141" s="786"/>
      <c r="HML141" s="786"/>
      <c r="HMM141" s="786"/>
      <c r="HMN141" s="786"/>
      <c r="HMO141" s="786"/>
      <c r="HMP141" s="786"/>
      <c r="HMQ141" s="786"/>
      <c r="HMR141" s="786"/>
      <c r="HMS141" s="786"/>
      <c r="HMT141" s="786"/>
      <c r="HMU141" s="786"/>
      <c r="HMV141" s="786"/>
      <c r="HMW141" s="786"/>
      <c r="HMX141" s="786"/>
      <c r="HMY141" s="786"/>
      <c r="HMZ141" s="786"/>
      <c r="HNA141" s="786"/>
      <c r="HNB141" s="786"/>
      <c r="HNC141" s="786"/>
      <c r="HND141" s="786"/>
      <c r="HNE141" s="786"/>
      <c r="HNF141" s="786"/>
      <c r="HNG141" s="786"/>
      <c r="HNH141" s="786"/>
      <c r="HNI141" s="786"/>
      <c r="HNJ141" s="786"/>
      <c r="HNK141" s="786"/>
      <c r="HNL141" s="786"/>
      <c r="HNM141" s="786"/>
      <c r="HNN141" s="786"/>
      <c r="HNO141" s="786"/>
      <c r="HNP141" s="786"/>
      <c r="HNQ141" s="786"/>
      <c r="HNR141" s="786"/>
      <c r="HNS141" s="786"/>
      <c r="HNT141" s="786"/>
      <c r="HNU141" s="786"/>
      <c r="HNV141" s="786"/>
      <c r="HNW141" s="786"/>
      <c r="HNX141" s="786"/>
      <c r="HNY141" s="786"/>
      <c r="HNZ141" s="786"/>
      <c r="HOA141" s="786"/>
      <c r="HOB141" s="786"/>
      <c r="HOC141" s="786"/>
      <c r="HOD141" s="786"/>
      <c r="HOE141" s="786"/>
      <c r="HOF141" s="786"/>
      <c r="HOG141" s="786"/>
      <c r="HOH141" s="786"/>
      <c r="HOI141" s="786"/>
      <c r="HOJ141" s="786"/>
      <c r="HOK141" s="786"/>
      <c r="HOL141" s="786"/>
      <c r="HOM141" s="786"/>
      <c r="HON141" s="786"/>
      <c r="HOO141" s="786"/>
      <c r="HOP141" s="786"/>
      <c r="HOQ141" s="786"/>
      <c r="HOR141" s="786"/>
      <c r="HOS141" s="786"/>
      <c r="HOT141" s="786"/>
      <c r="HOU141" s="786"/>
      <c r="HOV141" s="786"/>
      <c r="HOW141" s="786"/>
      <c r="HOX141" s="786"/>
      <c r="HOY141" s="786"/>
      <c r="HOZ141" s="786"/>
      <c r="HPA141" s="786"/>
      <c r="HPB141" s="786"/>
      <c r="HPC141" s="786"/>
      <c r="HPD141" s="786"/>
      <c r="HPE141" s="786"/>
      <c r="HPF141" s="786"/>
      <c r="HPG141" s="786"/>
      <c r="HPH141" s="786"/>
      <c r="HPI141" s="786"/>
      <c r="HPJ141" s="786"/>
      <c r="HPK141" s="786"/>
      <c r="HPL141" s="786"/>
      <c r="HPM141" s="786"/>
      <c r="HPN141" s="786"/>
      <c r="HPO141" s="786"/>
      <c r="HPP141" s="786"/>
      <c r="HPQ141" s="786"/>
      <c r="HPR141" s="786"/>
      <c r="HPS141" s="786"/>
      <c r="HPT141" s="786"/>
      <c r="HPU141" s="786"/>
      <c r="HPV141" s="786"/>
      <c r="HPW141" s="786"/>
      <c r="HPX141" s="786"/>
      <c r="HPY141" s="786"/>
      <c r="HPZ141" s="786"/>
      <c r="HQA141" s="786"/>
      <c r="HQB141" s="786"/>
      <c r="HQC141" s="786"/>
      <c r="HQD141" s="786"/>
      <c r="HQE141" s="786"/>
      <c r="HQF141" s="786"/>
      <c r="HQG141" s="786"/>
      <c r="HQH141" s="786"/>
      <c r="HQI141" s="786"/>
      <c r="HQJ141" s="786"/>
      <c r="HQK141" s="786"/>
      <c r="HQL141" s="786"/>
      <c r="HQM141" s="786"/>
      <c r="HQN141" s="786"/>
      <c r="HQO141" s="786"/>
      <c r="HQP141" s="786"/>
      <c r="HQQ141" s="786"/>
      <c r="HQR141" s="786"/>
      <c r="HQS141" s="786"/>
      <c r="HQT141" s="786"/>
      <c r="HQU141" s="786"/>
      <c r="HQV141" s="786"/>
      <c r="HQW141" s="786"/>
      <c r="HQX141" s="786"/>
      <c r="HQY141" s="786"/>
      <c r="HQZ141" s="786"/>
      <c r="HRA141" s="786"/>
      <c r="HRB141" s="786"/>
      <c r="HRC141" s="786"/>
      <c r="HRD141" s="786"/>
      <c r="HRE141" s="786"/>
      <c r="HRF141" s="786"/>
      <c r="HRG141" s="786"/>
      <c r="HRH141" s="786"/>
      <c r="HRI141" s="786"/>
      <c r="HRJ141" s="786"/>
      <c r="HRK141" s="786"/>
      <c r="HRL141" s="786"/>
      <c r="HRM141" s="786"/>
      <c r="HRN141" s="786"/>
      <c r="HRO141" s="786"/>
      <c r="HRP141" s="786"/>
      <c r="HRQ141" s="786"/>
      <c r="HRR141" s="786"/>
      <c r="HRS141" s="786"/>
      <c r="HRT141" s="786"/>
      <c r="HRU141" s="786"/>
      <c r="HRV141" s="786"/>
      <c r="HRW141" s="786"/>
      <c r="HRX141" s="786"/>
      <c r="HRY141" s="786"/>
      <c r="HRZ141" s="786"/>
      <c r="HSA141" s="786"/>
      <c r="HSB141" s="786"/>
      <c r="HSC141" s="786"/>
      <c r="HSD141" s="786"/>
      <c r="HSE141" s="786"/>
      <c r="HSF141" s="786"/>
      <c r="HSG141" s="786"/>
      <c r="HSH141" s="786"/>
      <c r="HSI141" s="786"/>
      <c r="HSJ141" s="786"/>
      <c r="HSK141" s="786"/>
      <c r="HSL141" s="786"/>
      <c r="HSM141" s="786"/>
      <c r="HSN141" s="786"/>
      <c r="HSO141" s="786"/>
      <c r="HSP141" s="786"/>
      <c r="HSQ141" s="786"/>
      <c r="HSR141" s="786"/>
      <c r="HSS141" s="786"/>
      <c r="HST141" s="786"/>
      <c r="HSU141" s="786"/>
      <c r="HSV141" s="786"/>
      <c r="HSW141" s="786"/>
      <c r="HSX141" s="786"/>
      <c r="HSY141" s="786"/>
      <c r="HSZ141" s="786"/>
      <c r="HTA141" s="786"/>
      <c r="HTB141" s="786"/>
      <c r="HTC141" s="786"/>
      <c r="HTD141" s="786"/>
      <c r="HTE141" s="786"/>
      <c r="HTF141" s="786"/>
      <c r="HTG141" s="786"/>
      <c r="HTH141" s="786"/>
      <c r="HTI141" s="786"/>
      <c r="HTJ141" s="786"/>
      <c r="HTK141" s="786"/>
      <c r="HTL141" s="786"/>
      <c r="HTM141" s="786"/>
      <c r="HTN141" s="786"/>
      <c r="HTO141" s="786"/>
      <c r="HTP141" s="786"/>
      <c r="HTQ141" s="786"/>
      <c r="HTR141" s="786"/>
      <c r="HTS141" s="786"/>
      <c r="HTT141" s="786"/>
      <c r="HTU141" s="786"/>
      <c r="HTV141" s="786"/>
      <c r="HTW141" s="786"/>
      <c r="HTX141" s="786"/>
      <c r="HTY141" s="786"/>
      <c r="HTZ141" s="786"/>
      <c r="HUA141" s="786"/>
      <c r="HUB141" s="786"/>
      <c r="HUC141" s="786"/>
      <c r="HUD141" s="786"/>
      <c r="HUE141" s="786"/>
      <c r="HUF141" s="786"/>
      <c r="HUG141" s="786"/>
      <c r="HUH141" s="786"/>
      <c r="HUI141" s="786"/>
      <c r="HUJ141" s="786"/>
      <c r="HUK141" s="786"/>
      <c r="HUL141" s="786"/>
      <c r="HUM141" s="786"/>
      <c r="HUN141" s="786"/>
      <c r="HUO141" s="786"/>
      <c r="HUP141" s="786"/>
      <c r="HUQ141" s="786"/>
      <c r="HUR141" s="786"/>
      <c r="HUS141" s="786"/>
      <c r="HUT141" s="786"/>
      <c r="HUU141" s="786"/>
      <c r="HUV141" s="786"/>
      <c r="HUW141" s="786"/>
      <c r="HUX141" s="786"/>
      <c r="HUY141" s="786"/>
      <c r="HUZ141" s="786"/>
      <c r="HVA141" s="786"/>
      <c r="HVB141" s="786"/>
      <c r="HVC141" s="786"/>
      <c r="HVD141" s="786"/>
      <c r="HVE141" s="786"/>
      <c r="HVF141" s="786"/>
      <c r="HVG141" s="786"/>
      <c r="HVH141" s="786"/>
      <c r="HVI141" s="786"/>
      <c r="HVJ141" s="786"/>
      <c r="HVK141" s="786"/>
      <c r="HVL141" s="786"/>
      <c r="HVM141" s="786"/>
      <c r="HVN141" s="786"/>
      <c r="HVO141" s="786"/>
      <c r="HVP141" s="786"/>
      <c r="HVQ141" s="786"/>
      <c r="HVR141" s="786"/>
      <c r="HVS141" s="786"/>
      <c r="HVT141" s="786"/>
      <c r="HVU141" s="786"/>
      <c r="HVV141" s="786"/>
      <c r="HVW141" s="786"/>
      <c r="HVX141" s="786"/>
      <c r="HVY141" s="786"/>
      <c r="HVZ141" s="786"/>
      <c r="HWA141" s="786"/>
      <c r="HWB141" s="786"/>
      <c r="HWC141" s="786"/>
      <c r="HWD141" s="786"/>
      <c r="HWE141" s="786"/>
      <c r="HWF141" s="786"/>
      <c r="HWG141" s="786"/>
      <c r="HWH141" s="786"/>
      <c r="HWI141" s="786"/>
      <c r="HWJ141" s="786"/>
      <c r="HWK141" s="786"/>
      <c r="HWL141" s="786"/>
      <c r="HWM141" s="786"/>
      <c r="HWN141" s="786"/>
      <c r="HWO141" s="786"/>
      <c r="HWP141" s="786"/>
      <c r="HWQ141" s="786"/>
      <c r="HWR141" s="786"/>
      <c r="HWS141" s="786"/>
      <c r="HWT141" s="786"/>
      <c r="HWU141" s="786"/>
      <c r="HWV141" s="786"/>
      <c r="HWW141" s="786"/>
      <c r="HWX141" s="786"/>
      <c r="HWY141" s="786"/>
      <c r="HWZ141" s="786"/>
      <c r="HXA141" s="786"/>
      <c r="HXB141" s="786"/>
      <c r="HXC141" s="786"/>
      <c r="HXD141" s="786"/>
      <c r="HXE141" s="786"/>
      <c r="HXF141" s="786"/>
      <c r="HXG141" s="786"/>
      <c r="HXH141" s="786"/>
      <c r="HXI141" s="786"/>
      <c r="HXJ141" s="786"/>
      <c r="HXK141" s="786"/>
      <c r="HXL141" s="786"/>
      <c r="HXM141" s="786"/>
      <c r="HXN141" s="786"/>
      <c r="HXO141" s="786"/>
      <c r="HXP141" s="786"/>
      <c r="HXQ141" s="786"/>
      <c r="HXR141" s="786"/>
      <c r="HXS141" s="786"/>
      <c r="HXT141" s="786"/>
      <c r="HXU141" s="786"/>
      <c r="HXV141" s="786"/>
      <c r="HXW141" s="786"/>
      <c r="HXX141" s="786"/>
      <c r="HXY141" s="786"/>
      <c r="HXZ141" s="786"/>
      <c r="HYA141" s="786"/>
      <c r="HYB141" s="786"/>
      <c r="HYC141" s="786"/>
      <c r="HYD141" s="786"/>
      <c r="HYE141" s="786"/>
      <c r="HYF141" s="786"/>
      <c r="HYG141" s="786"/>
      <c r="HYH141" s="786"/>
      <c r="HYI141" s="786"/>
      <c r="HYJ141" s="786"/>
      <c r="HYK141" s="786"/>
      <c r="HYL141" s="786"/>
      <c r="HYM141" s="786"/>
      <c r="HYN141" s="786"/>
      <c r="HYO141" s="786"/>
      <c r="HYP141" s="786"/>
      <c r="HYQ141" s="786"/>
      <c r="HYR141" s="786"/>
      <c r="HYS141" s="786"/>
      <c r="HYT141" s="786"/>
      <c r="HYU141" s="786"/>
      <c r="HYV141" s="786"/>
      <c r="HYW141" s="786"/>
      <c r="HYX141" s="786"/>
      <c r="HYY141" s="786"/>
      <c r="HYZ141" s="786"/>
      <c r="HZA141" s="786"/>
      <c r="HZB141" s="786"/>
      <c r="HZC141" s="786"/>
      <c r="HZD141" s="786"/>
      <c r="HZE141" s="786"/>
      <c r="HZF141" s="786"/>
      <c r="HZG141" s="786"/>
      <c r="HZH141" s="786"/>
      <c r="HZI141" s="786"/>
      <c r="HZJ141" s="786"/>
      <c r="HZK141" s="786"/>
      <c r="HZL141" s="786"/>
      <c r="HZM141" s="786"/>
      <c r="HZN141" s="786"/>
      <c r="HZO141" s="786"/>
      <c r="HZP141" s="786"/>
      <c r="HZQ141" s="786"/>
      <c r="HZR141" s="786"/>
      <c r="HZS141" s="786"/>
      <c r="HZT141" s="786"/>
      <c r="HZU141" s="786"/>
      <c r="HZV141" s="786"/>
      <c r="HZW141" s="786"/>
      <c r="HZX141" s="786"/>
      <c r="HZY141" s="786"/>
      <c r="HZZ141" s="786"/>
      <c r="IAA141" s="786"/>
      <c r="IAB141" s="786"/>
      <c r="IAC141" s="786"/>
      <c r="IAD141" s="786"/>
      <c r="IAE141" s="786"/>
      <c r="IAF141" s="786"/>
      <c r="IAG141" s="786"/>
      <c r="IAH141" s="786"/>
      <c r="IAI141" s="786"/>
      <c r="IAJ141" s="786"/>
      <c r="IAK141" s="786"/>
      <c r="IAL141" s="786"/>
      <c r="IAM141" s="786"/>
      <c r="IAN141" s="786"/>
      <c r="IAO141" s="786"/>
      <c r="IAP141" s="786"/>
      <c r="IAQ141" s="786"/>
      <c r="IAR141" s="786"/>
      <c r="IAS141" s="786"/>
      <c r="IAT141" s="786"/>
      <c r="IAU141" s="786"/>
      <c r="IAV141" s="786"/>
      <c r="IAW141" s="786"/>
      <c r="IAX141" s="786"/>
      <c r="IAY141" s="786"/>
      <c r="IAZ141" s="786"/>
      <c r="IBA141" s="786"/>
      <c r="IBB141" s="786"/>
      <c r="IBC141" s="786"/>
      <c r="IBD141" s="786"/>
      <c r="IBE141" s="786"/>
      <c r="IBF141" s="786"/>
      <c r="IBG141" s="786"/>
      <c r="IBH141" s="786"/>
      <c r="IBI141" s="786"/>
      <c r="IBJ141" s="786"/>
      <c r="IBK141" s="786"/>
      <c r="IBL141" s="786"/>
      <c r="IBM141" s="786"/>
      <c r="IBN141" s="786"/>
      <c r="IBO141" s="786"/>
      <c r="IBP141" s="786"/>
      <c r="IBQ141" s="786"/>
      <c r="IBR141" s="786"/>
      <c r="IBS141" s="786"/>
      <c r="IBT141" s="786"/>
      <c r="IBU141" s="786"/>
      <c r="IBV141" s="786"/>
      <c r="IBW141" s="786"/>
      <c r="IBX141" s="786"/>
      <c r="IBY141" s="786"/>
      <c r="IBZ141" s="786"/>
      <c r="ICA141" s="786"/>
      <c r="ICB141" s="786"/>
      <c r="ICC141" s="786"/>
      <c r="ICD141" s="786"/>
      <c r="ICE141" s="786"/>
      <c r="ICF141" s="786"/>
      <c r="ICG141" s="786"/>
      <c r="ICH141" s="786"/>
      <c r="ICI141" s="786"/>
      <c r="ICJ141" s="786"/>
      <c r="ICK141" s="786"/>
      <c r="ICL141" s="786"/>
      <c r="ICM141" s="786"/>
      <c r="ICN141" s="786"/>
      <c r="ICO141" s="786"/>
      <c r="ICP141" s="786"/>
      <c r="ICQ141" s="786"/>
      <c r="ICR141" s="786"/>
      <c r="ICS141" s="786"/>
      <c r="ICT141" s="786"/>
      <c r="ICU141" s="786"/>
      <c r="ICV141" s="786"/>
      <c r="ICW141" s="786"/>
      <c r="ICX141" s="786"/>
      <c r="ICY141" s="786"/>
      <c r="ICZ141" s="786"/>
      <c r="IDA141" s="786"/>
      <c r="IDB141" s="786"/>
      <c r="IDC141" s="786"/>
      <c r="IDD141" s="786"/>
      <c r="IDE141" s="786"/>
      <c r="IDF141" s="786"/>
      <c r="IDG141" s="786"/>
      <c r="IDH141" s="786"/>
      <c r="IDI141" s="786"/>
      <c r="IDJ141" s="786"/>
      <c r="IDK141" s="786"/>
      <c r="IDL141" s="786"/>
      <c r="IDM141" s="786"/>
      <c r="IDN141" s="786"/>
      <c r="IDO141" s="786"/>
      <c r="IDP141" s="786"/>
      <c r="IDQ141" s="786"/>
      <c r="IDR141" s="786"/>
      <c r="IDS141" s="786"/>
      <c r="IDT141" s="786"/>
      <c r="IDU141" s="786"/>
      <c r="IDV141" s="786"/>
      <c r="IDW141" s="786"/>
      <c r="IDX141" s="786"/>
      <c r="IDY141" s="786"/>
      <c r="IDZ141" s="786"/>
      <c r="IEA141" s="786"/>
      <c r="IEB141" s="786"/>
      <c r="IEC141" s="786"/>
      <c r="IED141" s="786"/>
      <c r="IEE141" s="786"/>
      <c r="IEF141" s="786"/>
      <c r="IEG141" s="786"/>
      <c r="IEH141" s="786"/>
      <c r="IEI141" s="786"/>
      <c r="IEJ141" s="786"/>
      <c r="IEK141" s="786"/>
      <c r="IEL141" s="786"/>
      <c r="IEM141" s="786"/>
      <c r="IEN141" s="786"/>
      <c r="IEO141" s="786"/>
      <c r="IEP141" s="786"/>
      <c r="IEQ141" s="786"/>
      <c r="IER141" s="786"/>
      <c r="IES141" s="786"/>
      <c r="IET141" s="786"/>
      <c r="IEU141" s="786"/>
      <c r="IEV141" s="786"/>
      <c r="IEW141" s="786"/>
      <c r="IEX141" s="786"/>
      <c r="IEY141" s="786"/>
      <c r="IEZ141" s="786"/>
      <c r="IFA141" s="786"/>
      <c r="IFB141" s="786"/>
      <c r="IFC141" s="786"/>
      <c r="IFD141" s="786"/>
      <c r="IFE141" s="786"/>
      <c r="IFF141" s="786"/>
      <c r="IFG141" s="786"/>
      <c r="IFH141" s="786"/>
      <c r="IFI141" s="786"/>
      <c r="IFJ141" s="786"/>
      <c r="IFK141" s="786"/>
      <c r="IFL141" s="786"/>
      <c r="IFM141" s="786"/>
      <c r="IFN141" s="786"/>
      <c r="IFO141" s="786"/>
      <c r="IFP141" s="786"/>
      <c r="IFQ141" s="786"/>
      <c r="IFR141" s="786"/>
      <c r="IFS141" s="786"/>
      <c r="IFT141" s="786"/>
      <c r="IFU141" s="786"/>
      <c r="IFV141" s="786"/>
      <c r="IFW141" s="786"/>
      <c r="IFX141" s="786"/>
      <c r="IFY141" s="786"/>
      <c r="IFZ141" s="786"/>
      <c r="IGA141" s="786"/>
      <c r="IGB141" s="786"/>
      <c r="IGC141" s="786"/>
      <c r="IGD141" s="786"/>
      <c r="IGE141" s="786"/>
      <c r="IGF141" s="786"/>
      <c r="IGG141" s="786"/>
      <c r="IGH141" s="786"/>
      <c r="IGI141" s="786"/>
      <c r="IGJ141" s="786"/>
      <c r="IGK141" s="786"/>
      <c r="IGL141" s="786"/>
      <c r="IGM141" s="786"/>
      <c r="IGN141" s="786"/>
      <c r="IGO141" s="786"/>
      <c r="IGP141" s="786"/>
      <c r="IGQ141" s="786"/>
      <c r="IGR141" s="786"/>
      <c r="IGS141" s="786"/>
      <c r="IGT141" s="786"/>
      <c r="IGU141" s="786"/>
      <c r="IGV141" s="786"/>
      <c r="IGW141" s="786"/>
      <c r="IGX141" s="786"/>
      <c r="IGY141" s="786"/>
      <c r="IGZ141" s="786"/>
      <c r="IHA141" s="786"/>
      <c r="IHB141" s="786"/>
      <c r="IHC141" s="786"/>
      <c r="IHD141" s="786"/>
      <c r="IHE141" s="786"/>
      <c r="IHF141" s="786"/>
      <c r="IHG141" s="786"/>
      <c r="IHH141" s="786"/>
      <c r="IHI141" s="786"/>
      <c r="IHJ141" s="786"/>
      <c r="IHK141" s="786"/>
      <c r="IHL141" s="786"/>
      <c r="IHM141" s="786"/>
      <c r="IHN141" s="786"/>
      <c r="IHO141" s="786"/>
      <c r="IHP141" s="786"/>
      <c r="IHQ141" s="786"/>
      <c r="IHR141" s="786"/>
      <c r="IHS141" s="786"/>
      <c r="IHT141" s="786"/>
      <c r="IHU141" s="786"/>
      <c r="IHV141" s="786"/>
      <c r="IHW141" s="786"/>
      <c r="IHX141" s="786"/>
      <c r="IHY141" s="786"/>
      <c r="IHZ141" s="786"/>
      <c r="IIA141" s="786"/>
      <c r="IIB141" s="786"/>
      <c r="IIC141" s="786"/>
      <c r="IID141" s="786"/>
      <c r="IIE141" s="786"/>
      <c r="IIF141" s="786"/>
      <c r="IIG141" s="786"/>
      <c r="IIH141" s="786"/>
      <c r="III141" s="786"/>
      <c r="IIJ141" s="786"/>
      <c r="IIK141" s="786"/>
      <c r="IIL141" s="786"/>
      <c r="IIM141" s="786"/>
      <c r="IIN141" s="786"/>
      <c r="IIO141" s="786"/>
      <c r="IIP141" s="786"/>
      <c r="IIQ141" s="786"/>
      <c r="IIR141" s="786"/>
      <c r="IIS141" s="786"/>
      <c r="IIT141" s="786"/>
      <c r="IIU141" s="786"/>
      <c r="IIV141" s="786"/>
      <c r="IIW141" s="786"/>
      <c r="IIX141" s="786"/>
      <c r="IIY141" s="786"/>
      <c r="IIZ141" s="786"/>
      <c r="IJA141" s="786"/>
      <c r="IJB141" s="786"/>
      <c r="IJC141" s="786"/>
      <c r="IJD141" s="786"/>
      <c r="IJE141" s="786"/>
      <c r="IJF141" s="786"/>
      <c r="IJG141" s="786"/>
      <c r="IJH141" s="786"/>
      <c r="IJI141" s="786"/>
      <c r="IJJ141" s="786"/>
      <c r="IJK141" s="786"/>
      <c r="IJL141" s="786"/>
      <c r="IJM141" s="786"/>
      <c r="IJN141" s="786"/>
      <c r="IJO141" s="786"/>
      <c r="IJP141" s="786"/>
      <c r="IJQ141" s="786"/>
      <c r="IJR141" s="786"/>
      <c r="IJS141" s="786"/>
      <c r="IJT141" s="786"/>
      <c r="IJU141" s="786"/>
      <c r="IJV141" s="786"/>
      <c r="IJW141" s="786"/>
      <c r="IJX141" s="786"/>
      <c r="IJY141" s="786"/>
      <c r="IJZ141" s="786"/>
      <c r="IKA141" s="786"/>
      <c r="IKB141" s="786"/>
      <c r="IKC141" s="786"/>
      <c r="IKD141" s="786"/>
      <c r="IKE141" s="786"/>
      <c r="IKF141" s="786"/>
      <c r="IKG141" s="786"/>
      <c r="IKH141" s="786"/>
      <c r="IKI141" s="786"/>
      <c r="IKJ141" s="786"/>
      <c r="IKK141" s="786"/>
      <c r="IKL141" s="786"/>
      <c r="IKM141" s="786"/>
      <c r="IKN141" s="786"/>
      <c r="IKO141" s="786"/>
      <c r="IKP141" s="786"/>
      <c r="IKQ141" s="786"/>
      <c r="IKR141" s="786"/>
      <c r="IKS141" s="786"/>
      <c r="IKT141" s="786"/>
      <c r="IKU141" s="786"/>
      <c r="IKV141" s="786"/>
      <c r="IKW141" s="786"/>
      <c r="IKX141" s="786"/>
      <c r="IKY141" s="786"/>
      <c r="IKZ141" s="786"/>
      <c r="ILA141" s="786"/>
      <c r="ILB141" s="786"/>
      <c r="ILC141" s="786"/>
      <c r="ILD141" s="786"/>
      <c r="ILE141" s="786"/>
      <c r="ILF141" s="786"/>
      <c r="ILG141" s="786"/>
      <c r="ILH141" s="786"/>
      <c r="ILI141" s="786"/>
      <c r="ILJ141" s="786"/>
      <c r="ILK141" s="786"/>
      <c r="ILL141" s="786"/>
      <c r="ILM141" s="786"/>
      <c r="ILN141" s="786"/>
      <c r="ILO141" s="786"/>
      <c r="ILP141" s="786"/>
      <c r="ILQ141" s="786"/>
      <c r="ILR141" s="786"/>
      <c r="ILS141" s="786"/>
      <c r="ILT141" s="786"/>
      <c r="ILU141" s="786"/>
      <c r="ILV141" s="786"/>
      <c r="ILW141" s="786"/>
      <c r="ILX141" s="786"/>
      <c r="ILY141" s="786"/>
      <c r="ILZ141" s="786"/>
      <c r="IMA141" s="786"/>
      <c r="IMB141" s="786"/>
      <c r="IMC141" s="786"/>
      <c r="IMD141" s="786"/>
      <c r="IME141" s="786"/>
      <c r="IMF141" s="786"/>
      <c r="IMG141" s="786"/>
      <c r="IMH141" s="786"/>
      <c r="IMI141" s="786"/>
      <c r="IMJ141" s="786"/>
      <c r="IMK141" s="786"/>
      <c r="IML141" s="786"/>
      <c r="IMM141" s="786"/>
      <c r="IMN141" s="786"/>
      <c r="IMO141" s="786"/>
      <c r="IMP141" s="786"/>
      <c r="IMQ141" s="786"/>
      <c r="IMR141" s="786"/>
      <c r="IMS141" s="786"/>
      <c r="IMT141" s="786"/>
      <c r="IMU141" s="786"/>
      <c r="IMV141" s="786"/>
      <c r="IMW141" s="786"/>
      <c r="IMX141" s="786"/>
      <c r="IMY141" s="786"/>
      <c r="IMZ141" s="786"/>
      <c r="INA141" s="786"/>
      <c r="INB141" s="786"/>
      <c r="INC141" s="786"/>
      <c r="IND141" s="786"/>
      <c r="INE141" s="786"/>
      <c r="INF141" s="786"/>
      <c r="ING141" s="786"/>
      <c r="INH141" s="786"/>
      <c r="INI141" s="786"/>
      <c r="INJ141" s="786"/>
      <c r="INK141" s="786"/>
      <c r="INL141" s="786"/>
      <c r="INM141" s="786"/>
      <c r="INN141" s="786"/>
      <c r="INO141" s="786"/>
      <c r="INP141" s="786"/>
      <c r="INQ141" s="786"/>
      <c r="INR141" s="786"/>
      <c r="INS141" s="786"/>
      <c r="INT141" s="786"/>
      <c r="INU141" s="786"/>
      <c r="INV141" s="786"/>
      <c r="INW141" s="786"/>
      <c r="INX141" s="786"/>
      <c r="INY141" s="786"/>
      <c r="INZ141" s="786"/>
      <c r="IOA141" s="786"/>
      <c r="IOB141" s="786"/>
      <c r="IOC141" s="786"/>
      <c r="IOD141" s="786"/>
      <c r="IOE141" s="786"/>
      <c r="IOF141" s="786"/>
      <c r="IOG141" s="786"/>
      <c r="IOH141" s="786"/>
      <c r="IOI141" s="786"/>
      <c r="IOJ141" s="786"/>
      <c r="IOK141" s="786"/>
      <c r="IOL141" s="786"/>
      <c r="IOM141" s="786"/>
      <c r="ION141" s="786"/>
      <c r="IOO141" s="786"/>
      <c r="IOP141" s="786"/>
      <c r="IOQ141" s="786"/>
      <c r="IOR141" s="786"/>
      <c r="IOS141" s="786"/>
      <c r="IOT141" s="786"/>
      <c r="IOU141" s="786"/>
      <c r="IOV141" s="786"/>
      <c r="IOW141" s="786"/>
      <c r="IOX141" s="786"/>
      <c r="IOY141" s="786"/>
      <c r="IOZ141" s="786"/>
      <c r="IPA141" s="786"/>
      <c r="IPB141" s="786"/>
      <c r="IPC141" s="786"/>
      <c r="IPD141" s="786"/>
      <c r="IPE141" s="786"/>
      <c r="IPF141" s="786"/>
      <c r="IPG141" s="786"/>
      <c r="IPH141" s="786"/>
      <c r="IPI141" s="786"/>
      <c r="IPJ141" s="786"/>
      <c r="IPK141" s="786"/>
      <c r="IPL141" s="786"/>
      <c r="IPM141" s="786"/>
      <c r="IPN141" s="786"/>
      <c r="IPO141" s="786"/>
      <c r="IPP141" s="786"/>
      <c r="IPQ141" s="786"/>
      <c r="IPR141" s="786"/>
      <c r="IPS141" s="786"/>
      <c r="IPT141" s="786"/>
      <c r="IPU141" s="786"/>
      <c r="IPV141" s="786"/>
      <c r="IPW141" s="786"/>
      <c r="IPX141" s="786"/>
      <c r="IPY141" s="786"/>
      <c r="IPZ141" s="786"/>
      <c r="IQA141" s="786"/>
      <c r="IQB141" s="786"/>
      <c r="IQC141" s="786"/>
      <c r="IQD141" s="786"/>
      <c r="IQE141" s="786"/>
      <c r="IQF141" s="786"/>
      <c r="IQG141" s="786"/>
      <c r="IQH141" s="786"/>
      <c r="IQI141" s="786"/>
      <c r="IQJ141" s="786"/>
      <c r="IQK141" s="786"/>
      <c r="IQL141" s="786"/>
      <c r="IQM141" s="786"/>
      <c r="IQN141" s="786"/>
      <c r="IQO141" s="786"/>
      <c r="IQP141" s="786"/>
      <c r="IQQ141" s="786"/>
      <c r="IQR141" s="786"/>
      <c r="IQS141" s="786"/>
      <c r="IQT141" s="786"/>
      <c r="IQU141" s="786"/>
      <c r="IQV141" s="786"/>
      <c r="IQW141" s="786"/>
      <c r="IQX141" s="786"/>
      <c r="IQY141" s="786"/>
      <c r="IQZ141" s="786"/>
      <c r="IRA141" s="786"/>
      <c r="IRB141" s="786"/>
      <c r="IRC141" s="786"/>
      <c r="IRD141" s="786"/>
      <c r="IRE141" s="786"/>
      <c r="IRF141" s="786"/>
      <c r="IRG141" s="786"/>
      <c r="IRH141" s="786"/>
      <c r="IRI141" s="786"/>
      <c r="IRJ141" s="786"/>
      <c r="IRK141" s="786"/>
      <c r="IRL141" s="786"/>
      <c r="IRM141" s="786"/>
      <c r="IRN141" s="786"/>
      <c r="IRO141" s="786"/>
      <c r="IRP141" s="786"/>
      <c r="IRQ141" s="786"/>
      <c r="IRR141" s="786"/>
      <c r="IRS141" s="786"/>
      <c r="IRT141" s="786"/>
      <c r="IRU141" s="786"/>
      <c r="IRV141" s="786"/>
      <c r="IRW141" s="786"/>
      <c r="IRX141" s="786"/>
      <c r="IRY141" s="786"/>
      <c r="IRZ141" s="786"/>
      <c r="ISA141" s="786"/>
      <c r="ISB141" s="786"/>
      <c r="ISC141" s="786"/>
      <c r="ISD141" s="786"/>
      <c r="ISE141" s="786"/>
      <c r="ISF141" s="786"/>
      <c r="ISG141" s="786"/>
      <c r="ISH141" s="786"/>
      <c r="ISI141" s="786"/>
      <c r="ISJ141" s="786"/>
      <c r="ISK141" s="786"/>
      <c r="ISL141" s="786"/>
      <c r="ISM141" s="786"/>
      <c r="ISN141" s="786"/>
      <c r="ISO141" s="786"/>
      <c r="ISP141" s="786"/>
      <c r="ISQ141" s="786"/>
      <c r="ISR141" s="786"/>
      <c r="ISS141" s="786"/>
      <c r="IST141" s="786"/>
      <c r="ISU141" s="786"/>
      <c r="ISV141" s="786"/>
      <c r="ISW141" s="786"/>
      <c r="ISX141" s="786"/>
      <c r="ISY141" s="786"/>
      <c r="ISZ141" s="786"/>
      <c r="ITA141" s="786"/>
      <c r="ITB141" s="786"/>
      <c r="ITC141" s="786"/>
      <c r="ITD141" s="786"/>
      <c r="ITE141" s="786"/>
      <c r="ITF141" s="786"/>
      <c r="ITG141" s="786"/>
      <c r="ITH141" s="786"/>
      <c r="ITI141" s="786"/>
      <c r="ITJ141" s="786"/>
      <c r="ITK141" s="786"/>
      <c r="ITL141" s="786"/>
      <c r="ITM141" s="786"/>
      <c r="ITN141" s="786"/>
      <c r="ITO141" s="786"/>
      <c r="ITP141" s="786"/>
      <c r="ITQ141" s="786"/>
      <c r="ITR141" s="786"/>
      <c r="ITS141" s="786"/>
      <c r="ITT141" s="786"/>
      <c r="ITU141" s="786"/>
      <c r="ITV141" s="786"/>
      <c r="ITW141" s="786"/>
      <c r="ITX141" s="786"/>
      <c r="ITY141" s="786"/>
      <c r="ITZ141" s="786"/>
      <c r="IUA141" s="786"/>
      <c r="IUB141" s="786"/>
      <c r="IUC141" s="786"/>
      <c r="IUD141" s="786"/>
      <c r="IUE141" s="786"/>
      <c r="IUF141" s="786"/>
      <c r="IUG141" s="786"/>
      <c r="IUH141" s="786"/>
      <c r="IUI141" s="786"/>
      <c r="IUJ141" s="786"/>
      <c r="IUK141" s="786"/>
      <c r="IUL141" s="786"/>
      <c r="IUM141" s="786"/>
      <c r="IUN141" s="786"/>
      <c r="IUO141" s="786"/>
      <c r="IUP141" s="786"/>
      <c r="IUQ141" s="786"/>
      <c r="IUR141" s="786"/>
      <c r="IUS141" s="786"/>
      <c r="IUT141" s="786"/>
      <c r="IUU141" s="786"/>
      <c r="IUV141" s="786"/>
      <c r="IUW141" s="786"/>
      <c r="IUX141" s="786"/>
      <c r="IUY141" s="786"/>
      <c r="IUZ141" s="786"/>
      <c r="IVA141" s="786"/>
      <c r="IVB141" s="786"/>
      <c r="IVC141" s="786"/>
      <c r="IVD141" s="786"/>
      <c r="IVE141" s="786"/>
      <c r="IVF141" s="786"/>
      <c r="IVG141" s="786"/>
      <c r="IVH141" s="786"/>
      <c r="IVI141" s="786"/>
      <c r="IVJ141" s="786"/>
      <c r="IVK141" s="786"/>
      <c r="IVL141" s="786"/>
      <c r="IVM141" s="786"/>
      <c r="IVN141" s="786"/>
      <c r="IVO141" s="786"/>
      <c r="IVP141" s="786"/>
      <c r="IVQ141" s="786"/>
      <c r="IVR141" s="786"/>
      <c r="IVS141" s="786"/>
      <c r="IVT141" s="786"/>
      <c r="IVU141" s="786"/>
      <c r="IVV141" s="786"/>
      <c r="IVW141" s="786"/>
      <c r="IVX141" s="786"/>
      <c r="IVY141" s="786"/>
      <c r="IVZ141" s="786"/>
      <c r="IWA141" s="786"/>
      <c r="IWB141" s="786"/>
      <c r="IWC141" s="786"/>
      <c r="IWD141" s="786"/>
      <c r="IWE141" s="786"/>
      <c r="IWF141" s="786"/>
      <c r="IWG141" s="786"/>
      <c r="IWH141" s="786"/>
      <c r="IWI141" s="786"/>
      <c r="IWJ141" s="786"/>
      <c r="IWK141" s="786"/>
      <c r="IWL141" s="786"/>
      <c r="IWM141" s="786"/>
      <c r="IWN141" s="786"/>
      <c r="IWO141" s="786"/>
      <c r="IWP141" s="786"/>
      <c r="IWQ141" s="786"/>
      <c r="IWR141" s="786"/>
      <c r="IWS141" s="786"/>
      <c r="IWT141" s="786"/>
      <c r="IWU141" s="786"/>
      <c r="IWV141" s="786"/>
      <c r="IWW141" s="786"/>
      <c r="IWX141" s="786"/>
      <c r="IWY141" s="786"/>
      <c r="IWZ141" s="786"/>
      <c r="IXA141" s="786"/>
      <c r="IXB141" s="786"/>
      <c r="IXC141" s="786"/>
      <c r="IXD141" s="786"/>
      <c r="IXE141" s="786"/>
      <c r="IXF141" s="786"/>
      <c r="IXG141" s="786"/>
      <c r="IXH141" s="786"/>
      <c r="IXI141" s="786"/>
      <c r="IXJ141" s="786"/>
      <c r="IXK141" s="786"/>
      <c r="IXL141" s="786"/>
      <c r="IXM141" s="786"/>
      <c r="IXN141" s="786"/>
      <c r="IXO141" s="786"/>
      <c r="IXP141" s="786"/>
      <c r="IXQ141" s="786"/>
      <c r="IXR141" s="786"/>
      <c r="IXS141" s="786"/>
      <c r="IXT141" s="786"/>
      <c r="IXU141" s="786"/>
      <c r="IXV141" s="786"/>
      <c r="IXW141" s="786"/>
      <c r="IXX141" s="786"/>
      <c r="IXY141" s="786"/>
      <c r="IXZ141" s="786"/>
      <c r="IYA141" s="786"/>
      <c r="IYB141" s="786"/>
      <c r="IYC141" s="786"/>
      <c r="IYD141" s="786"/>
      <c r="IYE141" s="786"/>
      <c r="IYF141" s="786"/>
      <c r="IYG141" s="786"/>
      <c r="IYH141" s="786"/>
      <c r="IYI141" s="786"/>
      <c r="IYJ141" s="786"/>
      <c r="IYK141" s="786"/>
      <c r="IYL141" s="786"/>
      <c r="IYM141" s="786"/>
      <c r="IYN141" s="786"/>
      <c r="IYO141" s="786"/>
      <c r="IYP141" s="786"/>
      <c r="IYQ141" s="786"/>
      <c r="IYR141" s="786"/>
      <c r="IYS141" s="786"/>
      <c r="IYT141" s="786"/>
      <c r="IYU141" s="786"/>
      <c r="IYV141" s="786"/>
      <c r="IYW141" s="786"/>
      <c r="IYX141" s="786"/>
      <c r="IYY141" s="786"/>
      <c r="IYZ141" s="786"/>
      <c r="IZA141" s="786"/>
      <c r="IZB141" s="786"/>
      <c r="IZC141" s="786"/>
      <c r="IZD141" s="786"/>
      <c r="IZE141" s="786"/>
      <c r="IZF141" s="786"/>
      <c r="IZG141" s="786"/>
      <c r="IZH141" s="786"/>
      <c r="IZI141" s="786"/>
      <c r="IZJ141" s="786"/>
      <c r="IZK141" s="786"/>
      <c r="IZL141" s="786"/>
      <c r="IZM141" s="786"/>
      <c r="IZN141" s="786"/>
      <c r="IZO141" s="786"/>
      <c r="IZP141" s="786"/>
      <c r="IZQ141" s="786"/>
      <c r="IZR141" s="786"/>
      <c r="IZS141" s="786"/>
      <c r="IZT141" s="786"/>
      <c r="IZU141" s="786"/>
      <c r="IZV141" s="786"/>
      <c r="IZW141" s="786"/>
      <c r="IZX141" s="786"/>
      <c r="IZY141" s="786"/>
      <c r="IZZ141" s="786"/>
      <c r="JAA141" s="786"/>
      <c r="JAB141" s="786"/>
      <c r="JAC141" s="786"/>
      <c r="JAD141" s="786"/>
      <c r="JAE141" s="786"/>
      <c r="JAF141" s="786"/>
      <c r="JAG141" s="786"/>
      <c r="JAH141" s="786"/>
      <c r="JAI141" s="786"/>
      <c r="JAJ141" s="786"/>
      <c r="JAK141" s="786"/>
      <c r="JAL141" s="786"/>
      <c r="JAM141" s="786"/>
      <c r="JAN141" s="786"/>
      <c r="JAO141" s="786"/>
      <c r="JAP141" s="786"/>
      <c r="JAQ141" s="786"/>
      <c r="JAR141" s="786"/>
      <c r="JAS141" s="786"/>
      <c r="JAT141" s="786"/>
      <c r="JAU141" s="786"/>
      <c r="JAV141" s="786"/>
      <c r="JAW141" s="786"/>
      <c r="JAX141" s="786"/>
      <c r="JAY141" s="786"/>
      <c r="JAZ141" s="786"/>
      <c r="JBA141" s="786"/>
      <c r="JBB141" s="786"/>
      <c r="JBC141" s="786"/>
      <c r="JBD141" s="786"/>
      <c r="JBE141" s="786"/>
      <c r="JBF141" s="786"/>
      <c r="JBG141" s="786"/>
      <c r="JBH141" s="786"/>
      <c r="JBI141" s="786"/>
      <c r="JBJ141" s="786"/>
      <c r="JBK141" s="786"/>
      <c r="JBL141" s="786"/>
      <c r="JBM141" s="786"/>
      <c r="JBN141" s="786"/>
      <c r="JBO141" s="786"/>
      <c r="JBP141" s="786"/>
      <c r="JBQ141" s="786"/>
      <c r="JBR141" s="786"/>
      <c r="JBS141" s="786"/>
      <c r="JBT141" s="786"/>
      <c r="JBU141" s="786"/>
      <c r="JBV141" s="786"/>
      <c r="JBW141" s="786"/>
      <c r="JBX141" s="786"/>
      <c r="JBY141" s="786"/>
      <c r="JBZ141" s="786"/>
      <c r="JCA141" s="786"/>
      <c r="JCB141" s="786"/>
      <c r="JCC141" s="786"/>
      <c r="JCD141" s="786"/>
      <c r="JCE141" s="786"/>
      <c r="JCF141" s="786"/>
      <c r="JCG141" s="786"/>
      <c r="JCH141" s="786"/>
      <c r="JCI141" s="786"/>
      <c r="JCJ141" s="786"/>
      <c r="JCK141" s="786"/>
      <c r="JCL141" s="786"/>
      <c r="JCM141" s="786"/>
      <c r="JCN141" s="786"/>
      <c r="JCO141" s="786"/>
      <c r="JCP141" s="786"/>
      <c r="JCQ141" s="786"/>
      <c r="JCR141" s="786"/>
      <c r="JCS141" s="786"/>
      <c r="JCT141" s="786"/>
      <c r="JCU141" s="786"/>
      <c r="JCV141" s="786"/>
      <c r="JCW141" s="786"/>
      <c r="JCX141" s="786"/>
      <c r="JCY141" s="786"/>
      <c r="JCZ141" s="786"/>
      <c r="JDA141" s="786"/>
      <c r="JDB141" s="786"/>
      <c r="JDC141" s="786"/>
      <c r="JDD141" s="786"/>
      <c r="JDE141" s="786"/>
      <c r="JDF141" s="786"/>
      <c r="JDG141" s="786"/>
      <c r="JDH141" s="786"/>
      <c r="JDI141" s="786"/>
      <c r="JDJ141" s="786"/>
      <c r="JDK141" s="786"/>
      <c r="JDL141" s="786"/>
      <c r="JDM141" s="786"/>
      <c r="JDN141" s="786"/>
      <c r="JDO141" s="786"/>
      <c r="JDP141" s="786"/>
      <c r="JDQ141" s="786"/>
      <c r="JDR141" s="786"/>
      <c r="JDS141" s="786"/>
      <c r="JDT141" s="786"/>
      <c r="JDU141" s="786"/>
      <c r="JDV141" s="786"/>
      <c r="JDW141" s="786"/>
      <c r="JDX141" s="786"/>
      <c r="JDY141" s="786"/>
      <c r="JDZ141" s="786"/>
      <c r="JEA141" s="786"/>
      <c r="JEB141" s="786"/>
      <c r="JEC141" s="786"/>
      <c r="JED141" s="786"/>
      <c r="JEE141" s="786"/>
      <c r="JEF141" s="786"/>
      <c r="JEG141" s="786"/>
      <c r="JEH141" s="786"/>
      <c r="JEI141" s="786"/>
      <c r="JEJ141" s="786"/>
      <c r="JEK141" s="786"/>
      <c r="JEL141" s="786"/>
      <c r="JEM141" s="786"/>
      <c r="JEN141" s="786"/>
      <c r="JEO141" s="786"/>
      <c r="JEP141" s="786"/>
      <c r="JEQ141" s="786"/>
      <c r="JER141" s="786"/>
      <c r="JES141" s="786"/>
      <c r="JET141" s="786"/>
      <c r="JEU141" s="786"/>
      <c r="JEV141" s="786"/>
      <c r="JEW141" s="786"/>
      <c r="JEX141" s="786"/>
      <c r="JEY141" s="786"/>
      <c r="JEZ141" s="786"/>
      <c r="JFA141" s="786"/>
      <c r="JFB141" s="786"/>
      <c r="JFC141" s="786"/>
      <c r="JFD141" s="786"/>
      <c r="JFE141" s="786"/>
      <c r="JFF141" s="786"/>
      <c r="JFG141" s="786"/>
      <c r="JFH141" s="786"/>
      <c r="JFI141" s="786"/>
      <c r="JFJ141" s="786"/>
      <c r="JFK141" s="786"/>
      <c r="JFL141" s="786"/>
      <c r="JFM141" s="786"/>
      <c r="JFN141" s="786"/>
      <c r="JFO141" s="786"/>
      <c r="JFP141" s="786"/>
      <c r="JFQ141" s="786"/>
      <c r="JFR141" s="786"/>
      <c r="JFS141" s="786"/>
      <c r="JFT141" s="786"/>
      <c r="JFU141" s="786"/>
      <c r="JFV141" s="786"/>
      <c r="JFW141" s="786"/>
      <c r="JFX141" s="786"/>
      <c r="JFY141" s="786"/>
      <c r="JFZ141" s="786"/>
      <c r="JGA141" s="786"/>
      <c r="JGB141" s="786"/>
      <c r="JGC141" s="786"/>
      <c r="JGD141" s="786"/>
      <c r="JGE141" s="786"/>
      <c r="JGF141" s="786"/>
      <c r="JGG141" s="786"/>
      <c r="JGH141" s="786"/>
      <c r="JGI141" s="786"/>
      <c r="JGJ141" s="786"/>
      <c r="JGK141" s="786"/>
      <c r="JGL141" s="786"/>
      <c r="JGM141" s="786"/>
      <c r="JGN141" s="786"/>
      <c r="JGO141" s="786"/>
      <c r="JGP141" s="786"/>
      <c r="JGQ141" s="786"/>
      <c r="JGR141" s="786"/>
      <c r="JGS141" s="786"/>
      <c r="JGT141" s="786"/>
      <c r="JGU141" s="786"/>
      <c r="JGV141" s="786"/>
      <c r="JGW141" s="786"/>
      <c r="JGX141" s="786"/>
      <c r="JGY141" s="786"/>
      <c r="JGZ141" s="786"/>
      <c r="JHA141" s="786"/>
      <c r="JHB141" s="786"/>
      <c r="JHC141" s="786"/>
      <c r="JHD141" s="786"/>
      <c r="JHE141" s="786"/>
      <c r="JHF141" s="786"/>
      <c r="JHG141" s="786"/>
      <c r="JHH141" s="786"/>
      <c r="JHI141" s="786"/>
      <c r="JHJ141" s="786"/>
      <c r="JHK141" s="786"/>
      <c r="JHL141" s="786"/>
      <c r="JHM141" s="786"/>
      <c r="JHN141" s="786"/>
      <c r="JHO141" s="786"/>
      <c r="JHP141" s="786"/>
      <c r="JHQ141" s="786"/>
      <c r="JHR141" s="786"/>
      <c r="JHS141" s="786"/>
      <c r="JHT141" s="786"/>
      <c r="JHU141" s="786"/>
      <c r="JHV141" s="786"/>
      <c r="JHW141" s="786"/>
      <c r="JHX141" s="786"/>
      <c r="JHY141" s="786"/>
      <c r="JHZ141" s="786"/>
      <c r="JIA141" s="786"/>
      <c r="JIB141" s="786"/>
      <c r="JIC141" s="786"/>
      <c r="JID141" s="786"/>
      <c r="JIE141" s="786"/>
      <c r="JIF141" s="786"/>
      <c r="JIG141" s="786"/>
      <c r="JIH141" s="786"/>
      <c r="JII141" s="786"/>
      <c r="JIJ141" s="786"/>
      <c r="JIK141" s="786"/>
      <c r="JIL141" s="786"/>
      <c r="JIM141" s="786"/>
      <c r="JIN141" s="786"/>
      <c r="JIO141" s="786"/>
      <c r="JIP141" s="786"/>
      <c r="JIQ141" s="786"/>
      <c r="JIR141" s="786"/>
      <c r="JIS141" s="786"/>
      <c r="JIT141" s="786"/>
      <c r="JIU141" s="786"/>
      <c r="JIV141" s="786"/>
      <c r="JIW141" s="786"/>
      <c r="JIX141" s="786"/>
      <c r="JIY141" s="786"/>
      <c r="JIZ141" s="786"/>
      <c r="JJA141" s="786"/>
      <c r="JJB141" s="786"/>
      <c r="JJC141" s="786"/>
      <c r="JJD141" s="786"/>
      <c r="JJE141" s="786"/>
      <c r="JJF141" s="786"/>
      <c r="JJG141" s="786"/>
      <c r="JJH141" s="786"/>
      <c r="JJI141" s="786"/>
      <c r="JJJ141" s="786"/>
      <c r="JJK141" s="786"/>
      <c r="JJL141" s="786"/>
      <c r="JJM141" s="786"/>
      <c r="JJN141" s="786"/>
      <c r="JJO141" s="786"/>
      <c r="JJP141" s="786"/>
      <c r="JJQ141" s="786"/>
      <c r="JJR141" s="786"/>
      <c r="JJS141" s="786"/>
      <c r="JJT141" s="786"/>
      <c r="JJU141" s="786"/>
      <c r="JJV141" s="786"/>
      <c r="JJW141" s="786"/>
      <c r="JJX141" s="786"/>
      <c r="JJY141" s="786"/>
      <c r="JJZ141" s="786"/>
      <c r="JKA141" s="786"/>
      <c r="JKB141" s="786"/>
      <c r="JKC141" s="786"/>
      <c r="JKD141" s="786"/>
      <c r="JKE141" s="786"/>
      <c r="JKF141" s="786"/>
      <c r="JKG141" s="786"/>
      <c r="JKH141" s="786"/>
      <c r="JKI141" s="786"/>
      <c r="JKJ141" s="786"/>
      <c r="JKK141" s="786"/>
      <c r="JKL141" s="786"/>
      <c r="JKM141" s="786"/>
      <c r="JKN141" s="786"/>
      <c r="JKO141" s="786"/>
      <c r="JKP141" s="786"/>
      <c r="JKQ141" s="786"/>
      <c r="JKR141" s="786"/>
      <c r="JKS141" s="786"/>
      <c r="JKT141" s="786"/>
      <c r="JKU141" s="786"/>
      <c r="JKV141" s="786"/>
      <c r="JKW141" s="786"/>
      <c r="JKX141" s="786"/>
      <c r="JKY141" s="786"/>
      <c r="JKZ141" s="786"/>
      <c r="JLA141" s="786"/>
      <c r="JLB141" s="786"/>
      <c r="JLC141" s="786"/>
      <c r="JLD141" s="786"/>
      <c r="JLE141" s="786"/>
      <c r="JLF141" s="786"/>
      <c r="JLG141" s="786"/>
      <c r="JLH141" s="786"/>
      <c r="JLI141" s="786"/>
      <c r="JLJ141" s="786"/>
      <c r="JLK141" s="786"/>
      <c r="JLL141" s="786"/>
      <c r="JLM141" s="786"/>
      <c r="JLN141" s="786"/>
      <c r="JLO141" s="786"/>
      <c r="JLP141" s="786"/>
      <c r="JLQ141" s="786"/>
      <c r="JLR141" s="786"/>
      <c r="JLS141" s="786"/>
      <c r="JLT141" s="786"/>
      <c r="JLU141" s="786"/>
      <c r="JLV141" s="786"/>
      <c r="JLW141" s="786"/>
      <c r="JLX141" s="786"/>
      <c r="JLY141" s="786"/>
      <c r="JLZ141" s="786"/>
      <c r="JMA141" s="786"/>
      <c r="JMB141" s="786"/>
      <c r="JMC141" s="786"/>
      <c r="JMD141" s="786"/>
      <c r="JME141" s="786"/>
      <c r="JMF141" s="786"/>
      <c r="JMG141" s="786"/>
      <c r="JMH141" s="786"/>
      <c r="JMI141" s="786"/>
      <c r="JMJ141" s="786"/>
      <c r="JMK141" s="786"/>
      <c r="JML141" s="786"/>
      <c r="JMM141" s="786"/>
      <c r="JMN141" s="786"/>
      <c r="JMO141" s="786"/>
      <c r="JMP141" s="786"/>
      <c r="JMQ141" s="786"/>
      <c r="JMR141" s="786"/>
      <c r="JMS141" s="786"/>
      <c r="JMT141" s="786"/>
      <c r="JMU141" s="786"/>
      <c r="JMV141" s="786"/>
      <c r="JMW141" s="786"/>
      <c r="JMX141" s="786"/>
      <c r="JMY141" s="786"/>
      <c r="JMZ141" s="786"/>
      <c r="JNA141" s="786"/>
      <c r="JNB141" s="786"/>
      <c r="JNC141" s="786"/>
      <c r="JND141" s="786"/>
      <c r="JNE141" s="786"/>
      <c r="JNF141" s="786"/>
      <c r="JNG141" s="786"/>
      <c r="JNH141" s="786"/>
      <c r="JNI141" s="786"/>
      <c r="JNJ141" s="786"/>
      <c r="JNK141" s="786"/>
      <c r="JNL141" s="786"/>
      <c r="JNM141" s="786"/>
      <c r="JNN141" s="786"/>
      <c r="JNO141" s="786"/>
      <c r="JNP141" s="786"/>
      <c r="JNQ141" s="786"/>
      <c r="JNR141" s="786"/>
      <c r="JNS141" s="786"/>
      <c r="JNT141" s="786"/>
      <c r="JNU141" s="786"/>
      <c r="JNV141" s="786"/>
      <c r="JNW141" s="786"/>
      <c r="JNX141" s="786"/>
      <c r="JNY141" s="786"/>
      <c r="JNZ141" s="786"/>
      <c r="JOA141" s="786"/>
      <c r="JOB141" s="786"/>
      <c r="JOC141" s="786"/>
      <c r="JOD141" s="786"/>
      <c r="JOE141" s="786"/>
      <c r="JOF141" s="786"/>
      <c r="JOG141" s="786"/>
      <c r="JOH141" s="786"/>
      <c r="JOI141" s="786"/>
      <c r="JOJ141" s="786"/>
      <c r="JOK141" s="786"/>
      <c r="JOL141" s="786"/>
      <c r="JOM141" s="786"/>
      <c r="JON141" s="786"/>
      <c r="JOO141" s="786"/>
      <c r="JOP141" s="786"/>
      <c r="JOQ141" s="786"/>
      <c r="JOR141" s="786"/>
      <c r="JOS141" s="786"/>
      <c r="JOT141" s="786"/>
      <c r="JOU141" s="786"/>
      <c r="JOV141" s="786"/>
      <c r="JOW141" s="786"/>
      <c r="JOX141" s="786"/>
      <c r="JOY141" s="786"/>
      <c r="JOZ141" s="786"/>
      <c r="JPA141" s="786"/>
      <c r="JPB141" s="786"/>
      <c r="JPC141" s="786"/>
      <c r="JPD141" s="786"/>
      <c r="JPE141" s="786"/>
      <c r="JPF141" s="786"/>
      <c r="JPG141" s="786"/>
      <c r="JPH141" s="786"/>
      <c r="JPI141" s="786"/>
      <c r="JPJ141" s="786"/>
      <c r="JPK141" s="786"/>
      <c r="JPL141" s="786"/>
      <c r="JPM141" s="786"/>
      <c r="JPN141" s="786"/>
      <c r="JPO141" s="786"/>
      <c r="JPP141" s="786"/>
      <c r="JPQ141" s="786"/>
      <c r="JPR141" s="786"/>
      <c r="JPS141" s="786"/>
      <c r="JPT141" s="786"/>
      <c r="JPU141" s="786"/>
      <c r="JPV141" s="786"/>
      <c r="JPW141" s="786"/>
      <c r="JPX141" s="786"/>
      <c r="JPY141" s="786"/>
      <c r="JPZ141" s="786"/>
      <c r="JQA141" s="786"/>
      <c r="JQB141" s="786"/>
      <c r="JQC141" s="786"/>
      <c r="JQD141" s="786"/>
      <c r="JQE141" s="786"/>
      <c r="JQF141" s="786"/>
      <c r="JQG141" s="786"/>
      <c r="JQH141" s="786"/>
      <c r="JQI141" s="786"/>
      <c r="JQJ141" s="786"/>
      <c r="JQK141" s="786"/>
      <c r="JQL141" s="786"/>
      <c r="JQM141" s="786"/>
      <c r="JQN141" s="786"/>
      <c r="JQO141" s="786"/>
      <c r="JQP141" s="786"/>
      <c r="JQQ141" s="786"/>
      <c r="JQR141" s="786"/>
      <c r="JQS141" s="786"/>
      <c r="JQT141" s="786"/>
      <c r="JQU141" s="786"/>
      <c r="JQV141" s="786"/>
      <c r="JQW141" s="786"/>
      <c r="JQX141" s="786"/>
      <c r="JQY141" s="786"/>
      <c r="JQZ141" s="786"/>
      <c r="JRA141" s="786"/>
      <c r="JRB141" s="786"/>
      <c r="JRC141" s="786"/>
      <c r="JRD141" s="786"/>
      <c r="JRE141" s="786"/>
      <c r="JRF141" s="786"/>
      <c r="JRG141" s="786"/>
      <c r="JRH141" s="786"/>
      <c r="JRI141" s="786"/>
      <c r="JRJ141" s="786"/>
      <c r="JRK141" s="786"/>
      <c r="JRL141" s="786"/>
      <c r="JRM141" s="786"/>
      <c r="JRN141" s="786"/>
      <c r="JRO141" s="786"/>
      <c r="JRP141" s="786"/>
      <c r="JRQ141" s="786"/>
      <c r="JRR141" s="786"/>
      <c r="JRS141" s="786"/>
      <c r="JRT141" s="786"/>
      <c r="JRU141" s="786"/>
      <c r="JRV141" s="786"/>
      <c r="JRW141" s="786"/>
      <c r="JRX141" s="786"/>
      <c r="JRY141" s="786"/>
      <c r="JRZ141" s="786"/>
      <c r="JSA141" s="786"/>
      <c r="JSB141" s="786"/>
      <c r="JSC141" s="786"/>
      <c r="JSD141" s="786"/>
      <c r="JSE141" s="786"/>
      <c r="JSF141" s="786"/>
      <c r="JSG141" s="786"/>
      <c r="JSH141" s="786"/>
      <c r="JSI141" s="786"/>
      <c r="JSJ141" s="786"/>
      <c r="JSK141" s="786"/>
      <c r="JSL141" s="786"/>
      <c r="JSM141" s="786"/>
      <c r="JSN141" s="786"/>
      <c r="JSO141" s="786"/>
      <c r="JSP141" s="786"/>
      <c r="JSQ141" s="786"/>
      <c r="JSR141" s="786"/>
      <c r="JSS141" s="786"/>
      <c r="JST141" s="786"/>
      <c r="JSU141" s="786"/>
      <c r="JSV141" s="786"/>
      <c r="JSW141" s="786"/>
      <c r="JSX141" s="786"/>
      <c r="JSY141" s="786"/>
      <c r="JSZ141" s="786"/>
      <c r="JTA141" s="786"/>
      <c r="JTB141" s="786"/>
      <c r="JTC141" s="786"/>
      <c r="JTD141" s="786"/>
      <c r="JTE141" s="786"/>
      <c r="JTF141" s="786"/>
      <c r="JTG141" s="786"/>
      <c r="JTH141" s="786"/>
      <c r="JTI141" s="786"/>
      <c r="JTJ141" s="786"/>
      <c r="JTK141" s="786"/>
      <c r="JTL141" s="786"/>
      <c r="JTM141" s="786"/>
      <c r="JTN141" s="786"/>
      <c r="JTO141" s="786"/>
      <c r="JTP141" s="786"/>
      <c r="JTQ141" s="786"/>
      <c r="JTR141" s="786"/>
      <c r="JTS141" s="786"/>
      <c r="JTT141" s="786"/>
      <c r="JTU141" s="786"/>
      <c r="JTV141" s="786"/>
      <c r="JTW141" s="786"/>
      <c r="JTX141" s="786"/>
      <c r="JTY141" s="786"/>
      <c r="JTZ141" s="786"/>
      <c r="JUA141" s="786"/>
      <c r="JUB141" s="786"/>
      <c r="JUC141" s="786"/>
      <c r="JUD141" s="786"/>
      <c r="JUE141" s="786"/>
      <c r="JUF141" s="786"/>
      <c r="JUG141" s="786"/>
      <c r="JUH141" s="786"/>
      <c r="JUI141" s="786"/>
      <c r="JUJ141" s="786"/>
      <c r="JUK141" s="786"/>
      <c r="JUL141" s="786"/>
      <c r="JUM141" s="786"/>
      <c r="JUN141" s="786"/>
      <c r="JUO141" s="786"/>
      <c r="JUP141" s="786"/>
      <c r="JUQ141" s="786"/>
      <c r="JUR141" s="786"/>
      <c r="JUS141" s="786"/>
      <c r="JUT141" s="786"/>
      <c r="JUU141" s="786"/>
      <c r="JUV141" s="786"/>
      <c r="JUW141" s="786"/>
      <c r="JUX141" s="786"/>
      <c r="JUY141" s="786"/>
      <c r="JUZ141" s="786"/>
      <c r="JVA141" s="786"/>
      <c r="JVB141" s="786"/>
      <c r="JVC141" s="786"/>
      <c r="JVD141" s="786"/>
      <c r="JVE141" s="786"/>
      <c r="JVF141" s="786"/>
      <c r="JVG141" s="786"/>
      <c r="JVH141" s="786"/>
      <c r="JVI141" s="786"/>
      <c r="JVJ141" s="786"/>
      <c r="JVK141" s="786"/>
      <c r="JVL141" s="786"/>
      <c r="JVM141" s="786"/>
      <c r="JVN141" s="786"/>
      <c r="JVO141" s="786"/>
      <c r="JVP141" s="786"/>
      <c r="JVQ141" s="786"/>
      <c r="JVR141" s="786"/>
      <c r="JVS141" s="786"/>
      <c r="JVT141" s="786"/>
      <c r="JVU141" s="786"/>
      <c r="JVV141" s="786"/>
      <c r="JVW141" s="786"/>
      <c r="JVX141" s="786"/>
      <c r="JVY141" s="786"/>
      <c r="JVZ141" s="786"/>
      <c r="JWA141" s="786"/>
      <c r="JWB141" s="786"/>
      <c r="JWC141" s="786"/>
      <c r="JWD141" s="786"/>
      <c r="JWE141" s="786"/>
      <c r="JWF141" s="786"/>
      <c r="JWG141" s="786"/>
      <c r="JWH141" s="786"/>
      <c r="JWI141" s="786"/>
      <c r="JWJ141" s="786"/>
      <c r="JWK141" s="786"/>
      <c r="JWL141" s="786"/>
      <c r="JWM141" s="786"/>
      <c r="JWN141" s="786"/>
      <c r="JWO141" s="786"/>
      <c r="JWP141" s="786"/>
      <c r="JWQ141" s="786"/>
      <c r="JWR141" s="786"/>
      <c r="JWS141" s="786"/>
      <c r="JWT141" s="786"/>
      <c r="JWU141" s="786"/>
      <c r="JWV141" s="786"/>
      <c r="JWW141" s="786"/>
      <c r="JWX141" s="786"/>
      <c r="JWY141" s="786"/>
      <c r="JWZ141" s="786"/>
      <c r="JXA141" s="786"/>
      <c r="JXB141" s="786"/>
      <c r="JXC141" s="786"/>
      <c r="JXD141" s="786"/>
      <c r="JXE141" s="786"/>
      <c r="JXF141" s="786"/>
      <c r="JXG141" s="786"/>
      <c r="JXH141" s="786"/>
      <c r="JXI141" s="786"/>
      <c r="JXJ141" s="786"/>
      <c r="JXK141" s="786"/>
      <c r="JXL141" s="786"/>
      <c r="JXM141" s="786"/>
      <c r="JXN141" s="786"/>
      <c r="JXO141" s="786"/>
      <c r="JXP141" s="786"/>
      <c r="JXQ141" s="786"/>
      <c r="JXR141" s="786"/>
      <c r="JXS141" s="786"/>
      <c r="JXT141" s="786"/>
      <c r="JXU141" s="786"/>
      <c r="JXV141" s="786"/>
      <c r="JXW141" s="786"/>
      <c r="JXX141" s="786"/>
      <c r="JXY141" s="786"/>
      <c r="JXZ141" s="786"/>
      <c r="JYA141" s="786"/>
      <c r="JYB141" s="786"/>
      <c r="JYC141" s="786"/>
      <c r="JYD141" s="786"/>
      <c r="JYE141" s="786"/>
      <c r="JYF141" s="786"/>
      <c r="JYG141" s="786"/>
      <c r="JYH141" s="786"/>
      <c r="JYI141" s="786"/>
      <c r="JYJ141" s="786"/>
      <c r="JYK141" s="786"/>
      <c r="JYL141" s="786"/>
      <c r="JYM141" s="786"/>
      <c r="JYN141" s="786"/>
      <c r="JYO141" s="786"/>
      <c r="JYP141" s="786"/>
      <c r="JYQ141" s="786"/>
      <c r="JYR141" s="786"/>
      <c r="JYS141" s="786"/>
      <c r="JYT141" s="786"/>
      <c r="JYU141" s="786"/>
      <c r="JYV141" s="786"/>
      <c r="JYW141" s="786"/>
      <c r="JYX141" s="786"/>
      <c r="JYY141" s="786"/>
      <c r="JYZ141" s="786"/>
      <c r="JZA141" s="786"/>
      <c r="JZB141" s="786"/>
      <c r="JZC141" s="786"/>
      <c r="JZD141" s="786"/>
      <c r="JZE141" s="786"/>
      <c r="JZF141" s="786"/>
      <c r="JZG141" s="786"/>
      <c r="JZH141" s="786"/>
      <c r="JZI141" s="786"/>
      <c r="JZJ141" s="786"/>
      <c r="JZK141" s="786"/>
      <c r="JZL141" s="786"/>
      <c r="JZM141" s="786"/>
      <c r="JZN141" s="786"/>
      <c r="JZO141" s="786"/>
      <c r="JZP141" s="786"/>
      <c r="JZQ141" s="786"/>
      <c r="JZR141" s="786"/>
      <c r="JZS141" s="786"/>
      <c r="JZT141" s="786"/>
      <c r="JZU141" s="786"/>
      <c r="JZV141" s="786"/>
      <c r="JZW141" s="786"/>
      <c r="JZX141" s="786"/>
      <c r="JZY141" s="786"/>
      <c r="JZZ141" s="786"/>
      <c r="KAA141" s="786"/>
      <c r="KAB141" s="786"/>
      <c r="KAC141" s="786"/>
      <c r="KAD141" s="786"/>
      <c r="KAE141" s="786"/>
      <c r="KAF141" s="786"/>
      <c r="KAG141" s="786"/>
      <c r="KAH141" s="786"/>
      <c r="KAI141" s="786"/>
      <c r="KAJ141" s="786"/>
      <c r="KAK141" s="786"/>
      <c r="KAL141" s="786"/>
      <c r="KAM141" s="786"/>
      <c r="KAN141" s="786"/>
      <c r="KAO141" s="786"/>
      <c r="KAP141" s="786"/>
      <c r="KAQ141" s="786"/>
      <c r="KAR141" s="786"/>
      <c r="KAS141" s="786"/>
      <c r="KAT141" s="786"/>
      <c r="KAU141" s="786"/>
      <c r="KAV141" s="786"/>
      <c r="KAW141" s="786"/>
      <c r="KAX141" s="786"/>
      <c r="KAY141" s="786"/>
      <c r="KAZ141" s="786"/>
      <c r="KBA141" s="786"/>
      <c r="KBB141" s="786"/>
      <c r="KBC141" s="786"/>
      <c r="KBD141" s="786"/>
      <c r="KBE141" s="786"/>
      <c r="KBF141" s="786"/>
      <c r="KBG141" s="786"/>
      <c r="KBH141" s="786"/>
      <c r="KBI141" s="786"/>
      <c r="KBJ141" s="786"/>
      <c r="KBK141" s="786"/>
      <c r="KBL141" s="786"/>
      <c r="KBM141" s="786"/>
      <c r="KBN141" s="786"/>
      <c r="KBO141" s="786"/>
      <c r="KBP141" s="786"/>
      <c r="KBQ141" s="786"/>
      <c r="KBR141" s="786"/>
      <c r="KBS141" s="786"/>
      <c r="KBT141" s="786"/>
      <c r="KBU141" s="786"/>
      <c r="KBV141" s="786"/>
      <c r="KBW141" s="786"/>
      <c r="KBX141" s="786"/>
      <c r="KBY141" s="786"/>
      <c r="KBZ141" s="786"/>
      <c r="KCA141" s="786"/>
      <c r="KCB141" s="786"/>
      <c r="KCC141" s="786"/>
      <c r="KCD141" s="786"/>
      <c r="KCE141" s="786"/>
      <c r="KCF141" s="786"/>
      <c r="KCG141" s="786"/>
      <c r="KCH141" s="786"/>
      <c r="KCI141" s="786"/>
      <c r="KCJ141" s="786"/>
      <c r="KCK141" s="786"/>
      <c r="KCL141" s="786"/>
      <c r="KCM141" s="786"/>
      <c r="KCN141" s="786"/>
      <c r="KCO141" s="786"/>
      <c r="KCP141" s="786"/>
      <c r="KCQ141" s="786"/>
      <c r="KCR141" s="786"/>
      <c r="KCS141" s="786"/>
      <c r="KCT141" s="786"/>
      <c r="KCU141" s="786"/>
      <c r="KCV141" s="786"/>
      <c r="KCW141" s="786"/>
      <c r="KCX141" s="786"/>
      <c r="KCY141" s="786"/>
      <c r="KCZ141" s="786"/>
      <c r="KDA141" s="786"/>
      <c r="KDB141" s="786"/>
      <c r="KDC141" s="786"/>
      <c r="KDD141" s="786"/>
      <c r="KDE141" s="786"/>
      <c r="KDF141" s="786"/>
      <c r="KDG141" s="786"/>
      <c r="KDH141" s="786"/>
      <c r="KDI141" s="786"/>
      <c r="KDJ141" s="786"/>
      <c r="KDK141" s="786"/>
      <c r="KDL141" s="786"/>
      <c r="KDM141" s="786"/>
      <c r="KDN141" s="786"/>
      <c r="KDO141" s="786"/>
      <c r="KDP141" s="786"/>
      <c r="KDQ141" s="786"/>
      <c r="KDR141" s="786"/>
      <c r="KDS141" s="786"/>
      <c r="KDT141" s="786"/>
      <c r="KDU141" s="786"/>
      <c r="KDV141" s="786"/>
      <c r="KDW141" s="786"/>
      <c r="KDX141" s="786"/>
      <c r="KDY141" s="786"/>
      <c r="KDZ141" s="786"/>
      <c r="KEA141" s="786"/>
      <c r="KEB141" s="786"/>
      <c r="KEC141" s="786"/>
      <c r="KED141" s="786"/>
      <c r="KEE141" s="786"/>
      <c r="KEF141" s="786"/>
      <c r="KEG141" s="786"/>
      <c r="KEH141" s="786"/>
      <c r="KEI141" s="786"/>
      <c r="KEJ141" s="786"/>
      <c r="KEK141" s="786"/>
      <c r="KEL141" s="786"/>
      <c r="KEM141" s="786"/>
      <c r="KEN141" s="786"/>
      <c r="KEO141" s="786"/>
      <c r="KEP141" s="786"/>
      <c r="KEQ141" s="786"/>
      <c r="KER141" s="786"/>
      <c r="KES141" s="786"/>
      <c r="KET141" s="786"/>
      <c r="KEU141" s="786"/>
      <c r="KEV141" s="786"/>
      <c r="KEW141" s="786"/>
      <c r="KEX141" s="786"/>
      <c r="KEY141" s="786"/>
      <c r="KEZ141" s="786"/>
      <c r="KFA141" s="786"/>
      <c r="KFB141" s="786"/>
      <c r="KFC141" s="786"/>
      <c r="KFD141" s="786"/>
      <c r="KFE141" s="786"/>
      <c r="KFF141" s="786"/>
      <c r="KFG141" s="786"/>
      <c r="KFH141" s="786"/>
      <c r="KFI141" s="786"/>
      <c r="KFJ141" s="786"/>
      <c r="KFK141" s="786"/>
      <c r="KFL141" s="786"/>
      <c r="KFM141" s="786"/>
      <c r="KFN141" s="786"/>
      <c r="KFO141" s="786"/>
      <c r="KFP141" s="786"/>
      <c r="KFQ141" s="786"/>
      <c r="KFR141" s="786"/>
      <c r="KFS141" s="786"/>
      <c r="KFT141" s="786"/>
      <c r="KFU141" s="786"/>
      <c r="KFV141" s="786"/>
      <c r="KFW141" s="786"/>
      <c r="KFX141" s="786"/>
      <c r="KFY141" s="786"/>
      <c r="KFZ141" s="786"/>
      <c r="KGA141" s="786"/>
      <c r="KGB141" s="786"/>
      <c r="KGC141" s="786"/>
      <c r="KGD141" s="786"/>
      <c r="KGE141" s="786"/>
      <c r="KGF141" s="786"/>
      <c r="KGG141" s="786"/>
      <c r="KGH141" s="786"/>
      <c r="KGI141" s="786"/>
      <c r="KGJ141" s="786"/>
      <c r="KGK141" s="786"/>
      <c r="KGL141" s="786"/>
      <c r="KGM141" s="786"/>
      <c r="KGN141" s="786"/>
      <c r="KGO141" s="786"/>
      <c r="KGP141" s="786"/>
      <c r="KGQ141" s="786"/>
      <c r="KGR141" s="786"/>
      <c r="KGS141" s="786"/>
      <c r="KGT141" s="786"/>
      <c r="KGU141" s="786"/>
      <c r="KGV141" s="786"/>
      <c r="KGW141" s="786"/>
      <c r="KGX141" s="786"/>
      <c r="KGY141" s="786"/>
      <c r="KGZ141" s="786"/>
      <c r="KHA141" s="786"/>
      <c r="KHB141" s="786"/>
      <c r="KHC141" s="786"/>
      <c r="KHD141" s="786"/>
      <c r="KHE141" s="786"/>
      <c r="KHF141" s="786"/>
      <c r="KHG141" s="786"/>
      <c r="KHH141" s="786"/>
      <c r="KHI141" s="786"/>
      <c r="KHJ141" s="786"/>
      <c r="KHK141" s="786"/>
      <c r="KHL141" s="786"/>
      <c r="KHM141" s="786"/>
      <c r="KHN141" s="786"/>
      <c r="KHO141" s="786"/>
      <c r="KHP141" s="786"/>
      <c r="KHQ141" s="786"/>
      <c r="KHR141" s="786"/>
      <c r="KHS141" s="786"/>
      <c r="KHT141" s="786"/>
      <c r="KHU141" s="786"/>
      <c r="KHV141" s="786"/>
      <c r="KHW141" s="786"/>
      <c r="KHX141" s="786"/>
      <c r="KHY141" s="786"/>
      <c r="KHZ141" s="786"/>
      <c r="KIA141" s="786"/>
      <c r="KIB141" s="786"/>
      <c r="KIC141" s="786"/>
      <c r="KID141" s="786"/>
      <c r="KIE141" s="786"/>
      <c r="KIF141" s="786"/>
      <c r="KIG141" s="786"/>
      <c r="KIH141" s="786"/>
      <c r="KII141" s="786"/>
      <c r="KIJ141" s="786"/>
      <c r="KIK141" s="786"/>
      <c r="KIL141" s="786"/>
      <c r="KIM141" s="786"/>
      <c r="KIN141" s="786"/>
      <c r="KIO141" s="786"/>
      <c r="KIP141" s="786"/>
      <c r="KIQ141" s="786"/>
      <c r="KIR141" s="786"/>
      <c r="KIS141" s="786"/>
      <c r="KIT141" s="786"/>
      <c r="KIU141" s="786"/>
      <c r="KIV141" s="786"/>
      <c r="KIW141" s="786"/>
      <c r="KIX141" s="786"/>
      <c r="KIY141" s="786"/>
      <c r="KIZ141" s="786"/>
      <c r="KJA141" s="786"/>
      <c r="KJB141" s="786"/>
      <c r="KJC141" s="786"/>
      <c r="KJD141" s="786"/>
      <c r="KJE141" s="786"/>
      <c r="KJF141" s="786"/>
      <c r="KJG141" s="786"/>
      <c r="KJH141" s="786"/>
      <c r="KJI141" s="786"/>
      <c r="KJJ141" s="786"/>
      <c r="KJK141" s="786"/>
      <c r="KJL141" s="786"/>
      <c r="KJM141" s="786"/>
      <c r="KJN141" s="786"/>
      <c r="KJO141" s="786"/>
      <c r="KJP141" s="786"/>
      <c r="KJQ141" s="786"/>
      <c r="KJR141" s="786"/>
      <c r="KJS141" s="786"/>
      <c r="KJT141" s="786"/>
      <c r="KJU141" s="786"/>
      <c r="KJV141" s="786"/>
      <c r="KJW141" s="786"/>
      <c r="KJX141" s="786"/>
      <c r="KJY141" s="786"/>
      <c r="KJZ141" s="786"/>
      <c r="KKA141" s="786"/>
      <c r="KKB141" s="786"/>
      <c r="KKC141" s="786"/>
      <c r="KKD141" s="786"/>
      <c r="KKE141" s="786"/>
      <c r="KKF141" s="786"/>
      <c r="KKG141" s="786"/>
      <c r="KKH141" s="786"/>
      <c r="KKI141" s="786"/>
      <c r="KKJ141" s="786"/>
      <c r="KKK141" s="786"/>
      <c r="KKL141" s="786"/>
      <c r="KKM141" s="786"/>
      <c r="KKN141" s="786"/>
      <c r="KKO141" s="786"/>
      <c r="KKP141" s="786"/>
      <c r="KKQ141" s="786"/>
      <c r="KKR141" s="786"/>
      <c r="KKS141" s="786"/>
      <c r="KKT141" s="786"/>
      <c r="KKU141" s="786"/>
      <c r="KKV141" s="786"/>
      <c r="KKW141" s="786"/>
      <c r="KKX141" s="786"/>
      <c r="KKY141" s="786"/>
      <c r="KKZ141" s="786"/>
      <c r="KLA141" s="786"/>
      <c r="KLB141" s="786"/>
      <c r="KLC141" s="786"/>
      <c r="KLD141" s="786"/>
      <c r="KLE141" s="786"/>
      <c r="KLF141" s="786"/>
      <c r="KLG141" s="786"/>
      <c r="KLH141" s="786"/>
      <c r="KLI141" s="786"/>
      <c r="KLJ141" s="786"/>
      <c r="KLK141" s="786"/>
      <c r="KLL141" s="786"/>
      <c r="KLM141" s="786"/>
      <c r="KLN141" s="786"/>
      <c r="KLO141" s="786"/>
      <c r="KLP141" s="786"/>
      <c r="KLQ141" s="786"/>
      <c r="KLR141" s="786"/>
      <c r="KLS141" s="786"/>
      <c r="KLT141" s="786"/>
      <c r="KLU141" s="786"/>
      <c r="KLV141" s="786"/>
      <c r="KLW141" s="786"/>
      <c r="KLX141" s="786"/>
      <c r="KLY141" s="786"/>
      <c r="KLZ141" s="786"/>
      <c r="KMA141" s="786"/>
      <c r="KMB141" s="786"/>
      <c r="KMC141" s="786"/>
      <c r="KMD141" s="786"/>
      <c r="KME141" s="786"/>
      <c r="KMF141" s="786"/>
      <c r="KMG141" s="786"/>
      <c r="KMH141" s="786"/>
      <c r="KMI141" s="786"/>
      <c r="KMJ141" s="786"/>
      <c r="KMK141" s="786"/>
      <c r="KML141" s="786"/>
      <c r="KMM141" s="786"/>
      <c r="KMN141" s="786"/>
      <c r="KMO141" s="786"/>
      <c r="KMP141" s="786"/>
      <c r="KMQ141" s="786"/>
      <c r="KMR141" s="786"/>
      <c r="KMS141" s="786"/>
      <c r="KMT141" s="786"/>
      <c r="KMU141" s="786"/>
      <c r="KMV141" s="786"/>
      <c r="KMW141" s="786"/>
      <c r="KMX141" s="786"/>
      <c r="KMY141" s="786"/>
      <c r="KMZ141" s="786"/>
      <c r="KNA141" s="786"/>
      <c r="KNB141" s="786"/>
      <c r="KNC141" s="786"/>
      <c r="KND141" s="786"/>
      <c r="KNE141" s="786"/>
      <c r="KNF141" s="786"/>
      <c r="KNG141" s="786"/>
      <c r="KNH141" s="786"/>
      <c r="KNI141" s="786"/>
      <c r="KNJ141" s="786"/>
      <c r="KNK141" s="786"/>
      <c r="KNL141" s="786"/>
      <c r="KNM141" s="786"/>
      <c r="KNN141" s="786"/>
      <c r="KNO141" s="786"/>
      <c r="KNP141" s="786"/>
      <c r="KNQ141" s="786"/>
      <c r="KNR141" s="786"/>
      <c r="KNS141" s="786"/>
      <c r="KNT141" s="786"/>
      <c r="KNU141" s="786"/>
      <c r="KNV141" s="786"/>
      <c r="KNW141" s="786"/>
      <c r="KNX141" s="786"/>
      <c r="KNY141" s="786"/>
      <c r="KNZ141" s="786"/>
      <c r="KOA141" s="786"/>
      <c r="KOB141" s="786"/>
      <c r="KOC141" s="786"/>
      <c r="KOD141" s="786"/>
      <c r="KOE141" s="786"/>
      <c r="KOF141" s="786"/>
      <c r="KOG141" s="786"/>
      <c r="KOH141" s="786"/>
      <c r="KOI141" s="786"/>
      <c r="KOJ141" s="786"/>
      <c r="KOK141" s="786"/>
      <c r="KOL141" s="786"/>
      <c r="KOM141" s="786"/>
      <c r="KON141" s="786"/>
      <c r="KOO141" s="786"/>
      <c r="KOP141" s="786"/>
      <c r="KOQ141" s="786"/>
      <c r="KOR141" s="786"/>
      <c r="KOS141" s="786"/>
      <c r="KOT141" s="786"/>
      <c r="KOU141" s="786"/>
      <c r="KOV141" s="786"/>
      <c r="KOW141" s="786"/>
      <c r="KOX141" s="786"/>
      <c r="KOY141" s="786"/>
      <c r="KOZ141" s="786"/>
      <c r="KPA141" s="786"/>
      <c r="KPB141" s="786"/>
      <c r="KPC141" s="786"/>
      <c r="KPD141" s="786"/>
      <c r="KPE141" s="786"/>
      <c r="KPF141" s="786"/>
      <c r="KPG141" s="786"/>
      <c r="KPH141" s="786"/>
      <c r="KPI141" s="786"/>
      <c r="KPJ141" s="786"/>
      <c r="KPK141" s="786"/>
      <c r="KPL141" s="786"/>
      <c r="KPM141" s="786"/>
      <c r="KPN141" s="786"/>
      <c r="KPO141" s="786"/>
      <c r="KPP141" s="786"/>
      <c r="KPQ141" s="786"/>
      <c r="KPR141" s="786"/>
      <c r="KPS141" s="786"/>
      <c r="KPT141" s="786"/>
      <c r="KPU141" s="786"/>
      <c r="KPV141" s="786"/>
      <c r="KPW141" s="786"/>
      <c r="KPX141" s="786"/>
      <c r="KPY141" s="786"/>
      <c r="KPZ141" s="786"/>
      <c r="KQA141" s="786"/>
      <c r="KQB141" s="786"/>
      <c r="KQC141" s="786"/>
      <c r="KQD141" s="786"/>
      <c r="KQE141" s="786"/>
      <c r="KQF141" s="786"/>
      <c r="KQG141" s="786"/>
      <c r="KQH141" s="786"/>
      <c r="KQI141" s="786"/>
      <c r="KQJ141" s="786"/>
      <c r="KQK141" s="786"/>
      <c r="KQL141" s="786"/>
      <c r="KQM141" s="786"/>
      <c r="KQN141" s="786"/>
      <c r="KQO141" s="786"/>
      <c r="KQP141" s="786"/>
      <c r="KQQ141" s="786"/>
      <c r="KQR141" s="786"/>
      <c r="KQS141" s="786"/>
      <c r="KQT141" s="786"/>
      <c r="KQU141" s="786"/>
      <c r="KQV141" s="786"/>
      <c r="KQW141" s="786"/>
      <c r="KQX141" s="786"/>
      <c r="KQY141" s="786"/>
      <c r="KQZ141" s="786"/>
      <c r="KRA141" s="786"/>
      <c r="KRB141" s="786"/>
      <c r="KRC141" s="786"/>
      <c r="KRD141" s="786"/>
      <c r="KRE141" s="786"/>
      <c r="KRF141" s="786"/>
      <c r="KRG141" s="786"/>
      <c r="KRH141" s="786"/>
      <c r="KRI141" s="786"/>
      <c r="KRJ141" s="786"/>
      <c r="KRK141" s="786"/>
      <c r="KRL141" s="786"/>
      <c r="KRM141" s="786"/>
      <c r="KRN141" s="786"/>
      <c r="KRO141" s="786"/>
      <c r="KRP141" s="786"/>
      <c r="KRQ141" s="786"/>
      <c r="KRR141" s="786"/>
      <c r="KRS141" s="786"/>
      <c r="KRT141" s="786"/>
      <c r="KRU141" s="786"/>
      <c r="KRV141" s="786"/>
      <c r="KRW141" s="786"/>
      <c r="KRX141" s="786"/>
      <c r="KRY141" s="786"/>
      <c r="KRZ141" s="786"/>
      <c r="KSA141" s="786"/>
      <c r="KSB141" s="786"/>
      <c r="KSC141" s="786"/>
      <c r="KSD141" s="786"/>
      <c r="KSE141" s="786"/>
      <c r="KSF141" s="786"/>
      <c r="KSG141" s="786"/>
      <c r="KSH141" s="786"/>
      <c r="KSI141" s="786"/>
      <c r="KSJ141" s="786"/>
      <c r="KSK141" s="786"/>
      <c r="KSL141" s="786"/>
      <c r="KSM141" s="786"/>
      <c r="KSN141" s="786"/>
      <c r="KSO141" s="786"/>
      <c r="KSP141" s="786"/>
      <c r="KSQ141" s="786"/>
      <c r="KSR141" s="786"/>
      <c r="KSS141" s="786"/>
      <c r="KST141" s="786"/>
      <c r="KSU141" s="786"/>
      <c r="KSV141" s="786"/>
      <c r="KSW141" s="786"/>
      <c r="KSX141" s="786"/>
      <c r="KSY141" s="786"/>
      <c r="KSZ141" s="786"/>
      <c r="KTA141" s="786"/>
      <c r="KTB141" s="786"/>
      <c r="KTC141" s="786"/>
      <c r="KTD141" s="786"/>
      <c r="KTE141" s="786"/>
      <c r="KTF141" s="786"/>
      <c r="KTG141" s="786"/>
      <c r="KTH141" s="786"/>
      <c r="KTI141" s="786"/>
      <c r="KTJ141" s="786"/>
      <c r="KTK141" s="786"/>
      <c r="KTL141" s="786"/>
      <c r="KTM141" s="786"/>
      <c r="KTN141" s="786"/>
      <c r="KTO141" s="786"/>
      <c r="KTP141" s="786"/>
      <c r="KTQ141" s="786"/>
      <c r="KTR141" s="786"/>
      <c r="KTS141" s="786"/>
      <c r="KTT141" s="786"/>
      <c r="KTU141" s="786"/>
      <c r="KTV141" s="786"/>
      <c r="KTW141" s="786"/>
      <c r="KTX141" s="786"/>
      <c r="KTY141" s="786"/>
      <c r="KTZ141" s="786"/>
      <c r="KUA141" s="786"/>
      <c r="KUB141" s="786"/>
      <c r="KUC141" s="786"/>
      <c r="KUD141" s="786"/>
      <c r="KUE141" s="786"/>
      <c r="KUF141" s="786"/>
      <c r="KUG141" s="786"/>
      <c r="KUH141" s="786"/>
      <c r="KUI141" s="786"/>
      <c r="KUJ141" s="786"/>
      <c r="KUK141" s="786"/>
      <c r="KUL141" s="786"/>
      <c r="KUM141" s="786"/>
      <c r="KUN141" s="786"/>
      <c r="KUO141" s="786"/>
      <c r="KUP141" s="786"/>
      <c r="KUQ141" s="786"/>
      <c r="KUR141" s="786"/>
      <c r="KUS141" s="786"/>
      <c r="KUT141" s="786"/>
      <c r="KUU141" s="786"/>
      <c r="KUV141" s="786"/>
      <c r="KUW141" s="786"/>
      <c r="KUX141" s="786"/>
      <c r="KUY141" s="786"/>
      <c r="KUZ141" s="786"/>
      <c r="KVA141" s="786"/>
      <c r="KVB141" s="786"/>
      <c r="KVC141" s="786"/>
      <c r="KVD141" s="786"/>
      <c r="KVE141" s="786"/>
      <c r="KVF141" s="786"/>
      <c r="KVG141" s="786"/>
      <c r="KVH141" s="786"/>
      <c r="KVI141" s="786"/>
      <c r="KVJ141" s="786"/>
      <c r="KVK141" s="786"/>
      <c r="KVL141" s="786"/>
      <c r="KVM141" s="786"/>
      <c r="KVN141" s="786"/>
      <c r="KVO141" s="786"/>
      <c r="KVP141" s="786"/>
      <c r="KVQ141" s="786"/>
      <c r="KVR141" s="786"/>
      <c r="KVS141" s="786"/>
      <c r="KVT141" s="786"/>
      <c r="KVU141" s="786"/>
      <c r="KVV141" s="786"/>
      <c r="KVW141" s="786"/>
      <c r="KVX141" s="786"/>
      <c r="KVY141" s="786"/>
      <c r="KVZ141" s="786"/>
      <c r="KWA141" s="786"/>
      <c r="KWB141" s="786"/>
      <c r="KWC141" s="786"/>
      <c r="KWD141" s="786"/>
      <c r="KWE141" s="786"/>
      <c r="KWF141" s="786"/>
      <c r="KWG141" s="786"/>
      <c r="KWH141" s="786"/>
      <c r="KWI141" s="786"/>
      <c r="KWJ141" s="786"/>
      <c r="KWK141" s="786"/>
      <c r="KWL141" s="786"/>
      <c r="KWM141" s="786"/>
      <c r="KWN141" s="786"/>
      <c r="KWO141" s="786"/>
      <c r="KWP141" s="786"/>
      <c r="KWQ141" s="786"/>
      <c r="KWR141" s="786"/>
      <c r="KWS141" s="786"/>
      <c r="KWT141" s="786"/>
      <c r="KWU141" s="786"/>
      <c r="KWV141" s="786"/>
      <c r="KWW141" s="786"/>
      <c r="KWX141" s="786"/>
      <c r="KWY141" s="786"/>
      <c r="KWZ141" s="786"/>
      <c r="KXA141" s="786"/>
      <c r="KXB141" s="786"/>
      <c r="KXC141" s="786"/>
      <c r="KXD141" s="786"/>
      <c r="KXE141" s="786"/>
      <c r="KXF141" s="786"/>
      <c r="KXG141" s="786"/>
      <c r="KXH141" s="786"/>
      <c r="KXI141" s="786"/>
      <c r="KXJ141" s="786"/>
      <c r="KXK141" s="786"/>
      <c r="KXL141" s="786"/>
      <c r="KXM141" s="786"/>
      <c r="KXN141" s="786"/>
      <c r="KXO141" s="786"/>
      <c r="KXP141" s="786"/>
      <c r="KXQ141" s="786"/>
      <c r="KXR141" s="786"/>
      <c r="KXS141" s="786"/>
      <c r="KXT141" s="786"/>
      <c r="KXU141" s="786"/>
      <c r="KXV141" s="786"/>
      <c r="KXW141" s="786"/>
      <c r="KXX141" s="786"/>
      <c r="KXY141" s="786"/>
      <c r="KXZ141" s="786"/>
      <c r="KYA141" s="786"/>
      <c r="KYB141" s="786"/>
      <c r="KYC141" s="786"/>
      <c r="KYD141" s="786"/>
      <c r="KYE141" s="786"/>
      <c r="KYF141" s="786"/>
      <c r="KYG141" s="786"/>
      <c r="KYH141" s="786"/>
      <c r="KYI141" s="786"/>
      <c r="KYJ141" s="786"/>
      <c r="KYK141" s="786"/>
      <c r="KYL141" s="786"/>
      <c r="KYM141" s="786"/>
      <c r="KYN141" s="786"/>
      <c r="KYO141" s="786"/>
      <c r="KYP141" s="786"/>
      <c r="KYQ141" s="786"/>
      <c r="KYR141" s="786"/>
      <c r="KYS141" s="786"/>
      <c r="KYT141" s="786"/>
      <c r="KYU141" s="786"/>
      <c r="KYV141" s="786"/>
      <c r="KYW141" s="786"/>
      <c r="KYX141" s="786"/>
      <c r="KYY141" s="786"/>
      <c r="KYZ141" s="786"/>
      <c r="KZA141" s="786"/>
      <c r="KZB141" s="786"/>
      <c r="KZC141" s="786"/>
      <c r="KZD141" s="786"/>
      <c r="KZE141" s="786"/>
      <c r="KZF141" s="786"/>
      <c r="KZG141" s="786"/>
      <c r="KZH141" s="786"/>
      <c r="KZI141" s="786"/>
      <c r="KZJ141" s="786"/>
      <c r="KZK141" s="786"/>
      <c r="KZL141" s="786"/>
      <c r="KZM141" s="786"/>
      <c r="KZN141" s="786"/>
      <c r="KZO141" s="786"/>
      <c r="KZP141" s="786"/>
      <c r="KZQ141" s="786"/>
      <c r="KZR141" s="786"/>
      <c r="KZS141" s="786"/>
      <c r="KZT141" s="786"/>
      <c r="KZU141" s="786"/>
      <c r="KZV141" s="786"/>
      <c r="KZW141" s="786"/>
      <c r="KZX141" s="786"/>
      <c r="KZY141" s="786"/>
      <c r="KZZ141" s="786"/>
      <c r="LAA141" s="786"/>
      <c r="LAB141" s="786"/>
      <c r="LAC141" s="786"/>
      <c r="LAD141" s="786"/>
      <c r="LAE141" s="786"/>
      <c r="LAF141" s="786"/>
      <c r="LAG141" s="786"/>
      <c r="LAH141" s="786"/>
      <c r="LAI141" s="786"/>
      <c r="LAJ141" s="786"/>
      <c r="LAK141" s="786"/>
      <c r="LAL141" s="786"/>
      <c r="LAM141" s="786"/>
      <c r="LAN141" s="786"/>
      <c r="LAO141" s="786"/>
      <c r="LAP141" s="786"/>
      <c r="LAQ141" s="786"/>
      <c r="LAR141" s="786"/>
      <c r="LAS141" s="786"/>
      <c r="LAT141" s="786"/>
      <c r="LAU141" s="786"/>
      <c r="LAV141" s="786"/>
      <c r="LAW141" s="786"/>
      <c r="LAX141" s="786"/>
      <c r="LAY141" s="786"/>
      <c r="LAZ141" s="786"/>
      <c r="LBA141" s="786"/>
      <c r="LBB141" s="786"/>
      <c r="LBC141" s="786"/>
      <c r="LBD141" s="786"/>
      <c r="LBE141" s="786"/>
      <c r="LBF141" s="786"/>
      <c r="LBG141" s="786"/>
      <c r="LBH141" s="786"/>
      <c r="LBI141" s="786"/>
      <c r="LBJ141" s="786"/>
      <c r="LBK141" s="786"/>
      <c r="LBL141" s="786"/>
      <c r="LBM141" s="786"/>
      <c r="LBN141" s="786"/>
      <c r="LBO141" s="786"/>
      <c r="LBP141" s="786"/>
      <c r="LBQ141" s="786"/>
      <c r="LBR141" s="786"/>
      <c r="LBS141" s="786"/>
      <c r="LBT141" s="786"/>
      <c r="LBU141" s="786"/>
      <c r="LBV141" s="786"/>
      <c r="LBW141" s="786"/>
      <c r="LBX141" s="786"/>
      <c r="LBY141" s="786"/>
      <c r="LBZ141" s="786"/>
      <c r="LCA141" s="786"/>
      <c r="LCB141" s="786"/>
      <c r="LCC141" s="786"/>
      <c r="LCD141" s="786"/>
      <c r="LCE141" s="786"/>
      <c r="LCF141" s="786"/>
      <c r="LCG141" s="786"/>
      <c r="LCH141" s="786"/>
      <c r="LCI141" s="786"/>
      <c r="LCJ141" s="786"/>
      <c r="LCK141" s="786"/>
      <c r="LCL141" s="786"/>
      <c r="LCM141" s="786"/>
      <c r="LCN141" s="786"/>
      <c r="LCO141" s="786"/>
      <c r="LCP141" s="786"/>
      <c r="LCQ141" s="786"/>
      <c r="LCR141" s="786"/>
      <c r="LCS141" s="786"/>
      <c r="LCT141" s="786"/>
      <c r="LCU141" s="786"/>
      <c r="LCV141" s="786"/>
      <c r="LCW141" s="786"/>
      <c r="LCX141" s="786"/>
      <c r="LCY141" s="786"/>
      <c r="LCZ141" s="786"/>
      <c r="LDA141" s="786"/>
      <c r="LDB141" s="786"/>
      <c r="LDC141" s="786"/>
      <c r="LDD141" s="786"/>
      <c r="LDE141" s="786"/>
      <c r="LDF141" s="786"/>
      <c r="LDG141" s="786"/>
      <c r="LDH141" s="786"/>
      <c r="LDI141" s="786"/>
      <c r="LDJ141" s="786"/>
      <c r="LDK141" s="786"/>
      <c r="LDL141" s="786"/>
      <c r="LDM141" s="786"/>
      <c r="LDN141" s="786"/>
      <c r="LDO141" s="786"/>
      <c r="LDP141" s="786"/>
      <c r="LDQ141" s="786"/>
      <c r="LDR141" s="786"/>
      <c r="LDS141" s="786"/>
      <c r="LDT141" s="786"/>
      <c r="LDU141" s="786"/>
      <c r="LDV141" s="786"/>
      <c r="LDW141" s="786"/>
      <c r="LDX141" s="786"/>
      <c r="LDY141" s="786"/>
      <c r="LDZ141" s="786"/>
      <c r="LEA141" s="786"/>
      <c r="LEB141" s="786"/>
      <c r="LEC141" s="786"/>
      <c r="LED141" s="786"/>
      <c r="LEE141" s="786"/>
      <c r="LEF141" s="786"/>
      <c r="LEG141" s="786"/>
      <c r="LEH141" s="786"/>
      <c r="LEI141" s="786"/>
      <c r="LEJ141" s="786"/>
      <c r="LEK141" s="786"/>
      <c r="LEL141" s="786"/>
      <c r="LEM141" s="786"/>
      <c r="LEN141" s="786"/>
      <c r="LEO141" s="786"/>
      <c r="LEP141" s="786"/>
      <c r="LEQ141" s="786"/>
      <c r="LER141" s="786"/>
      <c r="LES141" s="786"/>
      <c r="LET141" s="786"/>
      <c r="LEU141" s="786"/>
      <c r="LEV141" s="786"/>
      <c r="LEW141" s="786"/>
      <c r="LEX141" s="786"/>
      <c r="LEY141" s="786"/>
      <c r="LEZ141" s="786"/>
      <c r="LFA141" s="786"/>
      <c r="LFB141" s="786"/>
      <c r="LFC141" s="786"/>
      <c r="LFD141" s="786"/>
      <c r="LFE141" s="786"/>
      <c r="LFF141" s="786"/>
      <c r="LFG141" s="786"/>
      <c r="LFH141" s="786"/>
      <c r="LFI141" s="786"/>
      <c r="LFJ141" s="786"/>
      <c r="LFK141" s="786"/>
      <c r="LFL141" s="786"/>
      <c r="LFM141" s="786"/>
      <c r="LFN141" s="786"/>
      <c r="LFO141" s="786"/>
      <c r="LFP141" s="786"/>
      <c r="LFQ141" s="786"/>
      <c r="LFR141" s="786"/>
      <c r="LFS141" s="786"/>
      <c r="LFT141" s="786"/>
      <c r="LFU141" s="786"/>
      <c r="LFV141" s="786"/>
      <c r="LFW141" s="786"/>
      <c r="LFX141" s="786"/>
      <c r="LFY141" s="786"/>
      <c r="LFZ141" s="786"/>
      <c r="LGA141" s="786"/>
      <c r="LGB141" s="786"/>
      <c r="LGC141" s="786"/>
      <c r="LGD141" s="786"/>
      <c r="LGE141" s="786"/>
      <c r="LGF141" s="786"/>
      <c r="LGG141" s="786"/>
      <c r="LGH141" s="786"/>
      <c r="LGI141" s="786"/>
      <c r="LGJ141" s="786"/>
      <c r="LGK141" s="786"/>
      <c r="LGL141" s="786"/>
      <c r="LGM141" s="786"/>
      <c r="LGN141" s="786"/>
      <c r="LGO141" s="786"/>
      <c r="LGP141" s="786"/>
      <c r="LGQ141" s="786"/>
      <c r="LGR141" s="786"/>
      <c r="LGS141" s="786"/>
      <c r="LGT141" s="786"/>
      <c r="LGU141" s="786"/>
      <c r="LGV141" s="786"/>
      <c r="LGW141" s="786"/>
      <c r="LGX141" s="786"/>
      <c r="LGY141" s="786"/>
      <c r="LGZ141" s="786"/>
      <c r="LHA141" s="786"/>
      <c r="LHB141" s="786"/>
      <c r="LHC141" s="786"/>
      <c r="LHD141" s="786"/>
      <c r="LHE141" s="786"/>
      <c r="LHF141" s="786"/>
      <c r="LHG141" s="786"/>
      <c r="LHH141" s="786"/>
      <c r="LHI141" s="786"/>
      <c r="LHJ141" s="786"/>
      <c r="LHK141" s="786"/>
      <c r="LHL141" s="786"/>
      <c r="LHM141" s="786"/>
      <c r="LHN141" s="786"/>
      <c r="LHO141" s="786"/>
      <c r="LHP141" s="786"/>
      <c r="LHQ141" s="786"/>
      <c r="LHR141" s="786"/>
      <c r="LHS141" s="786"/>
      <c r="LHT141" s="786"/>
      <c r="LHU141" s="786"/>
      <c r="LHV141" s="786"/>
      <c r="LHW141" s="786"/>
      <c r="LHX141" s="786"/>
      <c r="LHY141" s="786"/>
      <c r="LHZ141" s="786"/>
      <c r="LIA141" s="786"/>
      <c r="LIB141" s="786"/>
      <c r="LIC141" s="786"/>
      <c r="LID141" s="786"/>
      <c r="LIE141" s="786"/>
      <c r="LIF141" s="786"/>
      <c r="LIG141" s="786"/>
      <c r="LIH141" s="786"/>
      <c r="LII141" s="786"/>
      <c r="LIJ141" s="786"/>
      <c r="LIK141" s="786"/>
      <c r="LIL141" s="786"/>
      <c r="LIM141" s="786"/>
      <c r="LIN141" s="786"/>
      <c r="LIO141" s="786"/>
      <c r="LIP141" s="786"/>
      <c r="LIQ141" s="786"/>
      <c r="LIR141" s="786"/>
      <c r="LIS141" s="786"/>
      <c r="LIT141" s="786"/>
      <c r="LIU141" s="786"/>
      <c r="LIV141" s="786"/>
      <c r="LIW141" s="786"/>
      <c r="LIX141" s="786"/>
      <c r="LIY141" s="786"/>
      <c r="LIZ141" s="786"/>
      <c r="LJA141" s="786"/>
      <c r="LJB141" s="786"/>
      <c r="LJC141" s="786"/>
      <c r="LJD141" s="786"/>
      <c r="LJE141" s="786"/>
      <c r="LJF141" s="786"/>
      <c r="LJG141" s="786"/>
      <c r="LJH141" s="786"/>
      <c r="LJI141" s="786"/>
      <c r="LJJ141" s="786"/>
      <c r="LJK141" s="786"/>
      <c r="LJL141" s="786"/>
      <c r="LJM141" s="786"/>
      <c r="LJN141" s="786"/>
      <c r="LJO141" s="786"/>
      <c r="LJP141" s="786"/>
      <c r="LJQ141" s="786"/>
      <c r="LJR141" s="786"/>
      <c r="LJS141" s="786"/>
      <c r="LJT141" s="786"/>
      <c r="LJU141" s="786"/>
      <c r="LJV141" s="786"/>
      <c r="LJW141" s="786"/>
      <c r="LJX141" s="786"/>
      <c r="LJY141" s="786"/>
      <c r="LJZ141" s="786"/>
      <c r="LKA141" s="786"/>
      <c r="LKB141" s="786"/>
      <c r="LKC141" s="786"/>
      <c r="LKD141" s="786"/>
      <c r="LKE141" s="786"/>
      <c r="LKF141" s="786"/>
      <c r="LKG141" s="786"/>
      <c r="LKH141" s="786"/>
      <c r="LKI141" s="786"/>
      <c r="LKJ141" s="786"/>
      <c r="LKK141" s="786"/>
      <c r="LKL141" s="786"/>
      <c r="LKM141" s="786"/>
      <c r="LKN141" s="786"/>
      <c r="LKO141" s="786"/>
      <c r="LKP141" s="786"/>
      <c r="LKQ141" s="786"/>
      <c r="LKR141" s="786"/>
      <c r="LKS141" s="786"/>
      <c r="LKT141" s="786"/>
      <c r="LKU141" s="786"/>
      <c r="LKV141" s="786"/>
      <c r="LKW141" s="786"/>
      <c r="LKX141" s="786"/>
      <c r="LKY141" s="786"/>
      <c r="LKZ141" s="786"/>
      <c r="LLA141" s="786"/>
      <c r="LLB141" s="786"/>
      <c r="LLC141" s="786"/>
      <c r="LLD141" s="786"/>
      <c r="LLE141" s="786"/>
      <c r="LLF141" s="786"/>
      <c r="LLG141" s="786"/>
      <c r="LLH141" s="786"/>
      <c r="LLI141" s="786"/>
      <c r="LLJ141" s="786"/>
      <c r="LLK141" s="786"/>
      <c r="LLL141" s="786"/>
      <c r="LLM141" s="786"/>
      <c r="LLN141" s="786"/>
      <c r="LLO141" s="786"/>
      <c r="LLP141" s="786"/>
      <c r="LLQ141" s="786"/>
      <c r="LLR141" s="786"/>
      <c r="LLS141" s="786"/>
      <c r="LLT141" s="786"/>
      <c r="LLU141" s="786"/>
      <c r="LLV141" s="786"/>
      <c r="LLW141" s="786"/>
      <c r="LLX141" s="786"/>
      <c r="LLY141" s="786"/>
      <c r="LLZ141" s="786"/>
      <c r="LMA141" s="786"/>
      <c r="LMB141" s="786"/>
      <c r="LMC141" s="786"/>
      <c r="LMD141" s="786"/>
      <c r="LME141" s="786"/>
      <c r="LMF141" s="786"/>
      <c r="LMG141" s="786"/>
      <c r="LMH141" s="786"/>
      <c r="LMI141" s="786"/>
      <c r="LMJ141" s="786"/>
      <c r="LMK141" s="786"/>
      <c r="LML141" s="786"/>
      <c r="LMM141" s="786"/>
      <c r="LMN141" s="786"/>
      <c r="LMO141" s="786"/>
      <c r="LMP141" s="786"/>
      <c r="LMQ141" s="786"/>
      <c r="LMR141" s="786"/>
      <c r="LMS141" s="786"/>
      <c r="LMT141" s="786"/>
      <c r="LMU141" s="786"/>
      <c r="LMV141" s="786"/>
      <c r="LMW141" s="786"/>
      <c r="LMX141" s="786"/>
      <c r="LMY141" s="786"/>
      <c r="LMZ141" s="786"/>
      <c r="LNA141" s="786"/>
      <c r="LNB141" s="786"/>
      <c r="LNC141" s="786"/>
      <c r="LND141" s="786"/>
      <c r="LNE141" s="786"/>
      <c r="LNF141" s="786"/>
      <c r="LNG141" s="786"/>
      <c r="LNH141" s="786"/>
      <c r="LNI141" s="786"/>
      <c r="LNJ141" s="786"/>
      <c r="LNK141" s="786"/>
      <c r="LNL141" s="786"/>
      <c r="LNM141" s="786"/>
      <c r="LNN141" s="786"/>
      <c r="LNO141" s="786"/>
      <c r="LNP141" s="786"/>
      <c r="LNQ141" s="786"/>
      <c r="LNR141" s="786"/>
      <c r="LNS141" s="786"/>
      <c r="LNT141" s="786"/>
      <c r="LNU141" s="786"/>
      <c r="LNV141" s="786"/>
      <c r="LNW141" s="786"/>
      <c r="LNX141" s="786"/>
      <c r="LNY141" s="786"/>
      <c r="LNZ141" s="786"/>
      <c r="LOA141" s="786"/>
      <c r="LOB141" s="786"/>
      <c r="LOC141" s="786"/>
      <c r="LOD141" s="786"/>
      <c r="LOE141" s="786"/>
      <c r="LOF141" s="786"/>
      <c r="LOG141" s="786"/>
      <c r="LOH141" s="786"/>
      <c r="LOI141" s="786"/>
      <c r="LOJ141" s="786"/>
      <c r="LOK141" s="786"/>
      <c r="LOL141" s="786"/>
      <c r="LOM141" s="786"/>
      <c r="LON141" s="786"/>
      <c r="LOO141" s="786"/>
      <c r="LOP141" s="786"/>
      <c r="LOQ141" s="786"/>
      <c r="LOR141" s="786"/>
      <c r="LOS141" s="786"/>
      <c r="LOT141" s="786"/>
      <c r="LOU141" s="786"/>
      <c r="LOV141" s="786"/>
      <c r="LOW141" s="786"/>
      <c r="LOX141" s="786"/>
      <c r="LOY141" s="786"/>
      <c r="LOZ141" s="786"/>
      <c r="LPA141" s="786"/>
      <c r="LPB141" s="786"/>
      <c r="LPC141" s="786"/>
      <c r="LPD141" s="786"/>
      <c r="LPE141" s="786"/>
      <c r="LPF141" s="786"/>
      <c r="LPG141" s="786"/>
      <c r="LPH141" s="786"/>
      <c r="LPI141" s="786"/>
      <c r="LPJ141" s="786"/>
      <c r="LPK141" s="786"/>
      <c r="LPL141" s="786"/>
      <c r="LPM141" s="786"/>
      <c r="LPN141" s="786"/>
      <c r="LPO141" s="786"/>
      <c r="LPP141" s="786"/>
      <c r="LPQ141" s="786"/>
      <c r="LPR141" s="786"/>
      <c r="LPS141" s="786"/>
      <c r="LPT141" s="786"/>
      <c r="LPU141" s="786"/>
      <c r="LPV141" s="786"/>
      <c r="LPW141" s="786"/>
      <c r="LPX141" s="786"/>
      <c r="LPY141" s="786"/>
      <c r="LPZ141" s="786"/>
      <c r="LQA141" s="786"/>
      <c r="LQB141" s="786"/>
      <c r="LQC141" s="786"/>
      <c r="LQD141" s="786"/>
      <c r="LQE141" s="786"/>
      <c r="LQF141" s="786"/>
      <c r="LQG141" s="786"/>
      <c r="LQH141" s="786"/>
      <c r="LQI141" s="786"/>
      <c r="LQJ141" s="786"/>
      <c r="LQK141" s="786"/>
      <c r="LQL141" s="786"/>
      <c r="LQM141" s="786"/>
      <c r="LQN141" s="786"/>
      <c r="LQO141" s="786"/>
      <c r="LQP141" s="786"/>
      <c r="LQQ141" s="786"/>
      <c r="LQR141" s="786"/>
      <c r="LQS141" s="786"/>
      <c r="LQT141" s="786"/>
      <c r="LQU141" s="786"/>
      <c r="LQV141" s="786"/>
      <c r="LQW141" s="786"/>
      <c r="LQX141" s="786"/>
      <c r="LQY141" s="786"/>
      <c r="LQZ141" s="786"/>
      <c r="LRA141" s="786"/>
      <c r="LRB141" s="786"/>
      <c r="LRC141" s="786"/>
      <c r="LRD141" s="786"/>
      <c r="LRE141" s="786"/>
      <c r="LRF141" s="786"/>
      <c r="LRG141" s="786"/>
      <c r="LRH141" s="786"/>
      <c r="LRI141" s="786"/>
      <c r="LRJ141" s="786"/>
      <c r="LRK141" s="786"/>
      <c r="LRL141" s="786"/>
      <c r="LRM141" s="786"/>
      <c r="LRN141" s="786"/>
      <c r="LRO141" s="786"/>
      <c r="LRP141" s="786"/>
      <c r="LRQ141" s="786"/>
      <c r="LRR141" s="786"/>
      <c r="LRS141" s="786"/>
      <c r="LRT141" s="786"/>
      <c r="LRU141" s="786"/>
      <c r="LRV141" s="786"/>
      <c r="LRW141" s="786"/>
      <c r="LRX141" s="786"/>
      <c r="LRY141" s="786"/>
      <c r="LRZ141" s="786"/>
      <c r="LSA141" s="786"/>
      <c r="LSB141" s="786"/>
      <c r="LSC141" s="786"/>
      <c r="LSD141" s="786"/>
      <c r="LSE141" s="786"/>
      <c r="LSF141" s="786"/>
      <c r="LSG141" s="786"/>
      <c r="LSH141" s="786"/>
      <c r="LSI141" s="786"/>
      <c r="LSJ141" s="786"/>
      <c r="LSK141" s="786"/>
      <c r="LSL141" s="786"/>
      <c r="LSM141" s="786"/>
      <c r="LSN141" s="786"/>
      <c r="LSO141" s="786"/>
      <c r="LSP141" s="786"/>
      <c r="LSQ141" s="786"/>
      <c r="LSR141" s="786"/>
      <c r="LSS141" s="786"/>
      <c r="LST141" s="786"/>
      <c r="LSU141" s="786"/>
      <c r="LSV141" s="786"/>
      <c r="LSW141" s="786"/>
      <c r="LSX141" s="786"/>
      <c r="LSY141" s="786"/>
      <c r="LSZ141" s="786"/>
      <c r="LTA141" s="786"/>
      <c r="LTB141" s="786"/>
      <c r="LTC141" s="786"/>
      <c r="LTD141" s="786"/>
      <c r="LTE141" s="786"/>
      <c r="LTF141" s="786"/>
      <c r="LTG141" s="786"/>
      <c r="LTH141" s="786"/>
      <c r="LTI141" s="786"/>
      <c r="LTJ141" s="786"/>
      <c r="LTK141" s="786"/>
      <c r="LTL141" s="786"/>
      <c r="LTM141" s="786"/>
      <c r="LTN141" s="786"/>
      <c r="LTO141" s="786"/>
      <c r="LTP141" s="786"/>
      <c r="LTQ141" s="786"/>
      <c r="LTR141" s="786"/>
      <c r="LTS141" s="786"/>
      <c r="LTT141" s="786"/>
      <c r="LTU141" s="786"/>
      <c r="LTV141" s="786"/>
      <c r="LTW141" s="786"/>
      <c r="LTX141" s="786"/>
      <c r="LTY141" s="786"/>
      <c r="LTZ141" s="786"/>
      <c r="LUA141" s="786"/>
      <c r="LUB141" s="786"/>
      <c r="LUC141" s="786"/>
      <c r="LUD141" s="786"/>
      <c r="LUE141" s="786"/>
      <c r="LUF141" s="786"/>
      <c r="LUG141" s="786"/>
      <c r="LUH141" s="786"/>
      <c r="LUI141" s="786"/>
      <c r="LUJ141" s="786"/>
      <c r="LUK141" s="786"/>
      <c r="LUL141" s="786"/>
      <c r="LUM141" s="786"/>
      <c r="LUN141" s="786"/>
      <c r="LUO141" s="786"/>
      <c r="LUP141" s="786"/>
      <c r="LUQ141" s="786"/>
      <c r="LUR141" s="786"/>
      <c r="LUS141" s="786"/>
      <c r="LUT141" s="786"/>
      <c r="LUU141" s="786"/>
      <c r="LUV141" s="786"/>
      <c r="LUW141" s="786"/>
      <c r="LUX141" s="786"/>
      <c r="LUY141" s="786"/>
      <c r="LUZ141" s="786"/>
      <c r="LVA141" s="786"/>
      <c r="LVB141" s="786"/>
      <c r="LVC141" s="786"/>
      <c r="LVD141" s="786"/>
      <c r="LVE141" s="786"/>
      <c r="LVF141" s="786"/>
      <c r="LVG141" s="786"/>
      <c r="LVH141" s="786"/>
      <c r="LVI141" s="786"/>
      <c r="LVJ141" s="786"/>
      <c r="LVK141" s="786"/>
      <c r="LVL141" s="786"/>
      <c r="LVM141" s="786"/>
      <c r="LVN141" s="786"/>
      <c r="LVO141" s="786"/>
      <c r="LVP141" s="786"/>
      <c r="LVQ141" s="786"/>
      <c r="LVR141" s="786"/>
      <c r="LVS141" s="786"/>
      <c r="LVT141" s="786"/>
      <c r="LVU141" s="786"/>
      <c r="LVV141" s="786"/>
      <c r="LVW141" s="786"/>
      <c r="LVX141" s="786"/>
      <c r="LVY141" s="786"/>
      <c r="LVZ141" s="786"/>
      <c r="LWA141" s="786"/>
      <c r="LWB141" s="786"/>
      <c r="LWC141" s="786"/>
      <c r="LWD141" s="786"/>
      <c r="LWE141" s="786"/>
      <c r="LWF141" s="786"/>
      <c r="LWG141" s="786"/>
      <c r="LWH141" s="786"/>
      <c r="LWI141" s="786"/>
      <c r="LWJ141" s="786"/>
      <c r="LWK141" s="786"/>
      <c r="LWL141" s="786"/>
      <c r="LWM141" s="786"/>
      <c r="LWN141" s="786"/>
      <c r="LWO141" s="786"/>
      <c r="LWP141" s="786"/>
      <c r="LWQ141" s="786"/>
      <c r="LWR141" s="786"/>
      <c r="LWS141" s="786"/>
      <c r="LWT141" s="786"/>
      <c r="LWU141" s="786"/>
      <c r="LWV141" s="786"/>
      <c r="LWW141" s="786"/>
      <c r="LWX141" s="786"/>
      <c r="LWY141" s="786"/>
      <c r="LWZ141" s="786"/>
      <c r="LXA141" s="786"/>
      <c r="LXB141" s="786"/>
      <c r="LXC141" s="786"/>
      <c r="LXD141" s="786"/>
      <c r="LXE141" s="786"/>
      <c r="LXF141" s="786"/>
      <c r="LXG141" s="786"/>
      <c r="LXH141" s="786"/>
      <c r="LXI141" s="786"/>
      <c r="LXJ141" s="786"/>
      <c r="LXK141" s="786"/>
      <c r="LXL141" s="786"/>
      <c r="LXM141" s="786"/>
      <c r="LXN141" s="786"/>
      <c r="LXO141" s="786"/>
      <c r="LXP141" s="786"/>
      <c r="LXQ141" s="786"/>
      <c r="LXR141" s="786"/>
      <c r="LXS141" s="786"/>
      <c r="LXT141" s="786"/>
      <c r="LXU141" s="786"/>
      <c r="LXV141" s="786"/>
      <c r="LXW141" s="786"/>
      <c r="LXX141" s="786"/>
      <c r="LXY141" s="786"/>
      <c r="LXZ141" s="786"/>
      <c r="LYA141" s="786"/>
      <c r="LYB141" s="786"/>
      <c r="LYC141" s="786"/>
      <c r="LYD141" s="786"/>
      <c r="LYE141" s="786"/>
      <c r="LYF141" s="786"/>
      <c r="LYG141" s="786"/>
      <c r="LYH141" s="786"/>
      <c r="LYI141" s="786"/>
      <c r="LYJ141" s="786"/>
      <c r="LYK141" s="786"/>
      <c r="LYL141" s="786"/>
      <c r="LYM141" s="786"/>
      <c r="LYN141" s="786"/>
      <c r="LYO141" s="786"/>
      <c r="LYP141" s="786"/>
      <c r="LYQ141" s="786"/>
      <c r="LYR141" s="786"/>
      <c r="LYS141" s="786"/>
      <c r="LYT141" s="786"/>
      <c r="LYU141" s="786"/>
      <c r="LYV141" s="786"/>
      <c r="LYW141" s="786"/>
      <c r="LYX141" s="786"/>
      <c r="LYY141" s="786"/>
      <c r="LYZ141" s="786"/>
      <c r="LZA141" s="786"/>
      <c r="LZB141" s="786"/>
      <c r="LZC141" s="786"/>
      <c r="LZD141" s="786"/>
      <c r="LZE141" s="786"/>
      <c r="LZF141" s="786"/>
      <c r="LZG141" s="786"/>
      <c r="LZH141" s="786"/>
      <c r="LZI141" s="786"/>
      <c r="LZJ141" s="786"/>
      <c r="LZK141" s="786"/>
      <c r="LZL141" s="786"/>
      <c r="LZM141" s="786"/>
      <c r="LZN141" s="786"/>
      <c r="LZO141" s="786"/>
      <c r="LZP141" s="786"/>
      <c r="LZQ141" s="786"/>
      <c r="LZR141" s="786"/>
      <c r="LZS141" s="786"/>
      <c r="LZT141" s="786"/>
      <c r="LZU141" s="786"/>
      <c r="LZV141" s="786"/>
      <c r="LZW141" s="786"/>
      <c r="LZX141" s="786"/>
      <c r="LZY141" s="786"/>
      <c r="LZZ141" s="786"/>
      <c r="MAA141" s="786"/>
      <c r="MAB141" s="786"/>
      <c r="MAC141" s="786"/>
      <c r="MAD141" s="786"/>
      <c r="MAE141" s="786"/>
      <c r="MAF141" s="786"/>
      <c r="MAG141" s="786"/>
      <c r="MAH141" s="786"/>
      <c r="MAI141" s="786"/>
      <c r="MAJ141" s="786"/>
      <c r="MAK141" s="786"/>
      <c r="MAL141" s="786"/>
      <c r="MAM141" s="786"/>
      <c r="MAN141" s="786"/>
      <c r="MAO141" s="786"/>
      <c r="MAP141" s="786"/>
      <c r="MAQ141" s="786"/>
      <c r="MAR141" s="786"/>
      <c r="MAS141" s="786"/>
      <c r="MAT141" s="786"/>
      <c r="MAU141" s="786"/>
      <c r="MAV141" s="786"/>
      <c r="MAW141" s="786"/>
      <c r="MAX141" s="786"/>
      <c r="MAY141" s="786"/>
      <c r="MAZ141" s="786"/>
      <c r="MBA141" s="786"/>
      <c r="MBB141" s="786"/>
      <c r="MBC141" s="786"/>
      <c r="MBD141" s="786"/>
      <c r="MBE141" s="786"/>
      <c r="MBF141" s="786"/>
      <c r="MBG141" s="786"/>
      <c r="MBH141" s="786"/>
      <c r="MBI141" s="786"/>
      <c r="MBJ141" s="786"/>
      <c r="MBK141" s="786"/>
      <c r="MBL141" s="786"/>
      <c r="MBM141" s="786"/>
      <c r="MBN141" s="786"/>
      <c r="MBO141" s="786"/>
      <c r="MBP141" s="786"/>
      <c r="MBQ141" s="786"/>
      <c r="MBR141" s="786"/>
      <c r="MBS141" s="786"/>
      <c r="MBT141" s="786"/>
      <c r="MBU141" s="786"/>
      <c r="MBV141" s="786"/>
      <c r="MBW141" s="786"/>
      <c r="MBX141" s="786"/>
      <c r="MBY141" s="786"/>
      <c r="MBZ141" s="786"/>
      <c r="MCA141" s="786"/>
      <c r="MCB141" s="786"/>
      <c r="MCC141" s="786"/>
      <c r="MCD141" s="786"/>
      <c r="MCE141" s="786"/>
      <c r="MCF141" s="786"/>
      <c r="MCG141" s="786"/>
      <c r="MCH141" s="786"/>
      <c r="MCI141" s="786"/>
      <c r="MCJ141" s="786"/>
      <c r="MCK141" s="786"/>
      <c r="MCL141" s="786"/>
      <c r="MCM141" s="786"/>
      <c r="MCN141" s="786"/>
      <c r="MCO141" s="786"/>
      <c r="MCP141" s="786"/>
      <c r="MCQ141" s="786"/>
      <c r="MCR141" s="786"/>
      <c r="MCS141" s="786"/>
      <c r="MCT141" s="786"/>
      <c r="MCU141" s="786"/>
      <c r="MCV141" s="786"/>
      <c r="MCW141" s="786"/>
      <c r="MCX141" s="786"/>
      <c r="MCY141" s="786"/>
      <c r="MCZ141" s="786"/>
      <c r="MDA141" s="786"/>
      <c r="MDB141" s="786"/>
      <c r="MDC141" s="786"/>
      <c r="MDD141" s="786"/>
      <c r="MDE141" s="786"/>
      <c r="MDF141" s="786"/>
      <c r="MDG141" s="786"/>
      <c r="MDH141" s="786"/>
      <c r="MDI141" s="786"/>
      <c r="MDJ141" s="786"/>
      <c r="MDK141" s="786"/>
      <c r="MDL141" s="786"/>
      <c r="MDM141" s="786"/>
      <c r="MDN141" s="786"/>
      <c r="MDO141" s="786"/>
      <c r="MDP141" s="786"/>
      <c r="MDQ141" s="786"/>
      <c r="MDR141" s="786"/>
      <c r="MDS141" s="786"/>
      <c r="MDT141" s="786"/>
      <c r="MDU141" s="786"/>
      <c r="MDV141" s="786"/>
      <c r="MDW141" s="786"/>
      <c r="MDX141" s="786"/>
      <c r="MDY141" s="786"/>
      <c r="MDZ141" s="786"/>
      <c r="MEA141" s="786"/>
      <c r="MEB141" s="786"/>
      <c r="MEC141" s="786"/>
      <c r="MED141" s="786"/>
      <c r="MEE141" s="786"/>
      <c r="MEF141" s="786"/>
      <c r="MEG141" s="786"/>
      <c r="MEH141" s="786"/>
      <c r="MEI141" s="786"/>
      <c r="MEJ141" s="786"/>
      <c r="MEK141" s="786"/>
      <c r="MEL141" s="786"/>
      <c r="MEM141" s="786"/>
      <c r="MEN141" s="786"/>
      <c r="MEO141" s="786"/>
      <c r="MEP141" s="786"/>
      <c r="MEQ141" s="786"/>
      <c r="MER141" s="786"/>
      <c r="MES141" s="786"/>
      <c r="MET141" s="786"/>
      <c r="MEU141" s="786"/>
      <c r="MEV141" s="786"/>
      <c r="MEW141" s="786"/>
      <c r="MEX141" s="786"/>
      <c r="MEY141" s="786"/>
      <c r="MEZ141" s="786"/>
      <c r="MFA141" s="786"/>
      <c r="MFB141" s="786"/>
      <c r="MFC141" s="786"/>
      <c r="MFD141" s="786"/>
      <c r="MFE141" s="786"/>
      <c r="MFF141" s="786"/>
      <c r="MFG141" s="786"/>
      <c r="MFH141" s="786"/>
      <c r="MFI141" s="786"/>
      <c r="MFJ141" s="786"/>
      <c r="MFK141" s="786"/>
      <c r="MFL141" s="786"/>
      <c r="MFM141" s="786"/>
      <c r="MFN141" s="786"/>
      <c r="MFO141" s="786"/>
      <c r="MFP141" s="786"/>
      <c r="MFQ141" s="786"/>
      <c r="MFR141" s="786"/>
      <c r="MFS141" s="786"/>
      <c r="MFT141" s="786"/>
      <c r="MFU141" s="786"/>
      <c r="MFV141" s="786"/>
      <c r="MFW141" s="786"/>
      <c r="MFX141" s="786"/>
      <c r="MFY141" s="786"/>
      <c r="MFZ141" s="786"/>
      <c r="MGA141" s="786"/>
      <c r="MGB141" s="786"/>
      <c r="MGC141" s="786"/>
      <c r="MGD141" s="786"/>
      <c r="MGE141" s="786"/>
      <c r="MGF141" s="786"/>
      <c r="MGG141" s="786"/>
      <c r="MGH141" s="786"/>
      <c r="MGI141" s="786"/>
      <c r="MGJ141" s="786"/>
      <c r="MGK141" s="786"/>
      <c r="MGL141" s="786"/>
      <c r="MGM141" s="786"/>
      <c r="MGN141" s="786"/>
      <c r="MGO141" s="786"/>
      <c r="MGP141" s="786"/>
      <c r="MGQ141" s="786"/>
      <c r="MGR141" s="786"/>
      <c r="MGS141" s="786"/>
      <c r="MGT141" s="786"/>
      <c r="MGU141" s="786"/>
      <c r="MGV141" s="786"/>
      <c r="MGW141" s="786"/>
      <c r="MGX141" s="786"/>
      <c r="MGY141" s="786"/>
      <c r="MGZ141" s="786"/>
      <c r="MHA141" s="786"/>
      <c r="MHB141" s="786"/>
      <c r="MHC141" s="786"/>
      <c r="MHD141" s="786"/>
      <c r="MHE141" s="786"/>
      <c r="MHF141" s="786"/>
      <c r="MHG141" s="786"/>
      <c r="MHH141" s="786"/>
      <c r="MHI141" s="786"/>
      <c r="MHJ141" s="786"/>
      <c r="MHK141" s="786"/>
      <c r="MHL141" s="786"/>
      <c r="MHM141" s="786"/>
      <c r="MHN141" s="786"/>
      <c r="MHO141" s="786"/>
      <c r="MHP141" s="786"/>
      <c r="MHQ141" s="786"/>
      <c r="MHR141" s="786"/>
      <c r="MHS141" s="786"/>
      <c r="MHT141" s="786"/>
      <c r="MHU141" s="786"/>
      <c r="MHV141" s="786"/>
      <c r="MHW141" s="786"/>
      <c r="MHX141" s="786"/>
      <c r="MHY141" s="786"/>
      <c r="MHZ141" s="786"/>
      <c r="MIA141" s="786"/>
      <c r="MIB141" s="786"/>
      <c r="MIC141" s="786"/>
      <c r="MID141" s="786"/>
      <c r="MIE141" s="786"/>
      <c r="MIF141" s="786"/>
      <c r="MIG141" s="786"/>
      <c r="MIH141" s="786"/>
      <c r="MII141" s="786"/>
      <c r="MIJ141" s="786"/>
      <c r="MIK141" s="786"/>
      <c r="MIL141" s="786"/>
      <c r="MIM141" s="786"/>
      <c r="MIN141" s="786"/>
      <c r="MIO141" s="786"/>
      <c r="MIP141" s="786"/>
      <c r="MIQ141" s="786"/>
      <c r="MIR141" s="786"/>
      <c r="MIS141" s="786"/>
      <c r="MIT141" s="786"/>
      <c r="MIU141" s="786"/>
      <c r="MIV141" s="786"/>
      <c r="MIW141" s="786"/>
      <c r="MIX141" s="786"/>
      <c r="MIY141" s="786"/>
      <c r="MIZ141" s="786"/>
      <c r="MJA141" s="786"/>
      <c r="MJB141" s="786"/>
      <c r="MJC141" s="786"/>
      <c r="MJD141" s="786"/>
      <c r="MJE141" s="786"/>
      <c r="MJF141" s="786"/>
      <c r="MJG141" s="786"/>
      <c r="MJH141" s="786"/>
      <c r="MJI141" s="786"/>
      <c r="MJJ141" s="786"/>
      <c r="MJK141" s="786"/>
      <c r="MJL141" s="786"/>
      <c r="MJM141" s="786"/>
      <c r="MJN141" s="786"/>
      <c r="MJO141" s="786"/>
      <c r="MJP141" s="786"/>
      <c r="MJQ141" s="786"/>
      <c r="MJR141" s="786"/>
      <c r="MJS141" s="786"/>
      <c r="MJT141" s="786"/>
      <c r="MJU141" s="786"/>
      <c r="MJV141" s="786"/>
      <c r="MJW141" s="786"/>
      <c r="MJX141" s="786"/>
      <c r="MJY141" s="786"/>
      <c r="MJZ141" s="786"/>
      <c r="MKA141" s="786"/>
      <c r="MKB141" s="786"/>
      <c r="MKC141" s="786"/>
      <c r="MKD141" s="786"/>
      <c r="MKE141" s="786"/>
      <c r="MKF141" s="786"/>
      <c r="MKG141" s="786"/>
      <c r="MKH141" s="786"/>
      <c r="MKI141" s="786"/>
      <c r="MKJ141" s="786"/>
      <c r="MKK141" s="786"/>
      <c r="MKL141" s="786"/>
      <c r="MKM141" s="786"/>
      <c r="MKN141" s="786"/>
      <c r="MKO141" s="786"/>
      <c r="MKP141" s="786"/>
      <c r="MKQ141" s="786"/>
      <c r="MKR141" s="786"/>
      <c r="MKS141" s="786"/>
      <c r="MKT141" s="786"/>
      <c r="MKU141" s="786"/>
      <c r="MKV141" s="786"/>
      <c r="MKW141" s="786"/>
      <c r="MKX141" s="786"/>
      <c r="MKY141" s="786"/>
      <c r="MKZ141" s="786"/>
      <c r="MLA141" s="786"/>
      <c r="MLB141" s="786"/>
      <c r="MLC141" s="786"/>
      <c r="MLD141" s="786"/>
      <c r="MLE141" s="786"/>
      <c r="MLF141" s="786"/>
      <c r="MLG141" s="786"/>
      <c r="MLH141" s="786"/>
      <c r="MLI141" s="786"/>
      <c r="MLJ141" s="786"/>
      <c r="MLK141" s="786"/>
      <c r="MLL141" s="786"/>
      <c r="MLM141" s="786"/>
      <c r="MLN141" s="786"/>
      <c r="MLO141" s="786"/>
      <c r="MLP141" s="786"/>
      <c r="MLQ141" s="786"/>
      <c r="MLR141" s="786"/>
      <c r="MLS141" s="786"/>
      <c r="MLT141" s="786"/>
      <c r="MLU141" s="786"/>
      <c r="MLV141" s="786"/>
      <c r="MLW141" s="786"/>
      <c r="MLX141" s="786"/>
      <c r="MLY141" s="786"/>
      <c r="MLZ141" s="786"/>
      <c r="MMA141" s="786"/>
      <c r="MMB141" s="786"/>
      <c r="MMC141" s="786"/>
      <c r="MMD141" s="786"/>
      <c r="MME141" s="786"/>
      <c r="MMF141" s="786"/>
      <c r="MMG141" s="786"/>
      <c r="MMH141" s="786"/>
      <c r="MMI141" s="786"/>
      <c r="MMJ141" s="786"/>
      <c r="MMK141" s="786"/>
      <c r="MML141" s="786"/>
      <c r="MMM141" s="786"/>
      <c r="MMN141" s="786"/>
      <c r="MMO141" s="786"/>
      <c r="MMP141" s="786"/>
      <c r="MMQ141" s="786"/>
      <c r="MMR141" s="786"/>
      <c r="MMS141" s="786"/>
      <c r="MMT141" s="786"/>
      <c r="MMU141" s="786"/>
      <c r="MMV141" s="786"/>
      <c r="MMW141" s="786"/>
      <c r="MMX141" s="786"/>
      <c r="MMY141" s="786"/>
      <c r="MMZ141" s="786"/>
      <c r="MNA141" s="786"/>
      <c r="MNB141" s="786"/>
      <c r="MNC141" s="786"/>
      <c r="MND141" s="786"/>
      <c r="MNE141" s="786"/>
      <c r="MNF141" s="786"/>
      <c r="MNG141" s="786"/>
      <c r="MNH141" s="786"/>
      <c r="MNI141" s="786"/>
      <c r="MNJ141" s="786"/>
      <c r="MNK141" s="786"/>
      <c r="MNL141" s="786"/>
      <c r="MNM141" s="786"/>
      <c r="MNN141" s="786"/>
      <c r="MNO141" s="786"/>
      <c r="MNP141" s="786"/>
      <c r="MNQ141" s="786"/>
      <c r="MNR141" s="786"/>
      <c r="MNS141" s="786"/>
      <c r="MNT141" s="786"/>
      <c r="MNU141" s="786"/>
      <c r="MNV141" s="786"/>
      <c r="MNW141" s="786"/>
      <c r="MNX141" s="786"/>
      <c r="MNY141" s="786"/>
      <c r="MNZ141" s="786"/>
      <c r="MOA141" s="786"/>
      <c r="MOB141" s="786"/>
      <c r="MOC141" s="786"/>
      <c r="MOD141" s="786"/>
      <c r="MOE141" s="786"/>
      <c r="MOF141" s="786"/>
      <c r="MOG141" s="786"/>
      <c r="MOH141" s="786"/>
      <c r="MOI141" s="786"/>
      <c r="MOJ141" s="786"/>
      <c r="MOK141" s="786"/>
      <c r="MOL141" s="786"/>
      <c r="MOM141" s="786"/>
      <c r="MON141" s="786"/>
      <c r="MOO141" s="786"/>
      <c r="MOP141" s="786"/>
      <c r="MOQ141" s="786"/>
      <c r="MOR141" s="786"/>
      <c r="MOS141" s="786"/>
      <c r="MOT141" s="786"/>
      <c r="MOU141" s="786"/>
      <c r="MOV141" s="786"/>
      <c r="MOW141" s="786"/>
      <c r="MOX141" s="786"/>
      <c r="MOY141" s="786"/>
      <c r="MOZ141" s="786"/>
      <c r="MPA141" s="786"/>
      <c r="MPB141" s="786"/>
      <c r="MPC141" s="786"/>
      <c r="MPD141" s="786"/>
      <c r="MPE141" s="786"/>
      <c r="MPF141" s="786"/>
      <c r="MPG141" s="786"/>
      <c r="MPH141" s="786"/>
      <c r="MPI141" s="786"/>
      <c r="MPJ141" s="786"/>
      <c r="MPK141" s="786"/>
      <c r="MPL141" s="786"/>
      <c r="MPM141" s="786"/>
      <c r="MPN141" s="786"/>
      <c r="MPO141" s="786"/>
      <c r="MPP141" s="786"/>
      <c r="MPQ141" s="786"/>
      <c r="MPR141" s="786"/>
      <c r="MPS141" s="786"/>
      <c r="MPT141" s="786"/>
      <c r="MPU141" s="786"/>
      <c r="MPV141" s="786"/>
      <c r="MPW141" s="786"/>
      <c r="MPX141" s="786"/>
      <c r="MPY141" s="786"/>
      <c r="MPZ141" s="786"/>
      <c r="MQA141" s="786"/>
      <c r="MQB141" s="786"/>
      <c r="MQC141" s="786"/>
      <c r="MQD141" s="786"/>
      <c r="MQE141" s="786"/>
      <c r="MQF141" s="786"/>
      <c r="MQG141" s="786"/>
      <c r="MQH141" s="786"/>
      <c r="MQI141" s="786"/>
      <c r="MQJ141" s="786"/>
      <c r="MQK141" s="786"/>
      <c r="MQL141" s="786"/>
      <c r="MQM141" s="786"/>
      <c r="MQN141" s="786"/>
      <c r="MQO141" s="786"/>
      <c r="MQP141" s="786"/>
      <c r="MQQ141" s="786"/>
      <c r="MQR141" s="786"/>
      <c r="MQS141" s="786"/>
      <c r="MQT141" s="786"/>
      <c r="MQU141" s="786"/>
      <c r="MQV141" s="786"/>
      <c r="MQW141" s="786"/>
      <c r="MQX141" s="786"/>
      <c r="MQY141" s="786"/>
      <c r="MQZ141" s="786"/>
      <c r="MRA141" s="786"/>
      <c r="MRB141" s="786"/>
      <c r="MRC141" s="786"/>
      <c r="MRD141" s="786"/>
      <c r="MRE141" s="786"/>
      <c r="MRF141" s="786"/>
      <c r="MRG141" s="786"/>
      <c r="MRH141" s="786"/>
      <c r="MRI141" s="786"/>
      <c r="MRJ141" s="786"/>
      <c r="MRK141" s="786"/>
      <c r="MRL141" s="786"/>
      <c r="MRM141" s="786"/>
      <c r="MRN141" s="786"/>
      <c r="MRO141" s="786"/>
      <c r="MRP141" s="786"/>
      <c r="MRQ141" s="786"/>
      <c r="MRR141" s="786"/>
      <c r="MRS141" s="786"/>
      <c r="MRT141" s="786"/>
      <c r="MRU141" s="786"/>
      <c r="MRV141" s="786"/>
      <c r="MRW141" s="786"/>
      <c r="MRX141" s="786"/>
      <c r="MRY141" s="786"/>
      <c r="MRZ141" s="786"/>
      <c r="MSA141" s="786"/>
      <c r="MSB141" s="786"/>
      <c r="MSC141" s="786"/>
      <c r="MSD141" s="786"/>
      <c r="MSE141" s="786"/>
      <c r="MSF141" s="786"/>
      <c r="MSG141" s="786"/>
      <c r="MSH141" s="786"/>
      <c r="MSI141" s="786"/>
      <c r="MSJ141" s="786"/>
      <c r="MSK141" s="786"/>
      <c r="MSL141" s="786"/>
      <c r="MSM141" s="786"/>
      <c r="MSN141" s="786"/>
      <c r="MSO141" s="786"/>
      <c r="MSP141" s="786"/>
      <c r="MSQ141" s="786"/>
      <c r="MSR141" s="786"/>
      <c r="MSS141" s="786"/>
      <c r="MST141" s="786"/>
      <c r="MSU141" s="786"/>
      <c r="MSV141" s="786"/>
      <c r="MSW141" s="786"/>
      <c r="MSX141" s="786"/>
      <c r="MSY141" s="786"/>
      <c r="MSZ141" s="786"/>
      <c r="MTA141" s="786"/>
      <c r="MTB141" s="786"/>
      <c r="MTC141" s="786"/>
      <c r="MTD141" s="786"/>
      <c r="MTE141" s="786"/>
      <c r="MTF141" s="786"/>
      <c r="MTG141" s="786"/>
      <c r="MTH141" s="786"/>
      <c r="MTI141" s="786"/>
      <c r="MTJ141" s="786"/>
      <c r="MTK141" s="786"/>
      <c r="MTL141" s="786"/>
      <c r="MTM141" s="786"/>
      <c r="MTN141" s="786"/>
      <c r="MTO141" s="786"/>
      <c r="MTP141" s="786"/>
      <c r="MTQ141" s="786"/>
      <c r="MTR141" s="786"/>
      <c r="MTS141" s="786"/>
      <c r="MTT141" s="786"/>
      <c r="MTU141" s="786"/>
      <c r="MTV141" s="786"/>
      <c r="MTW141" s="786"/>
      <c r="MTX141" s="786"/>
      <c r="MTY141" s="786"/>
      <c r="MTZ141" s="786"/>
      <c r="MUA141" s="786"/>
      <c r="MUB141" s="786"/>
      <c r="MUC141" s="786"/>
      <c r="MUD141" s="786"/>
      <c r="MUE141" s="786"/>
      <c r="MUF141" s="786"/>
      <c r="MUG141" s="786"/>
      <c r="MUH141" s="786"/>
      <c r="MUI141" s="786"/>
      <c r="MUJ141" s="786"/>
      <c r="MUK141" s="786"/>
      <c r="MUL141" s="786"/>
      <c r="MUM141" s="786"/>
      <c r="MUN141" s="786"/>
      <c r="MUO141" s="786"/>
      <c r="MUP141" s="786"/>
      <c r="MUQ141" s="786"/>
      <c r="MUR141" s="786"/>
      <c r="MUS141" s="786"/>
      <c r="MUT141" s="786"/>
      <c r="MUU141" s="786"/>
      <c r="MUV141" s="786"/>
      <c r="MUW141" s="786"/>
      <c r="MUX141" s="786"/>
      <c r="MUY141" s="786"/>
      <c r="MUZ141" s="786"/>
      <c r="MVA141" s="786"/>
      <c r="MVB141" s="786"/>
      <c r="MVC141" s="786"/>
      <c r="MVD141" s="786"/>
      <c r="MVE141" s="786"/>
      <c r="MVF141" s="786"/>
      <c r="MVG141" s="786"/>
      <c r="MVH141" s="786"/>
      <c r="MVI141" s="786"/>
      <c r="MVJ141" s="786"/>
      <c r="MVK141" s="786"/>
      <c r="MVL141" s="786"/>
      <c r="MVM141" s="786"/>
      <c r="MVN141" s="786"/>
      <c r="MVO141" s="786"/>
      <c r="MVP141" s="786"/>
      <c r="MVQ141" s="786"/>
      <c r="MVR141" s="786"/>
      <c r="MVS141" s="786"/>
      <c r="MVT141" s="786"/>
      <c r="MVU141" s="786"/>
      <c r="MVV141" s="786"/>
      <c r="MVW141" s="786"/>
      <c r="MVX141" s="786"/>
      <c r="MVY141" s="786"/>
      <c r="MVZ141" s="786"/>
      <c r="MWA141" s="786"/>
      <c r="MWB141" s="786"/>
      <c r="MWC141" s="786"/>
      <c r="MWD141" s="786"/>
      <c r="MWE141" s="786"/>
      <c r="MWF141" s="786"/>
      <c r="MWG141" s="786"/>
      <c r="MWH141" s="786"/>
      <c r="MWI141" s="786"/>
      <c r="MWJ141" s="786"/>
      <c r="MWK141" s="786"/>
      <c r="MWL141" s="786"/>
      <c r="MWM141" s="786"/>
      <c r="MWN141" s="786"/>
      <c r="MWO141" s="786"/>
      <c r="MWP141" s="786"/>
      <c r="MWQ141" s="786"/>
      <c r="MWR141" s="786"/>
      <c r="MWS141" s="786"/>
      <c r="MWT141" s="786"/>
      <c r="MWU141" s="786"/>
      <c r="MWV141" s="786"/>
      <c r="MWW141" s="786"/>
      <c r="MWX141" s="786"/>
      <c r="MWY141" s="786"/>
      <c r="MWZ141" s="786"/>
      <c r="MXA141" s="786"/>
      <c r="MXB141" s="786"/>
      <c r="MXC141" s="786"/>
      <c r="MXD141" s="786"/>
      <c r="MXE141" s="786"/>
      <c r="MXF141" s="786"/>
      <c r="MXG141" s="786"/>
      <c r="MXH141" s="786"/>
      <c r="MXI141" s="786"/>
      <c r="MXJ141" s="786"/>
      <c r="MXK141" s="786"/>
      <c r="MXL141" s="786"/>
      <c r="MXM141" s="786"/>
      <c r="MXN141" s="786"/>
      <c r="MXO141" s="786"/>
      <c r="MXP141" s="786"/>
      <c r="MXQ141" s="786"/>
      <c r="MXR141" s="786"/>
      <c r="MXS141" s="786"/>
      <c r="MXT141" s="786"/>
      <c r="MXU141" s="786"/>
      <c r="MXV141" s="786"/>
      <c r="MXW141" s="786"/>
      <c r="MXX141" s="786"/>
      <c r="MXY141" s="786"/>
      <c r="MXZ141" s="786"/>
      <c r="MYA141" s="786"/>
      <c r="MYB141" s="786"/>
      <c r="MYC141" s="786"/>
      <c r="MYD141" s="786"/>
      <c r="MYE141" s="786"/>
      <c r="MYF141" s="786"/>
      <c r="MYG141" s="786"/>
      <c r="MYH141" s="786"/>
      <c r="MYI141" s="786"/>
      <c r="MYJ141" s="786"/>
      <c r="MYK141" s="786"/>
      <c r="MYL141" s="786"/>
      <c r="MYM141" s="786"/>
      <c r="MYN141" s="786"/>
      <c r="MYO141" s="786"/>
      <c r="MYP141" s="786"/>
      <c r="MYQ141" s="786"/>
      <c r="MYR141" s="786"/>
      <c r="MYS141" s="786"/>
      <c r="MYT141" s="786"/>
      <c r="MYU141" s="786"/>
      <c r="MYV141" s="786"/>
      <c r="MYW141" s="786"/>
      <c r="MYX141" s="786"/>
      <c r="MYY141" s="786"/>
      <c r="MYZ141" s="786"/>
      <c r="MZA141" s="786"/>
      <c r="MZB141" s="786"/>
      <c r="MZC141" s="786"/>
      <c r="MZD141" s="786"/>
      <c r="MZE141" s="786"/>
      <c r="MZF141" s="786"/>
      <c r="MZG141" s="786"/>
      <c r="MZH141" s="786"/>
      <c r="MZI141" s="786"/>
      <c r="MZJ141" s="786"/>
      <c r="MZK141" s="786"/>
      <c r="MZL141" s="786"/>
      <c r="MZM141" s="786"/>
      <c r="MZN141" s="786"/>
      <c r="MZO141" s="786"/>
      <c r="MZP141" s="786"/>
      <c r="MZQ141" s="786"/>
      <c r="MZR141" s="786"/>
      <c r="MZS141" s="786"/>
      <c r="MZT141" s="786"/>
      <c r="MZU141" s="786"/>
      <c r="MZV141" s="786"/>
      <c r="MZW141" s="786"/>
      <c r="MZX141" s="786"/>
      <c r="MZY141" s="786"/>
      <c r="MZZ141" s="786"/>
      <c r="NAA141" s="786"/>
      <c r="NAB141" s="786"/>
      <c r="NAC141" s="786"/>
      <c r="NAD141" s="786"/>
      <c r="NAE141" s="786"/>
      <c r="NAF141" s="786"/>
      <c r="NAG141" s="786"/>
      <c r="NAH141" s="786"/>
      <c r="NAI141" s="786"/>
      <c r="NAJ141" s="786"/>
      <c r="NAK141" s="786"/>
      <c r="NAL141" s="786"/>
      <c r="NAM141" s="786"/>
      <c r="NAN141" s="786"/>
      <c r="NAO141" s="786"/>
      <c r="NAP141" s="786"/>
      <c r="NAQ141" s="786"/>
      <c r="NAR141" s="786"/>
      <c r="NAS141" s="786"/>
      <c r="NAT141" s="786"/>
      <c r="NAU141" s="786"/>
      <c r="NAV141" s="786"/>
      <c r="NAW141" s="786"/>
      <c r="NAX141" s="786"/>
      <c r="NAY141" s="786"/>
      <c r="NAZ141" s="786"/>
      <c r="NBA141" s="786"/>
      <c r="NBB141" s="786"/>
      <c r="NBC141" s="786"/>
      <c r="NBD141" s="786"/>
      <c r="NBE141" s="786"/>
      <c r="NBF141" s="786"/>
      <c r="NBG141" s="786"/>
      <c r="NBH141" s="786"/>
      <c r="NBI141" s="786"/>
      <c r="NBJ141" s="786"/>
      <c r="NBK141" s="786"/>
      <c r="NBL141" s="786"/>
      <c r="NBM141" s="786"/>
      <c r="NBN141" s="786"/>
      <c r="NBO141" s="786"/>
      <c r="NBP141" s="786"/>
      <c r="NBQ141" s="786"/>
      <c r="NBR141" s="786"/>
      <c r="NBS141" s="786"/>
      <c r="NBT141" s="786"/>
      <c r="NBU141" s="786"/>
      <c r="NBV141" s="786"/>
      <c r="NBW141" s="786"/>
      <c r="NBX141" s="786"/>
      <c r="NBY141" s="786"/>
      <c r="NBZ141" s="786"/>
      <c r="NCA141" s="786"/>
      <c r="NCB141" s="786"/>
      <c r="NCC141" s="786"/>
      <c r="NCD141" s="786"/>
      <c r="NCE141" s="786"/>
      <c r="NCF141" s="786"/>
      <c r="NCG141" s="786"/>
      <c r="NCH141" s="786"/>
      <c r="NCI141" s="786"/>
      <c r="NCJ141" s="786"/>
      <c r="NCK141" s="786"/>
      <c r="NCL141" s="786"/>
      <c r="NCM141" s="786"/>
      <c r="NCN141" s="786"/>
      <c r="NCO141" s="786"/>
      <c r="NCP141" s="786"/>
      <c r="NCQ141" s="786"/>
      <c r="NCR141" s="786"/>
      <c r="NCS141" s="786"/>
      <c r="NCT141" s="786"/>
      <c r="NCU141" s="786"/>
      <c r="NCV141" s="786"/>
      <c r="NCW141" s="786"/>
      <c r="NCX141" s="786"/>
      <c r="NCY141" s="786"/>
      <c r="NCZ141" s="786"/>
      <c r="NDA141" s="786"/>
      <c r="NDB141" s="786"/>
      <c r="NDC141" s="786"/>
      <c r="NDD141" s="786"/>
      <c r="NDE141" s="786"/>
      <c r="NDF141" s="786"/>
      <c r="NDG141" s="786"/>
      <c r="NDH141" s="786"/>
      <c r="NDI141" s="786"/>
      <c r="NDJ141" s="786"/>
      <c r="NDK141" s="786"/>
      <c r="NDL141" s="786"/>
      <c r="NDM141" s="786"/>
      <c r="NDN141" s="786"/>
      <c r="NDO141" s="786"/>
      <c r="NDP141" s="786"/>
      <c r="NDQ141" s="786"/>
      <c r="NDR141" s="786"/>
      <c r="NDS141" s="786"/>
      <c r="NDT141" s="786"/>
      <c r="NDU141" s="786"/>
      <c r="NDV141" s="786"/>
      <c r="NDW141" s="786"/>
      <c r="NDX141" s="786"/>
      <c r="NDY141" s="786"/>
      <c r="NDZ141" s="786"/>
      <c r="NEA141" s="786"/>
      <c r="NEB141" s="786"/>
      <c r="NEC141" s="786"/>
      <c r="NED141" s="786"/>
      <c r="NEE141" s="786"/>
      <c r="NEF141" s="786"/>
      <c r="NEG141" s="786"/>
      <c r="NEH141" s="786"/>
      <c r="NEI141" s="786"/>
      <c r="NEJ141" s="786"/>
      <c r="NEK141" s="786"/>
      <c r="NEL141" s="786"/>
      <c r="NEM141" s="786"/>
      <c r="NEN141" s="786"/>
      <c r="NEO141" s="786"/>
      <c r="NEP141" s="786"/>
      <c r="NEQ141" s="786"/>
      <c r="NER141" s="786"/>
      <c r="NES141" s="786"/>
      <c r="NET141" s="786"/>
      <c r="NEU141" s="786"/>
      <c r="NEV141" s="786"/>
      <c r="NEW141" s="786"/>
      <c r="NEX141" s="786"/>
      <c r="NEY141" s="786"/>
      <c r="NEZ141" s="786"/>
      <c r="NFA141" s="786"/>
      <c r="NFB141" s="786"/>
      <c r="NFC141" s="786"/>
      <c r="NFD141" s="786"/>
      <c r="NFE141" s="786"/>
      <c r="NFF141" s="786"/>
      <c r="NFG141" s="786"/>
      <c r="NFH141" s="786"/>
      <c r="NFI141" s="786"/>
      <c r="NFJ141" s="786"/>
      <c r="NFK141" s="786"/>
      <c r="NFL141" s="786"/>
      <c r="NFM141" s="786"/>
      <c r="NFN141" s="786"/>
      <c r="NFO141" s="786"/>
      <c r="NFP141" s="786"/>
      <c r="NFQ141" s="786"/>
      <c r="NFR141" s="786"/>
      <c r="NFS141" s="786"/>
      <c r="NFT141" s="786"/>
      <c r="NFU141" s="786"/>
      <c r="NFV141" s="786"/>
      <c r="NFW141" s="786"/>
      <c r="NFX141" s="786"/>
      <c r="NFY141" s="786"/>
      <c r="NFZ141" s="786"/>
      <c r="NGA141" s="786"/>
      <c r="NGB141" s="786"/>
      <c r="NGC141" s="786"/>
      <c r="NGD141" s="786"/>
      <c r="NGE141" s="786"/>
      <c r="NGF141" s="786"/>
      <c r="NGG141" s="786"/>
      <c r="NGH141" s="786"/>
      <c r="NGI141" s="786"/>
      <c r="NGJ141" s="786"/>
      <c r="NGK141" s="786"/>
      <c r="NGL141" s="786"/>
      <c r="NGM141" s="786"/>
      <c r="NGN141" s="786"/>
      <c r="NGO141" s="786"/>
      <c r="NGP141" s="786"/>
      <c r="NGQ141" s="786"/>
      <c r="NGR141" s="786"/>
      <c r="NGS141" s="786"/>
      <c r="NGT141" s="786"/>
      <c r="NGU141" s="786"/>
      <c r="NGV141" s="786"/>
      <c r="NGW141" s="786"/>
      <c r="NGX141" s="786"/>
      <c r="NGY141" s="786"/>
      <c r="NGZ141" s="786"/>
      <c r="NHA141" s="786"/>
      <c r="NHB141" s="786"/>
      <c r="NHC141" s="786"/>
      <c r="NHD141" s="786"/>
      <c r="NHE141" s="786"/>
      <c r="NHF141" s="786"/>
      <c r="NHG141" s="786"/>
      <c r="NHH141" s="786"/>
      <c r="NHI141" s="786"/>
      <c r="NHJ141" s="786"/>
      <c r="NHK141" s="786"/>
      <c r="NHL141" s="786"/>
      <c r="NHM141" s="786"/>
      <c r="NHN141" s="786"/>
      <c r="NHO141" s="786"/>
      <c r="NHP141" s="786"/>
      <c r="NHQ141" s="786"/>
      <c r="NHR141" s="786"/>
      <c r="NHS141" s="786"/>
      <c r="NHT141" s="786"/>
      <c r="NHU141" s="786"/>
      <c r="NHV141" s="786"/>
      <c r="NHW141" s="786"/>
      <c r="NHX141" s="786"/>
      <c r="NHY141" s="786"/>
      <c r="NHZ141" s="786"/>
      <c r="NIA141" s="786"/>
      <c r="NIB141" s="786"/>
      <c r="NIC141" s="786"/>
      <c r="NID141" s="786"/>
      <c r="NIE141" s="786"/>
      <c r="NIF141" s="786"/>
      <c r="NIG141" s="786"/>
      <c r="NIH141" s="786"/>
      <c r="NII141" s="786"/>
      <c r="NIJ141" s="786"/>
      <c r="NIK141" s="786"/>
      <c r="NIL141" s="786"/>
      <c r="NIM141" s="786"/>
      <c r="NIN141" s="786"/>
      <c r="NIO141" s="786"/>
      <c r="NIP141" s="786"/>
      <c r="NIQ141" s="786"/>
      <c r="NIR141" s="786"/>
      <c r="NIS141" s="786"/>
      <c r="NIT141" s="786"/>
      <c r="NIU141" s="786"/>
      <c r="NIV141" s="786"/>
      <c r="NIW141" s="786"/>
      <c r="NIX141" s="786"/>
      <c r="NIY141" s="786"/>
      <c r="NIZ141" s="786"/>
      <c r="NJA141" s="786"/>
      <c r="NJB141" s="786"/>
      <c r="NJC141" s="786"/>
      <c r="NJD141" s="786"/>
      <c r="NJE141" s="786"/>
      <c r="NJF141" s="786"/>
      <c r="NJG141" s="786"/>
      <c r="NJH141" s="786"/>
      <c r="NJI141" s="786"/>
      <c r="NJJ141" s="786"/>
      <c r="NJK141" s="786"/>
      <c r="NJL141" s="786"/>
      <c r="NJM141" s="786"/>
      <c r="NJN141" s="786"/>
      <c r="NJO141" s="786"/>
      <c r="NJP141" s="786"/>
      <c r="NJQ141" s="786"/>
      <c r="NJR141" s="786"/>
      <c r="NJS141" s="786"/>
      <c r="NJT141" s="786"/>
      <c r="NJU141" s="786"/>
      <c r="NJV141" s="786"/>
      <c r="NJW141" s="786"/>
      <c r="NJX141" s="786"/>
      <c r="NJY141" s="786"/>
      <c r="NJZ141" s="786"/>
      <c r="NKA141" s="786"/>
      <c r="NKB141" s="786"/>
      <c r="NKC141" s="786"/>
      <c r="NKD141" s="786"/>
      <c r="NKE141" s="786"/>
      <c r="NKF141" s="786"/>
      <c r="NKG141" s="786"/>
      <c r="NKH141" s="786"/>
      <c r="NKI141" s="786"/>
      <c r="NKJ141" s="786"/>
      <c r="NKK141" s="786"/>
      <c r="NKL141" s="786"/>
      <c r="NKM141" s="786"/>
      <c r="NKN141" s="786"/>
      <c r="NKO141" s="786"/>
      <c r="NKP141" s="786"/>
      <c r="NKQ141" s="786"/>
      <c r="NKR141" s="786"/>
      <c r="NKS141" s="786"/>
      <c r="NKT141" s="786"/>
      <c r="NKU141" s="786"/>
      <c r="NKV141" s="786"/>
      <c r="NKW141" s="786"/>
      <c r="NKX141" s="786"/>
      <c r="NKY141" s="786"/>
      <c r="NKZ141" s="786"/>
      <c r="NLA141" s="786"/>
      <c r="NLB141" s="786"/>
      <c r="NLC141" s="786"/>
      <c r="NLD141" s="786"/>
      <c r="NLE141" s="786"/>
      <c r="NLF141" s="786"/>
      <c r="NLG141" s="786"/>
      <c r="NLH141" s="786"/>
      <c r="NLI141" s="786"/>
      <c r="NLJ141" s="786"/>
      <c r="NLK141" s="786"/>
      <c r="NLL141" s="786"/>
      <c r="NLM141" s="786"/>
      <c r="NLN141" s="786"/>
      <c r="NLO141" s="786"/>
      <c r="NLP141" s="786"/>
      <c r="NLQ141" s="786"/>
      <c r="NLR141" s="786"/>
      <c r="NLS141" s="786"/>
      <c r="NLT141" s="786"/>
      <c r="NLU141" s="786"/>
      <c r="NLV141" s="786"/>
      <c r="NLW141" s="786"/>
      <c r="NLX141" s="786"/>
      <c r="NLY141" s="786"/>
      <c r="NLZ141" s="786"/>
      <c r="NMA141" s="786"/>
      <c r="NMB141" s="786"/>
      <c r="NMC141" s="786"/>
      <c r="NMD141" s="786"/>
      <c r="NME141" s="786"/>
      <c r="NMF141" s="786"/>
      <c r="NMG141" s="786"/>
      <c r="NMH141" s="786"/>
      <c r="NMI141" s="786"/>
      <c r="NMJ141" s="786"/>
      <c r="NMK141" s="786"/>
      <c r="NML141" s="786"/>
      <c r="NMM141" s="786"/>
      <c r="NMN141" s="786"/>
      <c r="NMO141" s="786"/>
      <c r="NMP141" s="786"/>
      <c r="NMQ141" s="786"/>
      <c r="NMR141" s="786"/>
      <c r="NMS141" s="786"/>
      <c r="NMT141" s="786"/>
      <c r="NMU141" s="786"/>
      <c r="NMV141" s="786"/>
      <c r="NMW141" s="786"/>
      <c r="NMX141" s="786"/>
      <c r="NMY141" s="786"/>
      <c r="NMZ141" s="786"/>
      <c r="NNA141" s="786"/>
      <c r="NNB141" s="786"/>
      <c r="NNC141" s="786"/>
      <c r="NND141" s="786"/>
      <c r="NNE141" s="786"/>
      <c r="NNF141" s="786"/>
      <c r="NNG141" s="786"/>
      <c r="NNH141" s="786"/>
      <c r="NNI141" s="786"/>
      <c r="NNJ141" s="786"/>
      <c r="NNK141" s="786"/>
      <c r="NNL141" s="786"/>
      <c r="NNM141" s="786"/>
      <c r="NNN141" s="786"/>
      <c r="NNO141" s="786"/>
      <c r="NNP141" s="786"/>
      <c r="NNQ141" s="786"/>
      <c r="NNR141" s="786"/>
      <c r="NNS141" s="786"/>
      <c r="NNT141" s="786"/>
      <c r="NNU141" s="786"/>
      <c r="NNV141" s="786"/>
      <c r="NNW141" s="786"/>
      <c r="NNX141" s="786"/>
      <c r="NNY141" s="786"/>
      <c r="NNZ141" s="786"/>
      <c r="NOA141" s="786"/>
      <c r="NOB141" s="786"/>
      <c r="NOC141" s="786"/>
      <c r="NOD141" s="786"/>
      <c r="NOE141" s="786"/>
      <c r="NOF141" s="786"/>
      <c r="NOG141" s="786"/>
      <c r="NOH141" s="786"/>
      <c r="NOI141" s="786"/>
      <c r="NOJ141" s="786"/>
      <c r="NOK141" s="786"/>
      <c r="NOL141" s="786"/>
      <c r="NOM141" s="786"/>
      <c r="NON141" s="786"/>
      <c r="NOO141" s="786"/>
      <c r="NOP141" s="786"/>
      <c r="NOQ141" s="786"/>
      <c r="NOR141" s="786"/>
      <c r="NOS141" s="786"/>
      <c r="NOT141" s="786"/>
      <c r="NOU141" s="786"/>
      <c r="NOV141" s="786"/>
      <c r="NOW141" s="786"/>
      <c r="NOX141" s="786"/>
      <c r="NOY141" s="786"/>
      <c r="NOZ141" s="786"/>
      <c r="NPA141" s="786"/>
      <c r="NPB141" s="786"/>
      <c r="NPC141" s="786"/>
      <c r="NPD141" s="786"/>
      <c r="NPE141" s="786"/>
      <c r="NPF141" s="786"/>
      <c r="NPG141" s="786"/>
      <c r="NPH141" s="786"/>
      <c r="NPI141" s="786"/>
      <c r="NPJ141" s="786"/>
      <c r="NPK141" s="786"/>
      <c r="NPL141" s="786"/>
      <c r="NPM141" s="786"/>
      <c r="NPN141" s="786"/>
      <c r="NPO141" s="786"/>
      <c r="NPP141" s="786"/>
      <c r="NPQ141" s="786"/>
      <c r="NPR141" s="786"/>
      <c r="NPS141" s="786"/>
      <c r="NPT141" s="786"/>
      <c r="NPU141" s="786"/>
      <c r="NPV141" s="786"/>
      <c r="NPW141" s="786"/>
      <c r="NPX141" s="786"/>
      <c r="NPY141" s="786"/>
      <c r="NPZ141" s="786"/>
      <c r="NQA141" s="786"/>
      <c r="NQB141" s="786"/>
      <c r="NQC141" s="786"/>
      <c r="NQD141" s="786"/>
      <c r="NQE141" s="786"/>
      <c r="NQF141" s="786"/>
      <c r="NQG141" s="786"/>
      <c r="NQH141" s="786"/>
      <c r="NQI141" s="786"/>
      <c r="NQJ141" s="786"/>
      <c r="NQK141" s="786"/>
      <c r="NQL141" s="786"/>
      <c r="NQM141" s="786"/>
      <c r="NQN141" s="786"/>
      <c r="NQO141" s="786"/>
      <c r="NQP141" s="786"/>
      <c r="NQQ141" s="786"/>
      <c r="NQR141" s="786"/>
      <c r="NQS141" s="786"/>
      <c r="NQT141" s="786"/>
      <c r="NQU141" s="786"/>
      <c r="NQV141" s="786"/>
      <c r="NQW141" s="786"/>
      <c r="NQX141" s="786"/>
      <c r="NQY141" s="786"/>
      <c r="NQZ141" s="786"/>
      <c r="NRA141" s="786"/>
      <c r="NRB141" s="786"/>
      <c r="NRC141" s="786"/>
      <c r="NRD141" s="786"/>
      <c r="NRE141" s="786"/>
      <c r="NRF141" s="786"/>
      <c r="NRG141" s="786"/>
      <c r="NRH141" s="786"/>
      <c r="NRI141" s="786"/>
      <c r="NRJ141" s="786"/>
      <c r="NRK141" s="786"/>
      <c r="NRL141" s="786"/>
      <c r="NRM141" s="786"/>
      <c r="NRN141" s="786"/>
      <c r="NRO141" s="786"/>
      <c r="NRP141" s="786"/>
      <c r="NRQ141" s="786"/>
      <c r="NRR141" s="786"/>
      <c r="NRS141" s="786"/>
      <c r="NRT141" s="786"/>
      <c r="NRU141" s="786"/>
      <c r="NRV141" s="786"/>
      <c r="NRW141" s="786"/>
      <c r="NRX141" s="786"/>
      <c r="NRY141" s="786"/>
      <c r="NRZ141" s="786"/>
      <c r="NSA141" s="786"/>
      <c r="NSB141" s="786"/>
      <c r="NSC141" s="786"/>
      <c r="NSD141" s="786"/>
      <c r="NSE141" s="786"/>
      <c r="NSF141" s="786"/>
      <c r="NSG141" s="786"/>
      <c r="NSH141" s="786"/>
      <c r="NSI141" s="786"/>
      <c r="NSJ141" s="786"/>
      <c r="NSK141" s="786"/>
      <c r="NSL141" s="786"/>
      <c r="NSM141" s="786"/>
      <c r="NSN141" s="786"/>
      <c r="NSO141" s="786"/>
      <c r="NSP141" s="786"/>
      <c r="NSQ141" s="786"/>
      <c r="NSR141" s="786"/>
      <c r="NSS141" s="786"/>
      <c r="NST141" s="786"/>
      <c r="NSU141" s="786"/>
      <c r="NSV141" s="786"/>
      <c r="NSW141" s="786"/>
      <c r="NSX141" s="786"/>
      <c r="NSY141" s="786"/>
      <c r="NSZ141" s="786"/>
      <c r="NTA141" s="786"/>
      <c r="NTB141" s="786"/>
      <c r="NTC141" s="786"/>
      <c r="NTD141" s="786"/>
      <c r="NTE141" s="786"/>
      <c r="NTF141" s="786"/>
      <c r="NTG141" s="786"/>
      <c r="NTH141" s="786"/>
      <c r="NTI141" s="786"/>
      <c r="NTJ141" s="786"/>
      <c r="NTK141" s="786"/>
      <c r="NTL141" s="786"/>
      <c r="NTM141" s="786"/>
      <c r="NTN141" s="786"/>
      <c r="NTO141" s="786"/>
      <c r="NTP141" s="786"/>
      <c r="NTQ141" s="786"/>
      <c r="NTR141" s="786"/>
      <c r="NTS141" s="786"/>
      <c r="NTT141" s="786"/>
      <c r="NTU141" s="786"/>
      <c r="NTV141" s="786"/>
      <c r="NTW141" s="786"/>
      <c r="NTX141" s="786"/>
      <c r="NTY141" s="786"/>
      <c r="NTZ141" s="786"/>
      <c r="NUA141" s="786"/>
      <c r="NUB141" s="786"/>
      <c r="NUC141" s="786"/>
      <c r="NUD141" s="786"/>
      <c r="NUE141" s="786"/>
      <c r="NUF141" s="786"/>
      <c r="NUG141" s="786"/>
      <c r="NUH141" s="786"/>
      <c r="NUI141" s="786"/>
      <c r="NUJ141" s="786"/>
      <c r="NUK141" s="786"/>
      <c r="NUL141" s="786"/>
      <c r="NUM141" s="786"/>
      <c r="NUN141" s="786"/>
      <c r="NUO141" s="786"/>
      <c r="NUP141" s="786"/>
      <c r="NUQ141" s="786"/>
      <c r="NUR141" s="786"/>
      <c r="NUS141" s="786"/>
      <c r="NUT141" s="786"/>
      <c r="NUU141" s="786"/>
      <c r="NUV141" s="786"/>
      <c r="NUW141" s="786"/>
      <c r="NUX141" s="786"/>
      <c r="NUY141" s="786"/>
      <c r="NUZ141" s="786"/>
      <c r="NVA141" s="786"/>
      <c r="NVB141" s="786"/>
      <c r="NVC141" s="786"/>
      <c r="NVD141" s="786"/>
      <c r="NVE141" s="786"/>
      <c r="NVF141" s="786"/>
      <c r="NVG141" s="786"/>
      <c r="NVH141" s="786"/>
      <c r="NVI141" s="786"/>
      <c r="NVJ141" s="786"/>
      <c r="NVK141" s="786"/>
      <c r="NVL141" s="786"/>
      <c r="NVM141" s="786"/>
      <c r="NVN141" s="786"/>
      <c r="NVO141" s="786"/>
      <c r="NVP141" s="786"/>
      <c r="NVQ141" s="786"/>
      <c r="NVR141" s="786"/>
      <c r="NVS141" s="786"/>
      <c r="NVT141" s="786"/>
      <c r="NVU141" s="786"/>
      <c r="NVV141" s="786"/>
      <c r="NVW141" s="786"/>
      <c r="NVX141" s="786"/>
      <c r="NVY141" s="786"/>
      <c r="NVZ141" s="786"/>
      <c r="NWA141" s="786"/>
      <c r="NWB141" s="786"/>
      <c r="NWC141" s="786"/>
      <c r="NWD141" s="786"/>
      <c r="NWE141" s="786"/>
      <c r="NWF141" s="786"/>
      <c r="NWG141" s="786"/>
      <c r="NWH141" s="786"/>
      <c r="NWI141" s="786"/>
      <c r="NWJ141" s="786"/>
      <c r="NWK141" s="786"/>
      <c r="NWL141" s="786"/>
      <c r="NWM141" s="786"/>
      <c r="NWN141" s="786"/>
      <c r="NWO141" s="786"/>
      <c r="NWP141" s="786"/>
      <c r="NWQ141" s="786"/>
      <c r="NWR141" s="786"/>
      <c r="NWS141" s="786"/>
      <c r="NWT141" s="786"/>
      <c r="NWU141" s="786"/>
      <c r="NWV141" s="786"/>
      <c r="NWW141" s="786"/>
      <c r="NWX141" s="786"/>
      <c r="NWY141" s="786"/>
      <c r="NWZ141" s="786"/>
      <c r="NXA141" s="786"/>
      <c r="NXB141" s="786"/>
      <c r="NXC141" s="786"/>
      <c r="NXD141" s="786"/>
      <c r="NXE141" s="786"/>
      <c r="NXF141" s="786"/>
      <c r="NXG141" s="786"/>
      <c r="NXH141" s="786"/>
      <c r="NXI141" s="786"/>
      <c r="NXJ141" s="786"/>
      <c r="NXK141" s="786"/>
      <c r="NXL141" s="786"/>
      <c r="NXM141" s="786"/>
      <c r="NXN141" s="786"/>
      <c r="NXO141" s="786"/>
      <c r="NXP141" s="786"/>
      <c r="NXQ141" s="786"/>
      <c r="NXR141" s="786"/>
      <c r="NXS141" s="786"/>
      <c r="NXT141" s="786"/>
      <c r="NXU141" s="786"/>
      <c r="NXV141" s="786"/>
      <c r="NXW141" s="786"/>
      <c r="NXX141" s="786"/>
      <c r="NXY141" s="786"/>
      <c r="NXZ141" s="786"/>
      <c r="NYA141" s="786"/>
      <c r="NYB141" s="786"/>
      <c r="NYC141" s="786"/>
      <c r="NYD141" s="786"/>
      <c r="NYE141" s="786"/>
      <c r="NYF141" s="786"/>
      <c r="NYG141" s="786"/>
      <c r="NYH141" s="786"/>
      <c r="NYI141" s="786"/>
      <c r="NYJ141" s="786"/>
      <c r="NYK141" s="786"/>
      <c r="NYL141" s="786"/>
      <c r="NYM141" s="786"/>
      <c r="NYN141" s="786"/>
      <c r="NYO141" s="786"/>
      <c r="NYP141" s="786"/>
      <c r="NYQ141" s="786"/>
      <c r="NYR141" s="786"/>
      <c r="NYS141" s="786"/>
      <c r="NYT141" s="786"/>
      <c r="NYU141" s="786"/>
      <c r="NYV141" s="786"/>
      <c r="NYW141" s="786"/>
      <c r="NYX141" s="786"/>
      <c r="NYY141" s="786"/>
      <c r="NYZ141" s="786"/>
      <c r="NZA141" s="786"/>
      <c r="NZB141" s="786"/>
      <c r="NZC141" s="786"/>
      <c r="NZD141" s="786"/>
      <c r="NZE141" s="786"/>
      <c r="NZF141" s="786"/>
      <c r="NZG141" s="786"/>
      <c r="NZH141" s="786"/>
      <c r="NZI141" s="786"/>
      <c r="NZJ141" s="786"/>
      <c r="NZK141" s="786"/>
      <c r="NZL141" s="786"/>
      <c r="NZM141" s="786"/>
      <c r="NZN141" s="786"/>
      <c r="NZO141" s="786"/>
      <c r="NZP141" s="786"/>
      <c r="NZQ141" s="786"/>
      <c r="NZR141" s="786"/>
      <c r="NZS141" s="786"/>
      <c r="NZT141" s="786"/>
      <c r="NZU141" s="786"/>
      <c r="NZV141" s="786"/>
      <c r="NZW141" s="786"/>
      <c r="NZX141" s="786"/>
      <c r="NZY141" s="786"/>
      <c r="NZZ141" s="786"/>
      <c r="OAA141" s="786"/>
      <c r="OAB141" s="786"/>
      <c r="OAC141" s="786"/>
      <c r="OAD141" s="786"/>
      <c r="OAE141" s="786"/>
      <c r="OAF141" s="786"/>
      <c r="OAG141" s="786"/>
      <c r="OAH141" s="786"/>
      <c r="OAI141" s="786"/>
      <c r="OAJ141" s="786"/>
      <c r="OAK141" s="786"/>
      <c r="OAL141" s="786"/>
      <c r="OAM141" s="786"/>
      <c r="OAN141" s="786"/>
      <c r="OAO141" s="786"/>
      <c r="OAP141" s="786"/>
      <c r="OAQ141" s="786"/>
      <c r="OAR141" s="786"/>
      <c r="OAS141" s="786"/>
      <c r="OAT141" s="786"/>
      <c r="OAU141" s="786"/>
      <c r="OAV141" s="786"/>
      <c r="OAW141" s="786"/>
      <c r="OAX141" s="786"/>
      <c r="OAY141" s="786"/>
      <c r="OAZ141" s="786"/>
      <c r="OBA141" s="786"/>
      <c r="OBB141" s="786"/>
      <c r="OBC141" s="786"/>
      <c r="OBD141" s="786"/>
      <c r="OBE141" s="786"/>
      <c r="OBF141" s="786"/>
      <c r="OBG141" s="786"/>
      <c r="OBH141" s="786"/>
      <c r="OBI141" s="786"/>
      <c r="OBJ141" s="786"/>
      <c r="OBK141" s="786"/>
      <c r="OBL141" s="786"/>
      <c r="OBM141" s="786"/>
      <c r="OBN141" s="786"/>
      <c r="OBO141" s="786"/>
      <c r="OBP141" s="786"/>
      <c r="OBQ141" s="786"/>
      <c r="OBR141" s="786"/>
      <c r="OBS141" s="786"/>
      <c r="OBT141" s="786"/>
      <c r="OBU141" s="786"/>
      <c r="OBV141" s="786"/>
      <c r="OBW141" s="786"/>
      <c r="OBX141" s="786"/>
      <c r="OBY141" s="786"/>
      <c r="OBZ141" s="786"/>
      <c r="OCA141" s="786"/>
      <c r="OCB141" s="786"/>
      <c r="OCC141" s="786"/>
      <c r="OCD141" s="786"/>
      <c r="OCE141" s="786"/>
      <c r="OCF141" s="786"/>
      <c r="OCG141" s="786"/>
      <c r="OCH141" s="786"/>
      <c r="OCI141" s="786"/>
      <c r="OCJ141" s="786"/>
      <c r="OCK141" s="786"/>
      <c r="OCL141" s="786"/>
      <c r="OCM141" s="786"/>
      <c r="OCN141" s="786"/>
      <c r="OCO141" s="786"/>
      <c r="OCP141" s="786"/>
      <c r="OCQ141" s="786"/>
      <c r="OCR141" s="786"/>
      <c r="OCS141" s="786"/>
      <c r="OCT141" s="786"/>
      <c r="OCU141" s="786"/>
      <c r="OCV141" s="786"/>
      <c r="OCW141" s="786"/>
      <c r="OCX141" s="786"/>
      <c r="OCY141" s="786"/>
      <c r="OCZ141" s="786"/>
      <c r="ODA141" s="786"/>
      <c r="ODB141" s="786"/>
      <c r="ODC141" s="786"/>
      <c r="ODD141" s="786"/>
      <c r="ODE141" s="786"/>
      <c r="ODF141" s="786"/>
      <c r="ODG141" s="786"/>
      <c r="ODH141" s="786"/>
      <c r="ODI141" s="786"/>
      <c r="ODJ141" s="786"/>
      <c r="ODK141" s="786"/>
      <c r="ODL141" s="786"/>
      <c r="ODM141" s="786"/>
      <c r="ODN141" s="786"/>
      <c r="ODO141" s="786"/>
      <c r="ODP141" s="786"/>
      <c r="ODQ141" s="786"/>
      <c r="ODR141" s="786"/>
      <c r="ODS141" s="786"/>
      <c r="ODT141" s="786"/>
      <c r="ODU141" s="786"/>
      <c r="ODV141" s="786"/>
      <c r="ODW141" s="786"/>
      <c r="ODX141" s="786"/>
      <c r="ODY141" s="786"/>
      <c r="ODZ141" s="786"/>
      <c r="OEA141" s="786"/>
      <c r="OEB141" s="786"/>
      <c r="OEC141" s="786"/>
      <c r="OED141" s="786"/>
      <c r="OEE141" s="786"/>
      <c r="OEF141" s="786"/>
      <c r="OEG141" s="786"/>
      <c r="OEH141" s="786"/>
      <c r="OEI141" s="786"/>
      <c r="OEJ141" s="786"/>
      <c r="OEK141" s="786"/>
      <c r="OEL141" s="786"/>
      <c r="OEM141" s="786"/>
      <c r="OEN141" s="786"/>
      <c r="OEO141" s="786"/>
      <c r="OEP141" s="786"/>
      <c r="OEQ141" s="786"/>
      <c r="OER141" s="786"/>
      <c r="OES141" s="786"/>
      <c r="OET141" s="786"/>
      <c r="OEU141" s="786"/>
      <c r="OEV141" s="786"/>
      <c r="OEW141" s="786"/>
      <c r="OEX141" s="786"/>
      <c r="OEY141" s="786"/>
      <c r="OEZ141" s="786"/>
      <c r="OFA141" s="786"/>
      <c r="OFB141" s="786"/>
      <c r="OFC141" s="786"/>
      <c r="OFD141" s="786"/>
      <c r="OFE141" s="786"/>
      <c r="OFF141" s="786"/>
      <c r="OFG141" s="786"/>
      <c r="OFH141" s="786"/>
      <c r="OFI141" s="786"/>
      <c r="OFJ141" s="786"/>
      <c r="OFK141" s="786"/>
      <c r="OFL141" s="786"/>
      <c r="OFM141" s="786"/>
      <c r="OFN141" s="786"/>
      <c r="OFO141" s="786"/>
      <c r="OFP141" s="786"/>
      <c r="OFQ141" s="786"/>
      <c r="OFR141" s="786"/>
      <c r="OFS141" s="786"/>
      <c r="OFT141" s="786"/>
      <c r="OFU141" s="786"/>
      <c r="OFV141" s="786"/>
      <c r="OFW141" s="786"/>
      <c r="OFX141" s="786"/>
      <c r="OFY141" s="786"/>
      <c r="OFZ141" s="786"/>
      <c r="OGA141" s="786"/>
      <c r="OGB141" s="786"/>
      <c r="OGC141" s="786"/>
      <c r="OGD141" s="786"/>
      <c r="OGE141" s="786"/>
      <c r="OGF141" s="786"/>
      <c r="OGG141" s="786"/>
      <c r="OGH141" s="786"/>
      <c r="OGI141" s="786"/>
      <c r="OGJ141" s="786"/>
      <c r="OGK141" s="786"/>
      <c r="OGL141" s="786"/>
      <c r="OGM141" s="786"/>
      <c r="OGN141" s="786"/>
      <c r="OGO141" s="786"/>
      <c r="OGP141" s="786"/>
      <c r="OGQ141" s="786"/>
      <c r="OGR141" s="786"/>
      <c r="OGS141" s="786"/>
      <c r="OGT141" s="786"/>
      <c r="OGU141" s="786"/>
      <c r="OGV141" s="786"/>
      <c r="OGW141" s="786"/>
      <c r="OGX141" s="786"/>
      <c r="OGY141" s="786"/>
      <c r="OGZ141" s="786"/>
      <c r="OHA141" s="786"/>
      <c r="OHB141" s="786"/>
      <c r="OHC141" s="786"/>
      <c r="OHD141" s="786"/>
      <c r="OHE141" s="786"/>
      <c r="OHF141" s="786"/>
      <c r="OHG141" s="786"/>
      <c r="OHH141" s="786"/>
      <c r="OHI141" s="786"/>
      <c r="OHJ141" s="786"/>
      <c r="OHK141" s="786"/>
      <c r="OHL141" s="786"/>
      <c r="OHM141" s="786"/>
      <c r="OHN141" s="786"/>
      <c r="OHO141" s="786"/>
      <c r="OHP141" s="786"/>
      <c r="OHQ141" s="786"/>
      <c r="OHR141" s="786"/>
      <c r="OHS141" s="786"/>
      <c r="OHT141" s="786"/>
      <c r="OHU141" s="786"/>
      <c r="OHV141" s="786"/>
      <c r="OHW141" s="786"/>
      <c r="OHX141" s="786"/>
      <c r="OHY141" s="786"/>
      <c r="OHZ141" s="786"/>
      <c r="OIA141" s="786"/>
      <c r="OIB141" s="786"/>
      <c r="OIC141" s="786"/>
      <c r="OID141" s="786"/>
      <c r="OIE141" s="786"/>
      <c r="OIF141" s="786"/>
      <c r="OIG141" s="786"/>
      <c r="OIH141" s="786"/>
      <c r="OII141" s="786"/>
      <c r="OIJ141" s="786"/>
      <c r="OIK141" s="786"/>
      <c r="OIL141" s="786"/>
      <c r="OIM141" s="786"/>
      <c r="OIN141" s="786"/>
      <c r="OIO141" s="786"/>
      <c r="OIP141" s="786"/>
      <c r="OIQ141" s="786"/>
      <c r="OIR141" s="786"/>
      <c r="OIS141" s="786"/>
      <c r="OIT141" s="786"/>
      <c r="OIU141" s="786"/>
      <c r="OIV141" s="786"/>
      <c r="OIW141" s="786"/>
      <c r="OIX141" s="786"/>
      <c r="OIY141" s="786"/>
      <c r="OIZ141" s="786"/>
      <c r="OJA141" s="786"/>
      <c r="OJB141" s="786"/>
      <c r="OJC141" s="786"/>
      <c r="OJD141" s="786"/>
      <c r="OJE141" s="786"/>
      <c r="OJF141" s="786"/>
      <c r="OJG141" s="786"/>
      <c r="OJH141" s="786"/>
      <c r="OJI141" s="786"/>
      <c r="OJJ141" s="786"/>
      <c r="OJK141" s="786"/>
      <c r="OJL141" s="786"/>
      <c r="OJM141" s="786"/>
      <c r="OJN141" s="786"/>
      <c r="OJO141" s="786"/>
      <c r="OJP141" s="786"/>
      <c r="OJQ141" s="786"/>
      <c r="OJR141" s="786"/>
      <c r="OJS141" s="786"/>
      <c r="OJT141" s="786"/>
      <c r="OJU141" s="786"/>
      <c r="OJV141" s="786"/>
      <c r="OJW141" s="786"/>
      <c r="OJX141" s="786"/>
      <c r="OJY141" s="786"/>
      <c r="OJZ141" s="786"/>
      <c r="OKA141" s="786"/>
      <c r="OKB141" s="786"/>
      <c r="OKC141" s="786"/>
      <c r="OKD141" s="786"/>
      <c r="OKE141" s="786"/>
      <c r="OKF141" s="786"/>
      <c r="OKG141" s="786"/>
      <c r="OKH141" s="786"/>
      <c r="OKI141" s="786"/>
      <c r="OKJ141" s="786"/>
      <c r="OKK141" s="786"/>
      <c r="OKL141" s="786"/>
      <c r="OKM141" s="786"/>
      <c r="OKN141" s="786"/>
      <c r="OKO141" s="786"/>
      <c r="OKP141" s="786"/>
      <c r="OKQ141" s="786"/>
      <c r="OKR141" s="786"/>
      <c r="OKS141" s="786"/>
      <c r="OKT141" s="786"/>
      <c r="OKU141" s="786"/>
      <c r="OKV141" s="786"/>
      <c r="OKW141" s="786"/>
      <c r="OKX141" s="786"/>
      <c r="OKY141" s="786"/>
      <c r="OKZ141" s="786"/>
      <c r="OLA141" s="786"/>
      <c r="OLB141" s="786"/>
      <c r="OLC141" s="786"/>
      <c r="OLD141" s="786"/>
      <c r="OLE141" s="786"/>
      <c r="OLF141" s="786"/>
      <c r="OLG141" s="786"/>
      <c r="OLH141" s="786"/>
      <c r="OLI141" s="786"/>
      <c r="OLJ141" s="786"/>
      <c r="OLK141" s="786"/>
      <c r="OLL141" s="786"/>
      <c r="OLM141" s="786"/>
      <c r="OLN141" s="786"/>
      <c r="OLO141" s="786"/>
      <c r="OLP141" s="786"/>
      <c r="OLQ141" s="786"/>
      <c r="OLR141" s="786"/>
      <c r="OLS141" s="786"/>
      <c r="OLT141" s="786"/>
      <c r="OLU141" s="786"/>
      <c r="OLV141" s="786"/>
      <c r="OLW141" s="786"/>
      <c r="OLX141" s="786"/>
      <c r="OLY141" s="786"/>
      <c r="OLZ141" s="786"/>
      <c r="OMA141" s="786"/>
      <c r="OMB141" s="786"/>
      <c r="OMC141" s="786"/>
      <c r="OMD141" s="786"/>
      <c r="OME141" s="786"/>
      <c r="OMF141" s="786"/>
      <c r="OMG141" s="786"/>
      <c r="OMH141" s="786"/>
      <c r="OMI141" s="786"/>
      <c r="OMJ141" s="786"/>
      <c r="OMK141" s="786"/>
      <c r="OML141" s="786"/>
      <c r="OMM141" s="786"/>
      <c r="OMN141" s="786"/>
      <c r="OMO141" s="786"/>
      <c r="OMP141" s="786"/>
      <c r="OMQ141" s="786"/>
      <c r="OMR141" s="786"/>
      <c r="OMS141" s="786"/>
      <c r="OMT141" s="786"/>
      <c r="OMU141" s="786"/>
      <c r="OMV141" s="786"/>
      <c r="OMW141" s="786"/>
      <c r="OMX141" s="786"/>
      <c r="OMY141" s="786"/>
      <c r="OMZ141" s="786"/>
      <c r="ONA141" s="786"/>
      <c r="ONB141" s="786"/>
      <c r="ONC141" s="786"/>
      <c r="OND141" s="786"/>
      <c r="ONE141" s="786"/>
      <c r="ONF141" s="786"/>
      <c r="ONG141" s="786"/>
      <c r="ONH141" s="786"/>
      <c r="ONI141" s="786"/>
      <c r="ONJ141" s="786"/>
      <c r="ONK141" s="786"/>
      <c r="ONL141" s="786"/>
      <c r="ONM141" s="786"/>
      <c r="ONN141" s="786"/>
      <c r="ONO141" s="786"/>
      <c r="ONP141" s="786"/>
      <c r="ONQ141" s="786"/>
      <c r="ONR141" s="786"/>
      <c r="ONS141" s="786"/>
      <c r="ONT141" s="786"/>
      <c r="ONU141" s="786"/>
      <c r="ONV141" s="786"/>
      <c r="ONW141" s="786"/>
      <c r="ONX141" s="786"/>
      <c r="ONY141" s="786"/>
      <c r="ONZ141" s="786"/>
      <c r="OOA141" s="786"/>
      <c r="OOB141" s="786"/>
      <c r="OOC141" s="786"/>
      <c r="OOD141" s="786"/>
      <c r="OOE141" s="786"/>
      <c r="OOF141" s="786"/>
      <c r="OOG141" s="786"/>
      <c r="OOH141" s="786"/>
      <c r="OOI141" s="786"/>
      <c r="OOJ141" s="786"/>
      <c r="OOK141" s="786"/>
      <c r="OOL141" s="786"/>
      <c r="OOM141" s="786"/>
      <c r="OON141" s="786"/>
      <c r="OOO141" s="786"/>
      <c r="OOP141" s="786"/>
      <c r="OOQ141" s="786"/>
      <c r="OOR141" s="786"/>
      <c r="OOS141" s="786"/>
      <c r="OOT141" s="786"/>
      <c r="OOU141" s="786"/>
      <c r="OOV141" s="786"/>
      <c r="OOW141" s="786"/>
      <c r="OOX141" s="786"/>
      <c r="OOY141" s="786"/>
      <c r="OOZ141" s="786"/>
      <c r="OPA141" s="786"/>
      <c r="OPB141" s="786"/>
      <c r="OPC141" s="786"/>
      <c r="OPD141" s="786"/>
      <c r="OPE141" s="786"/>
      <c r="OPF141" s="786"/>
      <c r="OPG141" s="786"/>
      <c r="OPH141" s="786"/>
      <c r="OPI141" s="786"/>
      <c r="OPJ141" s="786"/>
      <c r="OPK141" s="786"/>
      <c r="OPL141" s="786"/>
      <c r="OPM141" s="786"/>
      <c r="OPN141" s="786"/>
      <c r="OPO141" s="786"/>
      <c r="OPP141" s="786"/>
      <c r="OPQ141" s="786"/>
      <c r="OPR141" s="786"/>
      <c r="OPS141" s="786"/>
      <c r="OPT141" s="786"/>
      <c r="OPU141" s="786"/>
      <c r="OPV141" s="786"/>
      <c r="OPW141" s="786"/>
      <c r="OPX141" s="786"/>
      <c r="OPY141" s="786"/>
      <c r="OPZ141" s="786"/>
      <c r="OQA141" s="786"/>
      <c r="OQB141" s="786"/>
      <c r="OQC141" s="786"/>
      <c r="OQD141" s="786"/>
      <c r="OQE141" s="786"/>
      <c r="OQF141" s="786"/>
      <c r="OQG141" s="786"/>
      <c r="OQH141" s="786"/>
      <c r="OQI141" s="786"/>
      <c r="OQJ141" s="786"/>
      <c r="OQK141" s="786"/>
      <c r="OQL141" s="786"/>
      <c r="OQM141" s="786"/>
      <c r="OQN141" s="786"/>
      <c r="OQO141" s="786"/>
      <c r="OQP141" s="786"/>
      <c r="OQQ141" s="786"/>
      <c r="OQR141" s="786"/>
      <c r="OQS141" s="786"/>
      <c r="OQT141" s="786"/>
      <c r="OQU141" s="786"/>
      <c r="OQV141" s="786"/>
      <c r="OQW141" s="786"/>
      <c r="OQX141" s="786"/>
      <c r="OQY141" s="786"/>
      <c r="OQZ141" s="786"/>
      <c r="ORA141" s="786"/>
      <c r="ORB141" s="786"/>
      <c r="ORC141" s="786"/>
      <c r="ORD141" s="786"/>
      <c r="ORE141" s="786"/>
      <c r="ORF141" s="786"/>
      <c r="ORG141" s="786"/>
      <c r="ORH141" s="786"/>
      <c r="ORI141" s="786"/>
      <c r="ORJ141" s="786"/>
      <c r="ORK141" s="786"/>
      <c r="ORL141" s="786"/>
      <c r="ORM141" s="786"/>
      <c r="ORN141" s="786"/>
      <c r="ORO141" s="786"/>
      <c r="ORP141" s="786"/>
      <c r="ORQ141" s="786"/>
      <c r="ORR141" s="786"/>
      <c r="ORS141" s="786"/>
      <c r="ORT141" s="786"/>
      <c r="ORU141" s="786"/>
      <c r="ORV141" s="786"/>
      <c r="ORW141" s="786"/>
      <c r="ORX141" s="786"/>
      <c r="ORY141" s="786"/>
      <c r="ORZ141" s="786"/>
      <c r="OSA141" s="786"/>
      <c r="OSB141" s="786"/>
      <c r="OSC141" s="786"/>
      <c r="OSD141" s="786"/>
      <c r="OSE141" s="786"/>
      <c r="OSF141" s="786"/>
      <c r="OSG141" s="786"/>
      <c r="OSH141" s="786"/>
      <c r="OSI141" s="786"/>
      <c r="OSJ141" s="786"/>
      <c r="OSK141" s="786"/>
      <c r="OSL141" s="786"/>
      <c r="OSM141" s="786"/>
      <c r="OSN141" s="786"/>
      <c r="OSO141" s="786"/>
      <c r="OSP141" s="786"/>
      <c r="OSQ141" s="786"/>
      <c r="OSR141" s="786"/>
      <c r="OSS141" s="786"/>
      <c r="OST141" s="786"/>
      <c r="OSU141" s="786"/>
      <c r="OSV141" s="786"/>
      <c r="OSW141" s="786"/>
      <c r="OSX141" s="786"/>
      <c r="OSY141" s="786"/>
      <c r="OSZ141" s="786"/>
      <c r="OTA141" s="786"/>
      <c r="OTB141" s="786"/>
      <c r="OTC141" s="786"/>
      <c r="OTD141" s="786"/>
      <c r="OTE141" s="786"/>
      <c r="OTF141" s="786"/>
      <c r="OTG141" s="786"/>
      <c r="OTH141" s="786"/>
      <c r="OTI141" s="786"/>
      <c r="OTJ141" s="786"/>
      <c r="OTK141" s="786"/>
      <c r="OTL141" s="786"/>
      <c r="OTM141" s="786"/>
      <c r="OTN141" s="786"/>
      <c r="OTO141" s="786"/>
      <c r="OTP141" s="786"/>
      <c r="OTQ141" s="786"/>
      <c r="OTR141" s="786"/>
      <c r="OTS141" s="786"/>
      <c r="OTT141" s="786"/>
      <c r="OTU141" s="786"/>
      <c r="OTV141" s="786"/>
      <c r="OTW141" s="786"/>
      <c r="OTX141" s="786"/>
      <c r="OTY141" s="786"/>
      <c r="OTZ141" s="786"/>
      <c r="OUA141" s="786"/>
      <c r="OUB141" s="786"/>
      <c r="OUC141" s="786"/>
      <c r="OUD141" s="786"/>
      <c r="OUE141" s="786"/>
      <c r="OUF141" s="786"/>
      <c r="OUG141" s="786"/>
      <c r="OUH141" s="786"/>
      <c r="OUI141" s="786"/>
      <c r="OUJ141" s="786"/>
      <c r="OUK141" s="786"/>
      <c r="OUL141" s="786"/>
      <c r="OUM141" s="786"/>
      <c r="OUN141" s="786"/>
      <c r="OUO141" s="786"/>
      <c r="OUP141" s="786"/>
      <c r="OUQ141" s="786"/>
      <c r="OUR141" s="786"/>
      <c r="OUS141" s="786"/>
      <c r="OUT141" s="786"/>
      <c r="OUU141" s="786"/>
      <c r="OUV141" s="786"/>
      <c r="OUW141" s="786"/>
      <c r="OUX141" s="786"/>
      <c r="OUY141" s="786"/>
      <c r="OUZ141" s="786"/>
      <c r="OVA141" s="786"/>
      <c r="OVB141" s="786"/>
      <c r="OVC141" s="786"/>
      <c r="OVD141" s="786"/>
      <c r="OVE141" s="786"/>
      <c r="OVF141" s="786"/>
      <c r="OVG141" s="786"/>
      <c r="OVH141" s="786"/>
      <c r="OVI141" s="786"/>
      <c r="OVJ141" s="786"/>
      <c r="OVK141" s="786"/>
      <c r="OVL141" s="786"/>
      <c r="OVM141" s="786"/>
      <c r="OVN141" s="786"/>
      <c r="OVO141" s="786"/>
      <c r="OVP141" s="786"/>
      <c r="OVQ141" s="786"/>
      <c r="OVR141" s="786"/>
      <c r="OVS141" s="786"/>
      <c r="OVT141" s="786"/>
      <c r="OVU141" s="786"/>
      <c r="OVV141" s="786"/>
      <c r="OVW141" s="786"/>
      <c r="OVX141" s="786"/>
      <c r="OVY141" s="786"/>
      <c r="OVZ141" s="786"/>
      <c r="OWA141" s="786"/>
      <c r="OWB141" s="786"/>
      <c r="OWC141" s="786"/>
      <c r="OWD141" s="786"/>
      <c r="OWE141" s="786"/>
      <c r="OWF141" s="786"/>
      <c r="OWG141" s="786"/>
      <c r="OWH141" s="786"/>
      <c r="OWI141" s="786"/>
      <c r="OWJ141" s="786"/>
      <c r="OWK141" s="786"/>
      <c r="OWL141" s="786"/>
      <c r="OWM141" s="786"/>
      <c r="OWN141" s="786"/>
      <c r="OWO141" s="786"/>
      <c r="OWP141" s="786"/>
      <c r="OWQ141" s="786"/>
      <c r="OWR141" s="786"/>
      <c r="OWS141" s="786"/>
      <c r="OWT141" s="786"/>
      <c r="OWU141" s="786"/>
      <c r="OWV141" s="786"/>
      <c r="OWW141" s="786"/>
      <c r="OWX141" s="786"/>
      <c r="OWY141" s="786"/>
      <c r="OWZ141" s="786"/>
      <c r="OXA141" s="786"/>
      <c r="OXB141" s="786"/>
      <c r="OXC141" s="786"/>
      <c r="OXD141" s="786"/>
      <c r="OXE141" s="786"/>
      <c r="OXF141" s="786"/>
      <c r="OXG141" s="786"/>
      <c r="OXH141" s="786"/>
      <c r="OXI141" s="786"/>
      <c r="OXJ141" s="786"/>
      <c r="OXK141" s="786"/>
      <c r="OXL141" s="786"/>
      <c r="OXM141" s="786"/>
      <c r="OXN141" s="786"/>
      <c r="OXO141" s="786"/>
      <c r="OXP141" s="786"/>
      <c r="OXQ141" s="786"/>
      <c r="OXR141" s="786"/>
      <c r="OXS141" s="786"/>
      <c r="OXT141" s="786"/>
      <c r="OXU141" s="786"/>
      <c r="OXV141" s="786"/>
      <c r="OXW141" s="786"/>
      <c r="OXX141" s="786"/>
      <c r="OXY141" s="786"/>
      <c r="OXZ141" s="786"/>
      <c r="OYA141" s="786"/>
      <c r="OYB141" s="786"/>
      <c r="OYC141" s="786"/>
      <c r="OYD141" s="786"/>
      <c r="OYE141" s="786"/>
      <c r="OYF141" s="786"/>
      <c r="OYG141" s="786"/>
      <c r="OYH141" s="786"/>
      <c r="OYI141" s="786"/>
      <c r="OYJ141" s="786"/>
      <c r="OYK141" s="786"/>
      <c r="OYL141" s="786"/>
      <c r="OYM141" s="786"/>
      <c r="OYN141" s="786"/>
      <c r="OYO141" s="786"/>
      <c r="OYP141" s="786"/>
      <c r="OYQ141" s="786"/>
      <c r="OYR141" s="786"/>
      <c r="OYS141" s="786"/>
      <c r="OYT141" s="786"/>
      <c r="OYU141" s="786"/>
      <c r="OYV141" s="786"/>
      <c r="OYW141" s="786"/>
      <c r="OYX141" s="786"/>
      <c r="OYY141" s="786"/>
      <c r="OYZ141" s="786"/>
      <c r="OZA141" s="786"/>
      <c r="OZB141" s="786"/>
      <c r="OZC141" s="786"/>
      <c r="OZD141" s="786"/>
      <c r="OZE141" s="786"/>
      <c r="OZF141" s="786"/>
      <c r="OZG141" s="786"/>
      <c r="OZH141" s="786"/>
      <c r="OZI141" s="786"/>
      <c r="OZJ141" s="786"/>
      <c r="OZK141" s="786"/>
      <c r="OZL141" s="786"/>
      <c r="OZM141" s="786"/>
      <c r="OZN141" s="786"/>
      <c r="OZO141" s="786"/>
      <c r="OZP141" s="786"/>
      <c r="OZQ141" s="786"/>
      <c r="OZR141" s="786"/>
      <c r="OZS141" s="786"/>
      <c r="OZT141" s="786"/>
      <c r="OZU141" s="786"/>
      <c r="OZV141" s="786"/>
      <c r="OZW141" s="786"/>
      <c r="OZX141" s="786"/>
      <c r="OZY141" s="786"/>
      <c r="OZZ141" s="786"/>
      <c r="PAA141" s="786"/>
      <c r="PAB141" s="786"/>
      <c r="PAC141" s="786"/>
      <c r="PAD141" s="786"/>
      <c r="PAE141" s="786"/>
      <c r="PAF141" s="786"/>
      <c r="PAG141" s="786"/>
      <c r="PAH141" s="786"/>
      <c r="PAI141" s="786"/>
      <c r="PAJ141" s="786"/>
      <c r="PAK141" s="786"/>
      <c r="PAL141" s="786"/>
      <c r="PAM141" s="786"/>
      <c r="PAN141" s="786"/>
      <c r="PAO141" s="786"/>
      <c r="PAP141" s="786"/>
      <c r="PAQ141" s="786"/>
      <c r="PAR141" s="786"/>
      <c r="PAS141" s="786"/>
      <c r="PAT141" s="786"/>
      <c r="PAU141" s="786"/>
      <c r="PAV141" s="786"/>
      <c r="PAW141" s="786"/>
      <c r="PAX141" s="786"/>
      <c r="PAY141" s="786"/>
      <c r="PAZ141" s="786"/>
      <c r="PBA141" s="786"/>
      <c r="PBB141" s="786"/>
      <c r="PBC141" s="786"/>
      <c r="PBD141" s="786"/>
      <c r="PBE141" s="786"/>
      <c r="PBF141" s="786"/>
      <c r="PBG141" s="786"/>
      <c r="PBH141" s="786"/>
      <c r="PBI141" s="786"/>
      <c r="PBJ141" s="786"/>
      <c r="PBK141" s="786"/>
      <c r="PBL141" s="786"/>
      <c r="PBM141" s="786"/>
      <c r="PBN141" s="786"/>
      <c r="PBO141" s="786"/>
      <c r="PBP141" s="786"/>
      <c r="PBQ141" s="786"/>
      <c r="PBR141" s="786"/>
      <c r="PBS141" s="786"/>
      <c r="PBT141" s="786"/>
      <c r="PBU141" s="786"/>
      <c r="PBV141" s="786"/>
      <c r="PBW141" s="786"/>
      <c r="PBX141" s="786"/>
      <c r="PBY141" s="786"/>
      <c r="PBZ141" s="786"/>
      <c r="PCA141" s="786"/>
      <c r="PCB141" s="786"/>
      <c r="PCC141" s="786"/>
      <c r="PCD141" s="786"/>
      <c r="PCE141" s="786"/>
      <c r="PCF141" s="786"/>
      <c r="PCG141" s="786"/>
      <c r="PCH141" s="786"/>
      <c r="PCI141" s="786"/>
      <c r="PCJ141" s="786"/>
      <c r="PCK141" s="786"/>
      <c r="PCL141" s="786"/>
      <c r="PCM141" s="786"/>
      <c r="PCN141" s="786"/>
      <c r="PCO141" s="786"/>
      <c r="PCP141" s="786"/>
      <c r="PCQ141" s="786"/>
      <c r="PCR141" s="786"/>
      <c r="PCS141" s="786"/>
      <c r="PCT141" s="786"/>
      <c r="PCU141" s="786"/>
      <c r="PCV141" s="786"/>
      <c r="PCW141" s="786"/>
      <c r="PCX141" s="786"/>
      <c r="PCY141" s="786"/>
      <c r="PCZ141" s="786"/>
      <c r="PDA141" s="786"/>
      <c r="PDB141" s="786"/>
      <c r="PDC141" s="786"/>
      <c r="PDD141" s="786"/>
      <c r="PDE141" s="786"/>
      <c r="PDF141" s="786"/>
      <c r="PDG141" s="786"/>
      <c r="PDH141" s="786"/>
      <c r="PDI141" s="786"/>
      <c r="PDJ141" s="786"/>
      <c r="PDK141" s="786"/>
      <c r="PDL141" s="786"/>
      <c r="PDM141" s="786"/>
      <c r="PDN141" s="786"/>
      <c r="PDO141" s="786"/>
      <c r="PDP141" s="786"/>
      <c r="PDQ141" s="786"/>
      <c r="PDR141" s="786"/>
      <c r="PDS141" s="786"/>
      <c r="PDT141" s="786"/>
      <c r="PDU141" s="786"/>
      <c r="PDV141" s="786"/>
      <c r="PDW141" s="786"/>
      <c r="PDX141" s="786"/>
      <c r="PDY141" s="786"/>
      <c r="PDZ141" s="786"/>
      <c r="PEA141" s="786"/>
      <c r="PEB141" s="786"/>
      <c r="PEC141" s="786"/>
      <c r="PED141" s="786"/>
      <c r="PEE141" s="786"/>
      <c r="PEF141" s="786"/>
      <c r="PEG141" s="786"/>
      <c r="PEH141" s="786"/>
      <c r="PEI141" s="786"/>
      <c r="PEJ141" s="786"/>
      <c r="PEK141" s="786"/>
      <c r="PEL141" s="786"/>
      <c r="PEM141" s="786"/>
      <c r="PEN141" s="786"/>
      <c r="PEO141" s="786"/>
      <c r="PEP141" s="786"/>
      <c r="PEQ141" s="786"/>
      <c r="PER141" s="786"/>
      <c r="PES141" s="786"/>
      <c r="PET141" s="786"/>
      <c r="PEU141" s="786"/>
      <c r="PEV141" s="786"/>
      <c r="PEW141" s="786"/>
      <c r="PEX141" s="786"/>
      <c r="PEY141" s="786"/>
      <c r="PEZ141" s="786"/>
      <c r="PFA141" s="786"/>
      <c r="PFB141" s="786"/>
      <c r="PFC141" s="786"/>
      <c r="PFD141" s="786"/>
      <c r="PFE141" s="786"/>
      <c r="PFF141" s="786"/>
      <c r="PFG141" s="786"/>
      <c r="PFH141" s="786"/>
      <c r="PFI141" s="786"/>
      <c r="PFJ141" s="786"/>
      <c r="PFK141" s="786"/>
      <c r="PFL141" s="786"/>
      <c r="PFM141" s="786"/>
      <c r="PFN141" s="786"/>
      <c r="PFO141" s="786"/>
      <c r="PFP141" s="786"/>
      <c r="PFQ141" s="786"/>
      <c r="PFR141" s="786"/>
      <c r="PFS141" s="786"/>
      <c r="PFT141" s="786"/>
      <c r="PFU141" s="786"/>
      <c r="PFV141" s="786"/>
      <c r="PFW141" s="786"/>
      <c r="PFX141" s="786"/>
      <c r="PFY141" s="786"/>
      <c r="PFZ141" s="786"/>
      <c r="PGA141" s="786"/>
      <c r="PGB141" s="786"/>
      <c r="PGC141" s="786"/>
      <c r="PGD141" s="786"/>
      <c r="PGE141" s="786"/>
      <c r="PGF141" s="786"/>
      <c r="PGG141" s="786"/>
      <c r="PGH141" s="786"/>
      <c r="PGI141" s="786"/>
      <c r="PGJ141" s="786"/>
      <c r="PGK141" s="786"/>
      <c r="PGL141" s="786"/>
      <c r="PGM141" s="786"/>
      <c r="PGN141" s="786"/>
      <c r="PGO141" s="786"/>
      <c r="PGP141" s="786"/>
      <c r="PGQ141" s="786"/>
      <c r="PGR141" s="786"/>
      <c r="PGS141" s="786"/>
      <c r="PGT141" s="786"/>
      <c r="PGU141" s="786"/>
      <c r="PGV141" s="786"/>
      <c r="PGW141" s="786"/>
      <c r="PGX141" s="786"/>
      <c r="PGY141" s="786"/>
      <c r="PGZ141" s="786"/>
      <c r="PHA141" s="786"/>
      <c r="PHB141" s="786"/>
      <c r="PHC141" s="786"/>
      <c r="PHD141" s="786"/>
      <c r="PHE141" s="786"/>
      <c r="PHF141" s="786"/>
      <c r="PHG141" s="786"/>
      <c r="PHH141" s="786"/>
      <c r="PHI141" s="786"/>
      <c r="PHJ141" s="786"/>
      <c r="PHK141" s="786"/>
      <c r="PHL141" s="786"/>
      <c r="PHM141" s="786"/>
      <c r="PHN141" s="786"/>
      <c r="PHO141" s="786"/>
      <c r="PHP141" s="786"/>
      <c r="PHQ141" s="786"/>
      <c r="PHR141" s="786"/>
      <c r="PHS141" s="786"/>
      <c r="PHT141" s="786"/>
      <c r="PHU141" s="786"/>
      <c r="PHV141" s="786"/>
      <c r="PHW141" s="786"/>
      <c r="PHX141" s="786"/>
      <c r="PHY141" s="786"/>
      <c r="PHZ141" s="786"/>
      <c r="PIA141" s="786"/>
      <c r="PIB141" s="786"/>
      <c r="PIC141" s="786"/>
      <c r="PID141" s="786"/>
      <c r="PIE141" s="786"/>
      <c r="PIF141" s="786"/>
      <c r="PIG141" s="786"/>
      <c r="PIH141" s="786"/>
      <c r="PII141" s="786"/>
      <c r="PIJ141" s="786"/>
      <c r="PIK141" s="786"/>
      <c r="PIL141" s="786"/>
      <c r="PIM141" s="786"/>
      <c r="PIN141" s="786"/>
      <c r="PIO141" s="786"/>
      <c r="PIP141" s="786"/>
      <c r="PIQ141" s="786"/>
      <c r="PIR141" s="786"/>
      <c r="PIS141" s="786"/>
      <c r="PIT141" s="786"/>
      <c r="PIU141" s="786"/>
      <c r="PIV141" s="786"/>
      <c r="PIW141" s="786"/>
      <c r="PIX141" s="786"/>
      <c r="PIY141" s="786"/>
      <c r="PIZ141" s="786"/>
      <c r="PJA141" s="786"/>
      <c r="PJB141" s="786"/>
      <c r="PJC141" s="786"/>
      <c r="PJD141" s="786"/>
      <c r="PJE141" s="786"/>
      <c r="PJF141" s="786"/>
      <c r="PJG141" s="786"/>
      <c r="PJH141" s="786"/>
      <c r="PJI141" s="786"/>
      <c r="PJJ141" s="786"/>
      <c r="PJK141" s="786"/>
      <c r="PJL141" s="786"/>
      <c r="PJM141" s="786"/>
      <c r="PJN141" s="786"/>
      <c r="PJO141" s="786"/>
      <c r="PJP141" s="786"/>
      <c r="PJQ141" s="786"/>
      <c r="PJR141" s="786"/>
      <c r="PJS141" s="786"/>
      <c r="PJT141" s="786"/>
      <c r="PJU141" s="786"/>
      <c r="PJV141" s="786"/>
      <c r="PJW141" s="786"/>
      <c r="PJX141" s="786"/>
      <c r="PJY141" s="786"/>
      <c r="PJZ141" s="786"/>
      <c r="PKA141" s="786"/>
      <c r="PKB141" s="786"/>
      <c r="PKC141" s="786"/>
      <c r="PKD141" s="786"/>
      <c r="PKE141" s="786"/>
      <c r="PKF141" s="786"/>
      <c r="PKG141" s="786"/>
      <c r="PKH141" s="786"/>
      <c r="PKI141" s="786"/>
      <c r="PKJ141" s="786"/>
      <c r="PKK141" s="786"/>
      <c r="PKL141" s="786"/>
      <c r="PKM141" s="786"/>
      <c r="PKN141" s="786"/>
      <c r="PKO141" s="786"/>
      <c r="PKP141" s="786"/>
      <c r="PKQ141" s="786"/>
      <c r="PKR141" s="786"/>
      <c r="PKS141" s="786"/>
      <c r="PKT141" s="786"/>
      <c r="PKU141" s="786"/>
      <c r="PKV141" s="786"/>
      <c r="PKW141" s="786"/>
      <c r="PKX141" s="786"/>
      <c r="PKY141" s="786"/>
      <c r="PKZ141" s="786"/>
      <c r="PLA141" s="786"/>
      <c r="PLB141" s="786"/>
      <c r="PLC141" s="786"/>
      <c r="PLD141" s="786"/>
      <c r="PLE141" s="786"/>
      <c r="PLF141" s="786"/>
      <c r="PLG141" s="786"/>
      <c r="PLH141" s="786"/>
      <c r="PLI141" s="786"/>
      <c r="PLJ141" s="786"/>
      <c r="PLK141" s="786"/>
      <c r="PLL141" s="786"/>
      <c r="PLM141" s="786"/>
      <c r="PLN141" s="786"/>
      <c r="PLO141" s="786"/>
      <c r="PLP141" s="786"/>
      <c r="PLQ141" s="786"/>
      <c r="PLR141" s="786"/>
      <c r="PLS141" s="786"/>
      <c r="PLT141" s="786"/>
      <c r="PLU141" s="786"/>
      <c r="PLV141" s="786"/>
      <c r="PLW141" s="786"/>
      <c r="PLX141" s="786"/>
      <c r="PLY141" s="786"/>
      <c r="PLZ141" s="786"/>
      <c r="PMA141" s="786"/>
      <c r="PMB141" s="786"/>
      <c r="PMC141" s="786"/>
      <c r="PMD141" s="786"/>
      <c r="PME141" s="786"/>
      <c r="PMF141" s="786"/>
      <c r="PMG141" s="786"/>
      <c r="PMH141" s="786"/>
      <c r="PMI141" s="786"/>
      <c r="PMJ141" s="786"/>
      <c r="PMK141" s="786"/>
      <c r="PML141" s="786"/>
      <c r="PMM141" s="786"/>
      <c r="PMN141" s="786"/>
      <c r="PMO141" s="786"/>
      <c r="PMP141" s="786"/>
      <c r="PMQ141" s="786"/>
      <c r="PMR141" s="786"/>
      <c r="PMS141" s="786"/>
      <c r="PMT141" s="786"/>
      <c r="PMU141" s="786"/>
      <c r="PMV141" s="786"/>
      <c r="PMW141" s="786"/>
      <c r="PMX141" s="786"/>
      <c r="PMY141" s="786"/>
      <c r="PMZ141" s="786"/>
      <c r="PNA141" s="786"/>
      <c r="PNB141" s="786"/>
      <c r="PNC141" s="786"/>
      <c r="PND141" s="786"/>
      <c r="PNE141" s="786"/>
      <c r="PNF141" s="786"/>
      <c r="PNG141" s="786"/>
      <c r="PNH141" s="786"/>
      <c r="PNI141" s="786"/>
      <c r="PNJ141" s="786"/>
      <c r="PNK141" s="786"/>
      <c r="PNL141" s="786"/>
      <c r="PNM141" s="786"/>
      <c r="PNN141" s="786"/>
      <c r="PNO141" s="786"/>
      <c r="PNP141" s="786"/>
      <c r="PNQ141" s="786"/>
      <c r="PNR141" s="786"/>
      <c r="PNS141" s="786"/>
      <c r="PNT141" s="786"/>
      <c r="PNU141" s="786"/>
      <c r="PNV141" s="786"/>
      <c r="PNW141" s="786"/>
      <c r="PNX141" s="786"/>
      <c r="PNY141" s="786"/>
      <c r="PNZ141" s="786"/>
      <c r="POA141" s="786"/>
      <c r="POB141" s="786"/>
      <c r="POC141" s="786"/>
      <c r="POD141" s="786"/>
      <c r="POE141" s="786"/>
      <c r="POF141" s="786"/>
      <c r="POG141" s="786"/>
      <c r="POH141" s="786"/>
      <c r="POI141" s="786"/>
      <c r="POJ141" s="786"/>
      <c r="POK141" s="786"/>
      <c r="POL141" s="786"/>
      <c r="POM141" s="786"/>
      <c r="PON141" s="786"/>
      <c r="POO141" s="786"/>
      <c r="POP141" s="786"/>
      <c r="POQ141" s="786"/>
      <c r="POR141" s="786"/>
      <c r="POS141" s="786"/>
      <c r="POT141" s="786"/>
      <c r="POU141" s="786"/>
      <c r="POV141" s="786"/>
      <c r="POW141" s="786"/>
      <c r="POX141" s="786"/>
      <c r="POY141" s="786"/>
      <c r="POZ141" s="786"/>
      <c r="PPA141" s="786"/>
      <c r="PPB141" s="786"/>
      <c r="PPC141" s="786"/>
      <c r="PPD141" s="786"/>
      <c r="PPE141" s="786"/>
      <c r="PPF141" s="786"/>
      <c r="PPG141" s="786"/>
      <c r="PPH141" s="786"/>
      <c r="PPI141" s="786"/>
      <c r="PPJ141" s="786"/>
      <c r="PPK141" s="786"/>
      <c r="PPL141" s="786"/>
      <c r="PPM141" s="786"/>
      <c r="PPN141" s="786"/>
      <c r="PPO141" s="786"/>
      <c r="PPP141" s="786"/>
      <c r="PPQ141" s="786"/>
      <c r="PPR141" s="786"/>
      <c r="PPS141" s="786"/>
      <c r="PPT141" s="786"/>
      <c r="PPU141" s="786"/>
      <c r="PPV141" s="786"/>
      <c r="PPW141" s="786"/>
      <c r="PPX141" s="786"/>
      <c r="PPY141" s="786"/>
      <c r="PPZ141" s="786"/>
      <c r="PQA141" s="786"/>
      <c r="PQB141" s="786"/>
      <c r="PQC141" s="786"/>
      <c r="PQD141" s="786"/>
      <c r="PQE141" s="786"/>
      <c r="PQF141" s="786"/>
      <c r="PQG141" s="786"/>
      <c r="PQH141" s="786"/>
      <c r="PQI141" s="786"/>
      <c r="PQJ141" s="786"/>
      <c r="PQK141" s="786"/>
      <c r="PQL141" s="786"/>
      <c r="PQM141" s="786"/>
      <c r="PQN141" s="786"/>
      <c r="PQO141" s="786"/>
      <c r="PQP141" s="786"/>
      <c r="PQQ141" s="786"/>
      <c r="PQR141" s="786"/>
      <c r="PQS141" s="786"/>
      <c r="PQT141" s="786"/>
      <c r="PQU141" s="786"/>
      <c r="PQV141" s="786"/>
      <c r="PQW141" s="786"/>
      <c r="PQX141" s="786"/>
      <c r="PQY141" s="786"/>
      <c r="PQZ141" s="786"/>
      <c r="PRA141" s="786"/>
      <c r="PRB141" s="786"/>
      <c r="PRC141" s="786"/>
      <c r="PRD141" s="786"/>
      <c r="PRE141" s="786"/>
      <c r="PRF141" s="786"/>
      <c r="PRG141" s="786"/>
      <c r="PRH141" s="786"/>
      <c r="PRI141" s="786"/>
      <c r="PRJ141" s="786"/>
      <c r="PRK141" s="786"/>
      <c r="PRL141" s="786"/>
      <c r="PRM141" s="786"/>
      <c r="PRN141" s="786"/>
      <c r="PRO141" s="786"/>
      <c r="PRP141" s="786"/>
      <c r="PRQ141" s="786"/>
      <c r="PRR141" s="786"/>
      <c r="PRS141" s="786"/>
      <c r="PRT141" s="786"/>
      <c r="PRU141" s="786"/>
      <c r="PRV141" s="786"/>
      <c r="PRW141" s="786"/>
      <c r="PRX141" s="786"/>
      <c r="PRY141" s="786"/>
      <c r="PRZ141" s="786"/>
      <c r="PSA141" s="786"/>
      <c r="PSB141" s="786"/>
      <c r="PSC141" s="786"/>
      <c r="PSD141" s="786"/>
      <c r="PSE141" s="786"/>
      <c r="PSF141" s="786"/>
      <c r="PSG141" s="786"/>
      <c r="PSH141" s="786"/>
      <c r="PSI141" s="786"/>
      <c r="PSJ141" s="786"/>
      <c r="PSK141" s="786"/>
      <c r="PSL141" s="786"/>
      <c r="PSM141" s="786"/>
      <c r="PSN141" s="786"/>
      <c r="PSO141" s="786"/>
      <c r="PSP141" s="786"/>
      <c r="PSQ141" s="786"/>
      <c r="PSR141" s="786"/>
      <c r="PSS141" s="786"/>
      <c r="PST141" s="786"/>
      <c r="PSU141" s="786"/>
      <c r="PSV141" s="786"/>
      <c r="PSW141" s="786"/>
      <c r="PSX141" s="786"/>
      <c r="PSY141" s="786"/>
      <c r="PSZ141" s="786"/>
      <c r="PTA141" s="786"/>
      <c r="PTB141" s="786"/>
      <c r="PTC141" s="786"/>
      <c r="PTD141" s="786"/>
      <c r="PTE141" s="786"/>
      <c r="PTF141" s="786"/>
      <c r="PTG141" s="786"/>
      <c r="PTH141" s="786"/>
      <c r="PTI141" s="786"/>
      <c r="PTJ141" s="786"/>
      <c r="PTK141" s="786"/>
      <c r="PTL141" s="786"/>
      <c r="PTM141" s="786"/>
      <c r="PTN141" s="786"/>
      <c r="PTO141" s="786"/>
      <c r="PTP141" s="786"/>
      <c r="PTQ141" s="786"/>
      <c r="PTR141" s="786"/>
      <c r="PTS141" s="786"/>
      <c r="PTT141" s="786"/>
      <c r="PTU141" s="786"/>
      <c r="PTV141" s="786"/>
      <c r="PTW141" s="786"/>
      <c r="PTX141" s="786"/>
      <c r="PTY141" s="786"/>
      <c r="PTZ141" s="786"/>
      <c r="PUA141" s="786"/>
      <c r="PUB141" s="786"/>
      <c r="PUC141" s="786"/>
      <c r="PUD141" s="786"/>
      <c r="PUE141" s="786"/>
      <c r="PUF141" s="786"/>
      <c r="PUG141" s="786"/>
      <c r="PUH141" s="786"/>
      <c r="PUI141" s="786"/>
      <c r="PUJ141" s="786"/>
      <c r="PUK141" s="786"/>
      <c r="PUL141" s="786"/>
      <c r="PUM141" s="786"/>
      <c r="PUN141" s="786"/>
      <c r="PUO141" s="786"/>
      <c r="PUP141" s="786"/>
      <c r="PUQ141" s="786"/>
      <c r="PUR141" s="786"/>
      <c r="PUS141" s="786"/>
      <c r="PUT141" s="786"/>
      <c r="PUU141" s="786"/>
      <c r="PUV141" s="786"/>
      <c r="PUW141" s="786"/>
      <c r="PUX141" s="786"/>
      <c r="PUY141" s="786"/>
      <c r="PUZ141" s="786"/>
      <c r="PVA141" s="786"/>
      <c r="PVB141" s="786"/>
      <c r="PVC141" s="786"/>
      <c r="PVD141" s="786"/>
      <c r="PVE141" s="786"/>
      <c r="PVF141" s="786"/>
      <c r="PVG141" s="786"/>
      <c r="PVH141" s="786"/>
      <c r="PVI141" s="786"/>
      <c r="PVJ141" s="786"/>
      <c r="PVK141" s="786"/>
      <c r="PVL141" s="786"/>
      <c r="PVM141" s="786"/>
      <c r="PVN141" s="786"/>
      <c r="PVO141" s="786"/>
      <c r="PVP141" s="786"/>
      <c r="PVQ141" s="786"/>
      <c r="PVR141" s="786"/>
      <c r="PVS141" s="786"/>
      <c r="PVT141" s="786"/>
      <c r="PVU141" s="786"/>
      <c r="PVV141" s="786"/>
      <c r="PVW141" s="786"/>
      <c r="PVX141" s="786"/>
      <c r="PVY141" s="786"/>
      <c r="PVZ141" s="786"/>
      <c r="PWA141" s="786"/>
      <c r="PWB141" s="786"/>
      <c r="PWC141" s="786"/>
      <c r="PWD141" s="786"/>
      <c r="PWE141" s="786"/>
      <c r="PWF141" s="786"/>
      <c r="PWG141" s="786"/>
      <c r="PWH141" s="786"/>
      <c r="PWI141" s="786"/>
      <c r="PWJ141" s="786"/>
      <c r="PWK141" s="786"/>
      <c r="PWL141" s="786"/>
      <c r="PWM141" s="786"/>
      <c r="PWN141" s="786"/>
      <c r="PWO141" s="786"/>
      <c r="PWP141" s="786"/>
      <c r="PWQ141" s="786"/>
      <c r="PWR141" s="786"/>
      <c r="PWS141" s="786"/>
      <c r="PWT141" s="786"/>
      <c r="PWU141" s="786"/>
      <c r="PWV141" s="786"/>
      <c r="PWW141" s="786"/>
      <c r="PWX141" s="786"/>
      <c r="PWY141" s="786"/>
      <c r="PWZ141" s="786"/>
      <c r="PXA141" s="786"/>
      <c r="PXB141" s="786"/>
      <c r="PXC141" s="786"/>
      <c r="PXD141" s="786"/>
      <c r="PXE141" s="786"/>
      <c r="PXF141" s="786"/>
      <c r="PXG141" s="786"/>
      <c r="PXH141" s="786"/>
      <c r="PXI141" s="786"/>
      <c r="PXJ141" s="786"/>
      <c r="PXK141" s="786"/>
      <c r="PXL141" s="786"/>
      <c r="PXM141" s="786"/>
      <c r="PXN141" s="786"/>
      <c r="PXO141" s="786"/>
      <c r="PXP141" s="786"/>
      <c r="PXQ141" s="786"/>
      <c r="PXR141" s="786"/>
      <c r="PXS141" s="786"/>
      <c r="PXT141" s="786"/>
      <c r="PXU141" s="786"/>
      <c r="PXV141" s="786"/>
      <c r="PXW141" s="786"/>
      <c r="PXX141" s="786"/>
      <c r="PXY141" s="786"/>
      <c r="PXZ141" s="786"/>
      <c r="PYA141" s="786"/>
      <c r="PYB141" s="786"/>
      <c r="PYC141" s="786"/>
      <c r="PYD141" s="786"/>
      <c r="PYE141" s="786"/>
      <c r="PYF141" s="786"/>
      <c r="PYG141" s="786"/>
      <c r="PYH141" s="786"/>
      <c r="PYI141" s="786"/>
      <c r="PYJ141" s="786"/>
      <c r="PYK141" s="786"/>
      <c r="PYL141" s="786"/>
      <c r="PYM141" s="786"/>
      <c r="PYN141" s="786"/>
      <c r="PYO141" s="786"/>
      <c r="PYP141" s="786"/>
      <c r="PYQ141" s="786"/>
      <c r="PYR141" s="786"/>
      <c r="PYS141" s="786"/>
      <c r="PYT141" s="786"/>
      <c r="PYU141" s="786"/>
      <c r="PYV141" s="786"/>
      <c r="PYW141" s="786"/>
      <c r="PYX141" s="786"/>
      <c r="PYY141" s="786"/>
      <c r="PYZ141" s="786"/>
      <c r="PZA141" s="786"/>
      <c r="PZB141" s="786"/>
      <c r="PZC141" s="786"/>
      <c r="PZD141" s="786"/>
      <c r="PZE141" s="786"/>
      <c r="PZF141" s="786"/>
      <c r="PZG141" s="786"/>
      <c r="PZH141" s="786"/>
      <c r="PZI141" s="786"/>
      <c r="PZJ141" s="786"/>
      <c r="PZK141" s="786"/>
      <c r="PZL141" s="786"/>
      <c r="PZM141" s="786"/>
      <c r="PZN141" s="786"/>
      <c r="PZO141" s="786"/>
      <c r="PZP141" s="786"/>
      <c r="PZQ141" s="786"/>
      <c r="PZR141" s="786"/>
      <c r="PZS141" s="786"/>
      <c r="PZT141" s="786"/>
      <c r="PZU141" s="786"/>
      <c r="PZV141" s="786"/>
      <c r="PZW141" s="786"/>
      <c r="PZX141" s="786"/>
      <c r="PZY141" s="786"/>
      <c r="PZZ141" s="786"/>
      <c r="QAA141" s="786"/>
      <c r="QAB141" s="786"/>
      <c r="QAC141" s="786"/>
      <c r="QAD141" s="786"/>
      <c r="QAE141" s="786"/>
      <c r="QAF141" s="786"/>
      <c r="QAG141" s="786"/>
      <c r="QAH141" s="786"/>
      <c r="QAI141" s="786"/>
      <c r="QAJ141" s="786"/>
      <c r="QAK141" s="786"/>
      <c r="QAL141" s="786"/>
      <c r="QAM141" s="786"/>
      <c r="QAN141" s="786"/>
      <c r="QAO141" s="786"/>
      <c r="QAP141" s="786"/>
      <c r="QAQ141" s="786"/>
      <c r="QAR141" s="786"/>
      <c r="QAS141" s="786"/>
      <c r="QAT141" s="786"/>
      <c r="QAU141" s="786"/>
      <c r="QAV141" s="786"/>
      <c r="QAW141" s="786"/>
      <c r="QAX141" s="786"/>
      <c r="QAY141" s="786"/>
      <c r="QAZ141" s="786"/>
      <c r="QBA141" s="786"/>
      <c r="QBB141" s="786"/>
      <c r="QBC141" s="786"/>
      <c r="QBD141" s="786"/>
      <c r="QBE141" s="786"/>
      <c r="QBF141" s="786"/>
      <c r="QBG141" s="786"/>
      <c r="QBH141" s="786"/>
      <c r="QBI141" s="786"/>
      <c r="QBJ141" s="786"/>
      <c r="QBK141" s="786"/>
      <c r="QBL141" s="786"/>
      <c r="QBM141" s="786"/>
      <c r="QBN141" s="786"/>
      <c r="QBO141" s="786"/>
      <c r="QBP141" s="786"/>
      <c r="QBQ141" s="786"/>
      <c r="QBR141" s="786"/>
      <c r="QBS141" s="786"/>
      <c r="QBT141" s="786"/>
      <c r="QBU141" s="786"/>
      <c r="QBV141" s="786"/>
      <c r="QBW141" s="786"/>
      <c r="QBX141" s="786"/>
      <c r="QBY141" s="786"/>
      <c r="QBZ141" s="786"/>
      <c r="QCA141" s="786"/>
      <c r="QCB141" s="786"/>
      <c r="QCC141" s="786"/>
      <c r="QCD141" s="786"/>
      <c r="QCE141" s="786"/>
      <c r="QCF141" s="786"/>
      <c r="QCG141" s="786"/>
      <c r="QCH141" s="786"/>
      <c r="QCI141" s="786"/>
      <c r="QCJ141" s="786"/>
      <c r="QCK141" s="786"/>
      <c r="QCL141" s="786"/>
      <c r="QCM141" s="786"/>
      <c r="QCN141" s="786"/>
      <c r="QCO141" s="786"/>
      <c r="QCP141" s="786"/>
      <c r="QCQ141" s="786"/>
      <c r="QCR141" s="786"/>
      <c r="QCS141" s="786"/>
      <c r="QCT141" s="786"/>
      <c r="QCU141" s="786"/>
      <c r="QCV141" s="786"/>
      <c r="QCW141" s="786"/>
      <c r="QCX141" s="786"/>
      <c r="QCY141" s="786"/>
      <c r="QCZ141" s="786"/>
      <c r="QDA141" s="786"/>
      <c r="QDB141" s="786"/>
      <c r="QDC141" s="786"/>
      <c r="QDD141" s="786"/>
      <c r="QDE141" s="786"/>
      <c r="QDF141" s="786"/>
      <c r="QDG141" s="786"/>
      <c r="QDH141" s="786"/>
      <c r="QDI141" s="786"/>
      <c r="QDJ141" s="786"/>
      <c r="QDK141" s="786"/>
      <c r="QDL141" s="786"/>
      <c r="QDM141" s="786"/>
      <c r="QDN141" s="786"/>
      <c r="QDO141" s="786"/>
      <c r="QDP141" s="786"/>
      <c r="QDQ141" s="786"/>
      <c r="QDR141" s="786"/>
      <c r="QDS141" s="786"/>
      <c r="QDT141" s="786"/>
      <c r="QDU141" s="786"/>
      <c r="QDV141" s="786"/>
      <c r="QDW141" s="786"/>
      <c r="QDX141" s="786"/>
      <c r="QDY141" s="786"/>
      <c r="QDZ141" s="786"/>
      <c r="QEA141" s="786"/>
      <c r="QEB141" s="786"/>
      <c r="QEC141" s="786"/>
      <c r="QED141" s="786"/>
      <c r="QEE141" s="786"/>
      <c r="QEF141" s="786"/>
      <c r="QEG141" s="786"/>
      <c r="QEH141" s="786"/>
      <c r="QEI141" s="786"/>
      <c r="QEJ141" s="786"/>
      <c r="QEK141" s="786"/>
      <c r="QEL141" s="786"/>
      <c r="QEM141" s="786"/>
      <c r="QEN141" s="786"/>
      <c r="QEO141" s="786"/>
      <c r="QEP141" s="786"/>
      <c r="QEQ141" s="786"/>
      <c r="QER141" s="786"/>
      <c r="QES141" s="786"/>
      <c r="QET141" s="786"/>
      <c r="QEU141" s="786"/>
      <c r="QEV141" s="786"/>
      <c r="QEW141" s="786"/>
      <c r="QEX141" s="786"/>
      <c r="QEY141" s="786"/>
      <c r="QEZ141" s="786"/>
      <c r="QFA141" s="786"/>
      <c r="QFB141" s="786"/>
      <c r="QFC141" s="786"/>
      <c r="QFD141" s="786"/>
      <c r="QFE141" s="786"/>
      <c r="QFF141" s="786"/>
      <c r="QFG141" s="786"/>
      <c r="QFH141" s="786"/>
      <c r="QFI141" s="786"/>
      <c r="QFJ141" s="786"/>
      <c r="QFK141" s="786"/>
      <c r="QFL141" s="786"/>
      <c r="QFM141" s="786"/>
      <c r="QFN141" s="786"/>
      <c r="QFO141" s="786"/>
      <c r="QFP141" s="786"/>
      <c r="QFQ141" s="786"/>
      <c r="QFR141" s="786"/>
      <c r="QFS141" s="786"/>
      <c r="QFT141" s="786"/>
      <c r="QFU141" s="786"/>
      <c r="QFV141" s="786"/>
      <c r="QFW141" s="786"/>
      <c r="QFX141" s="786"/>
      <c r="QFY141" s="786"/>
      <c r="QFZ141" s="786"/>
      <c r="QGA141" s="786"/>
      <c r="QGB141" s="786"/>
      <c r="QGC141" s="786"/>
      <c r="QGD141" s="786"/>
      <c r="QGE141" s="786"/>
      <c r="QGF141" s="786"/>
      <c r="QGG141" s="786"/>
      <c r="QGH141" s="786"/>
      <c r="QGI141" s="786"/>
      <c r="QGJ141" s="786"/>
      <c r="QGK141" s="786"/>
      <c r="QGL141" s="786"/>
      <c r="QGM141" s="786"/>
      <c r="QGN141" s="786"/>
      <c r="QGO141" s="786"/>
      <c r="QGP141" s="786"/>
      <c r="QGQ141" s="786"/>
      <c r="QGR141" s="786"/>
      <c r="QGS141" s="786"/>
      <c r="QGT141" s="786"/>
      <c r="QGU141" s="786"/>
      <c r="QGV141" s="786"/>
      <c r="QGW141" s="786"/>
      <c r="QGX141" s="786"/>
      <c r="QGY141" s="786"/>
      <c r="QGZ141" s="786"/>
      <c r="QHA141" s="786"/>
      <c r="QHB141" s="786"/>
      <c r="QHC141" s="786"/>
      <c r="QHD141" s="786"/>
      <c r="QHE141" s="786"/>
      <c r="QHF141" s="786"/>
      <c r="QHG141" s="786"/>
      <c r="QHH141" s="786"/>
      <c r="QHI141" s="786"/>
      <c r="QHJ141" s="786"/>
      <c r="QHK141" s="786"/>
      <c r="QHL141" s="786"/>
      <c r="QHM141" s="786"/>
      <c r="QHN141" s="786"/>
      <c r="QHO141" s="786"/>
      <c r="QHP141" s="786"/>
      <c r="QHQ141" s="786"/>
      <c r="QHR141" s="786"/>
      <c r="QHS141" s="786"/>
      <c r="QHT141" s="786"/>
      <c r="QHU141" s="786"/>
      <c r="QHV141" s="786"/>
      <c r="QHW141" s="786"/>
      <c r="QHX141" s="786"/>
      <c r="QHY141" s="786"/>
      <c r="QHZ141" s="786"/>
      <c r="QIA141" s="786"/>
      <c r="QIB141" s="786"/>
      <c r="QIC141" s="786"/>
      <c r="QID141" s="786"/>
      <c r="QIE141" s="786"/>
      <c r="QIF141" s="786"/>
      <c r="QIG141" s="786"/>
      <c r="QIH141" s="786"/>
      <c r="QII141" s="786"/>
      <c r="QIJ141" s="786"/>
      <c r="QIK141" s="786"/>
      <c r="QIL141" s="786"/>
      <c r="QIM141" s="786"/>
      <c r="QIN141" s="786"/>
      <c r="QIO141" s="786"/>
      <c r="QIP141" s="786"/>
      <c r="QIQ141" s="786"/>
      <c r="QIR141" s="786"/>
      <c r="QIS141" s="786"/>
      <c r="QIT141" s="786"/>
      <c r="QIU141" s="786"/>
      <c r="QIV141" s="786"/>
      <c r="QIW141" s="786"/>
      <c r="QIX141" s="786"/>
      <c r="QIY141" s="786"/>
      <c r="QIZ141" s="786"/>
      <c r="QJA141" s="786"/>
      <c r="QJB141" s="786"/>
      <c r="QJC141" s="786"/>
      <c r="QJD141" s="786"/>
      <c r="QJE141" s="786"/>
      <c r="QJF141" s="786"/>
      <c r="QJG141" s="786"/>
      <c r="QJH141" s="786"/>
      <c r="QJI141" s="786"/>
      <c r="QJJ141" s="786"/>
      <c r="QJK141" s="786"/>
      <c r="QJL141" s="786"/>
      <c r="QJM141" s="786"/>
      <c r="QJN141" s="786"/>
      <c r="QJO141" s="786"/>
      <c r="QJP141" s="786"/>
      <c r="QJQ141" s="786"/>
      <c r="QJR141" s="786"/>
      <c r="QJS141" s="786"/>
      <c r="QJT141" s="786"/>
      <c r="QJU141" s="786"/>
      <c r="QJV141" s="786"/>
      <c r="QJW141" s="786"/>
      <c r="QJX141" s="786"/>
      <c r="QJY141" s="786"/>
      <c r="QJZ141" s="786"/>
      <c r="QKA141" s="786"/>
      <c r="QKB141" s="786"/>
      <c r="QKC141" s="786"/>
      <c r="QKD141" s="786"/>
      <c r="QKE141" s="786"/>
      <c r="QKF141" s="786"/>
      <c r="QKG141" s="786"/>
      <c r="QKH141" s="786"/>
      <c r="QKI141" s="786"/>
      <c r="QKJ141" s="786"/>
      <c r="QKK141" s="786"/>
      <c r="QKL141" s="786"/>
      <c r="QKM141" s="786"/>
      <c r="QKN141" s="786"/>
      <c r="QKO141" s="786"/>
      <c r="QKP141" s="786"/>
      <c r="QKQ141" s="786"/>
      <c r="QKR141" s="786"/>
      <c r="QKS141" s="786"/>
      <c r="QKT141" s="786"/>
      <c r="QKU141" s="786"/>
      <c r="QKV141" s="786"/>
      <c r="QKW141" s="786"/>
      <c r="QKX141" s="786"/>
      <c r="QKY141" s="786"/>
      <c r="QKZ141" s="786"/>
      <c r="QLA141" s="786"/>
      <c r="QLB141" s="786"/>
      <c r="QLC141" s="786"/>
      <c r="QLD141" s="786"/>
      <c r="QLE141" s="786"/>
      <c r="QLF141" s="786"/>
      <c r="QLG141" s="786"/>
      <c r="QLH141" s="786"/>
      <c r="QLI141" s="786"/>
      <c r="QLJ141" s="786"/>
      <c r="QLK141" s="786"/>
      <c r="QLL141" s="786"/>
      <c r="QLM141" s="786"/>
      <c r="QLN141" s="786"/>
      <c r="QLO141" s="786"/>
      <c r="QLP141" s="786"/>
      <c r="QLQ141" s="786"/>
      <c r="QLR141" s="786"/>
      <c r="QLS141" s="786"/>
      <c r="QLT141" s="786"/>
      <c r="QLU141" s="786"/>
      <c r="QLV141" s="786"/>
      <c r="QLW141" s="786"/>
      <c r="QLX141" s="786"/>
      <c r="QLY141" s="786"/>
      <c r="QLZ141" s="786"/>
      <c r="QMA141" s="786"/>
      <c r="QMB141" s="786"/>
      <c r="QMC141" s="786"/>
      <c r="QMD141" s="786"/>
      <c r="QME141" s="786"/>
      <c r="QMF141" s="786"/>
      <c r="QMG141" s="786"/>
      <c r="QMH141" s="786"/>
      <c r="QMI141" s="786"/>
      <c r="QMJ141" s="786"/>
      <c r="QMK141" s="786"/>
      <c r="QML141" s="786"/>
      <c r="QMM141" s="786"/>
      <c r="QMN141" s="786"/>
      <c r="QMO141" s="786"/>
      <c r="QMP141" s="786"/>
      <c r="QMQ141" s="786"/>
      <c r="QMR141" s="786"/>
      <c r="QMS141" s="786"/>
      <c r="QMT141" s="786"/>
      <c r="QMU141" s="786"/>
      <c r="QMV141" s="786"/>
      <c r="QMW141" s="786"/>
      <c r="QMX141" s="786"/>
      <c r="QMY141" s="786"/>
      <c r="QMZ141" s="786"/>
      <c r="QNA141" s="786"/>
      <c r="QNB141" s="786"/>
      <c r="QNC141" s="786"/>
      <c r="QND141" s="786"/>
      <c r="QNE141" s="786"/>
      <c r="QNF141" s="786"/>
      <c r="QNG141" s="786"/>
      <c r="QNH141" s="786"/>
      <c r="QNI141" s="786"/>
      <c r="QNJ141" s="786"/>
      <c r="QNK141" s="786"/>
      <c r="QNL141" s="786"/>
      <c r="QNM141" s="786"/>
      <c r="QNN141" s="786"/>
      <c r="QNO141" s="786"/>
      <c r="QNP141" s="786"/>
      <c r="QNQ141" s="786"/>
      <c r="QNR141" s="786"/>
      <c r="QNS141" s="786"/>
      <c r="QNT141" s="786"/>
      <c r="QNU141" s="786"/>
      <c r="QNV141" s="786"/>
      <c r="QNW141" s="786"/>
      <c r="QNX141" s="786"/>
      <c r="QNY141" s="786"/>
      <c r="QNZ141" s="786"/>
      <c r="QOA141" s="786"/>
      <c r="QOB141" s="786"/>
      <c r="QOC141" s="786"/>
      <c r="QOD141" s="786"/>
      <c r="QOE141" s="786"/>
      <c r="QOF141" s="786"/>
      <c r="QOG141" s="786"/>
      <c r="QOH141" s="786"/>
      <c r="QOI141" s="786"/>
      <c r="QOJ141" s="786"/>
      <c r="QOK141" s="786"/>
      <c r="QOL141" s="786"/>
      <c r="QOM141" s="786"/>
      <c r="QON141" s="786"/>
      <c r="QOO141" s="786"/>
      <c r="QOP141" s="786"/>
      <c r="QOQ141" s="786"/>
      <c r="QOR141" s="786"/>
      <c r="QOS141" s="786"/>
      <c r="QOT141" s="786"/>
      <c r="QOU141" s="786"/>
      <c r="QOV141" s="786"/>
      <c r="QOW141" s="786"/>
      <c r="QOX141" s="786"/>
      <c r="QOY141" s="786"/>
      <c r="QOZ141" s="786"/>
      <c r="QPA141" s="786"/>
      <c r="QPB141" s="786"/>
      <c r="QPC141" s="786"/>
      <c r="QPD141" s="786"/>
      <c r="QPE141" s="786"/>
      <c r="QPF141" s="786"/>
      <c r="QPG141" s="786"/>
      <c r="QPH141" s="786"/>
      <c r="QPI141" s="786"/>
      <c r="QPJ141" s="786"/>
      <c r="QPK141" s="786"/>
      <c r="QPL141" s="786"/>
      <c r="QPM141" s="786"/>
      <c r="QPN141" s="786"/>
      <c r="QPO141" s="786"/>
      <c r="QPP141" s="786"/>
      <c r="QPQ141" s="786"/>
      <c r="QPR141" s="786"/>
      <c r="QPS141" s="786"/>
      <c r="QPT141" s="786"/>
      <c r="QPU141" s="786"/>
      <c r="QPV141" s="786"/>
      <c r="QPW141" s="786"/>
      <c r="QPX141" s="786"/>
      <c r="QPY141" s="786"/>
      <c r="QPZ141" s="786"/>
      <c r="QQA141" s="786"/>
      <c r="QQB141" s="786"/>
      <c r="QQC141" s="786"/>
      <c r="QQD141" s="786"/>
      <c r="QQE141" s="786"/>
      <c r="QQF141" s="786"/>
      <c r="QQG141" s="786"/>
      <c r="QQH141" s="786"/>
      <c r="QQI141" s="786"/>
      <c r="QQJ141" s="786"/>
      <c r="QQK141" s="786"/>
      <c r="QQL141" s="786"/>
      <c r="QQM141" s="786"/>
      <c r="QQN141" s="786"/>
      <c r="QQO141" s="786"/>
      <c r="QQP141" s="786"/>
      <c r="QQQ141" s="786"/>
      <c r="QQR141" s="786"/>
      <c r="QQS141" s="786"/>
      <c r="QQT141" s="786"/>
      <c r="QQU141" s="786"/>
      <c r="QQV141" s="786"/>
      <c r="QQW141" s="786"/>
      <c r="QQX141" s="786"/>
      <c r="QQY141" s="786"/>
      <c r="QQZ141" s="786"/>
      <c r="QRA141" s="786"/>
      <c r="QRB141" s="786"/>
      <c r="QRC141" s="786"/>
      <c r="QRD141" s="786"/>
      <c r="QRE141" s="786"/>
      <c r="QRF141" s="786"/>
      <c r="QRG141" s="786"/>
      <c r="QRH141" s="786"/>
      <c r="QRI141" s="786"/>
      <c r="QRJ141" s="786"/>
      <c r="QRK141" s="786"/>
      <c r="QRL141" s="786"/>
      <c r="QRM141" s="786"/>
      <c r="QRN141" s="786"/>
      <c r="QRO141" s="786"/>
      <c r="QRP141" s="786"/>
      <c r="QRQ141" s="786"/>
      <c r="QRR141" s="786"/>
      <c r="QRS141" s="786"/>
      <c r="QRT141" s="786"/>
      <c r="QRU141" s="786"/>
      <c r="QRV141" s="786"/>
      <c r="QRW141" s="786"/>
      <c r="QRX141" s="786"/>
      <c r="QRY141" s="786"/>
      <c r="QRZ141" s="786"/>
      <c r="QSA141" s="786"/>
      <c r="QSB141" s="786"/>
      <c r="QSC141" s="786"/>
      <c r="QSD141" s="786"/>
      <c r="QSE141" s="786"/>
      <c r="QSF141" s="786"/>
      <c r="QSG141" s="786"/>
      <c r="QSH141" s="786"/>
      <c r="QSI141" s="786"/>
      <c r="QSJ141" s="786"/>
      <c r="QSK141" s="786"/>
      <c r="QSL141" s="786"/>
      <c r="QSM141" s="786"/>
      <c r="QSN141" s="786"/>
      <c r="QSO141" s="786"/>
      <c r="QSP141" s="786"/>
      <c r="QSQ141" s="786"/>
      <c r="QSR141" s="786"/>
      <c r="QSS141" s="786"/>
      <c r="QST141" s="786"/>
      <c r="QSU141" s="786"/>
      <c r="QSV141" s="786"/>
      <c r="QSW141" s="786"/>
      <c r="QSX141" s="786"/>
      <c r="QSY141" s="786"/>
      <c r="QSZ141" s="786"/>
      <c r="QTA141" s="786"/>
      <c r="QTB141" s="786"/>
      <c r="QTC141" s="786"/>
      <c r="QTD141" s="786"/>
      <c r="QTE141" s="786"/>
      <c r="QTF141" s="786"/>
      <c r="QTG141" s="786"/>
      <c r="QTH141" s="786"/>
      <c r="QTI141" s="786"/>
      <c r="QTJ141" s="786"/>
      <c r="QTK141" s="786"/>
      <c r="QTL141" s="786"/>
      <c r="QTM141" s="786"/>
      <c r="QTN141" s="786"/>
      <c r="QTO141" s="786"/>
      <c r="QTP141" s="786"/>
      <c r="QTQ141" s="786"/>
      <c r="QTR141" s="786"/>
      <c r="QTS141" s="786"/>
      <c r="QTT141" s="786"/>
      <c r="QTU141" s="786"/>
      <c r="QTV141" s="786"/>
      <c r="QTW141" s="786"/>
      <c r="QTX141" s="786"/>
      <c r="QTY141" s="786"/>
      <c r="QTZ141" s="786"/>
      <c r="QUA141" s="786"/>
      <c r="QUB141" s="786"/>
      <c r="QUC141" s="786"/>
      <c r="QUD141" s="786"/>
      <c r="QUE141" s="786"/>
      <c r="QUF141" s="786"/>
      <c r="QUG141" s="786"/>
      <c r="QUH141" s="786"/>
      <c r="QUI141" s="786"/>
      <c r="QUJ141" s="786"/>
      <c r="QUK141" s="786"/>
      <c r="QUL141" s="786"/>
      <c r="QUM141" s="786"/>
      <c r="QUN141" s="786"/>
      <c r="QUO141" s="786"/>
      <c r="QUP141" s="786"/>
      <c r="QUQ141" s="786"/>
      <c r="QUR141" s="786"/>
      <c r="QUS141" s="786"/>
      <c r="QUT141" s="786"/>
      <c r="QUU141" s="786"/>
      <c r="QUV141" s="786"/>
      <c r="QUW141" s="786"/>
      <c r="QUX141" s="786"/>
      <c r="QUY141" s="786"/>
      <c r="QUZ141" s="786"/>
      <c r="QVA141" s="786"/>
      <c r="QVB141" s="786"/>
      <c r="QVC141" s="786"/>
      <c r="QVD141" s="786"/>
      <c r="QVE141" s="786"/>
      <c r="QVF141" s="786"/>
      <c r="QVG141" s="786"/>
      <c r="QVH141" s="786"/>
      <c r="QVI141" s="786"/>
      <c r="QVJ141" s="786"/>
      <c r="QVK141" s="786"/>
      <c r="QVL141" s="786"/>
      <c r="QVM141" s="786"/>
      <c r="QVN141" s="786"/>
      <c r="QVO141" s="786"/>
      <c r="QVP141" s="786"/>
      <c r="QVQ141" s="786"/>
      <c r="QVR141" s="786"/>
      <c r="QVS141" s="786"/>
      <c r="QVT141" s="786"/>
      <c r="QVU141" s="786"/>
      <c r="QVV141" s="786"/>
      <c r="QVW141" s="786"/>
      <c r="QVX141" s="786"/>
      <c r="QVY141" s="786"/>
      <c r="QVZ141" s="786"/>
      <c r="QWA141" s="786"/>
      <c r="QWB141" s="786"/>
      <c r="QWC141" s="786"/>
      <c r="QWD141" s="786"/>
      <c r="QWE141" s="786"/>
      <c r="QWF141" s="786"/>
      <c r="QWG141" s="786"/>
      <c r="QWH141" s="786"/>
      <c r="QWI141" s="786"/>
      <c r="QWJ141" s="786"/>
      <c r="QWK141" s="786"/>
      <c r="QWL141" s="786"/>
      <c r="QWM141" s="786"/>
      <c r="QWN141" s="786"/>
      <c r="QWO141" s="786"/>
      <c r="QWP141" s="786"/>
      <c r="QWQ141" s="786"/>
      <c r="QWR141" s="786"/>
      <c r="QWS141" s="786"/>
      <c r="QWT141" s="786"/>
      <c r="QWU141" s="786"/>
      <c r="QWV141" s="786"/>
      <c r="QWW141" s="786"/>
      <c r="QWX141" s="786"/>
      <c r="QWY141" s="786"/>
      <c r="QWZ141" s="786"/>
      <c r="QXA141" s="786"/>
      <c r="QXB141" s="786"/>
      <c r="QXC141" s="786"/>
      <c r="QXD141" s="786"/>
      <c r="QXE141" s="786"/>
      <c r="QXF141" s="786"/>
      <c r="QXG141" s="786"/>
      <c r="QXH141" s="786"/>
      <c r="QXI141" s="786"/>
      <c r="QXJ141" s="786"/>
      <c r="QXK141" s="786"/>
      <c r="QXL141" s="786"/>
      <c r="QXM141" s="786"/>
      <c r="QXN141" s="786"/>
      <c r="QXO141" s="786"/>
      <c r="QXP141" s="786"/>
      <c r="QXQ141" s="786"/>
      <c r="QXR141" s="786"/>
      <c r="QXS141" s="786"/>
      <c r="QXT141" s="786"/>
      <c r="QXU141" s="786"/>
      <c r="QXV141" s="786"/>
      <c r="QXW141" s="786"/>
      <c r="QXX141" s="786"/>
      <c r="QXY141" s="786"/>
      <c r="QXZ141" s="786"/>
      <c r="QYA141" s="786"/>
      <c r="QYB141" s="786"/>
      <c r="QYC141" s="786"/>
      <c r="QYD141" s="786"/>
      <c r="QYE141" s="786"/>
      <c r="QYF141" s="786"/>
      <c r="QYG141" s="786"/>
      <c r="QYH141" s="786"/>
      <c r="QYI141" s="786"/>
      <c r="QYJ141" s="786"/>
      <c r="QYK141" s="786"/>
      <c r="QYL141" s="786"/>
      <c r="QYM141" s="786"/>
      <c r="QYN141" s="786"/>
      <c r="QYO141" s="786"/>
      <c r="QYP141" s="786"/>
      <c r="QYQ141" s="786"/>
      <c r="QYR141" s="786"/>
      <c r="QYS141" s="786"/>
      <c r="QYT141" s="786"/>
      <c r="QYU141" s="786"/>
      <c r="QYV141" s="786"/>
      <c r="QYW141" s="786"/>
      <c r="QYX141" s="786"/>
      <c r="QYY141" s="786"/>
      <c r="QYZ141" s="786"/>
      <c r="QZA141" s="786"/>
      <c r="QZB141" s="786"/>
      <c r="QZC141" s="786"/>
      <c r="QZD141" s="786"/>
      <c r="QZE141" s="786"/>
      <c r="QZF141" s="786"/>
      <c r="QZG141" s="786"/>
      <c r="QZH141" s="786"/>
      <c r="QZI141" s="786"/>
      <c r="QZJ141" s="786"/>
      <c r="QZK141" s="786"/>
      <c r="QZL141" s="786"/>
      <c r="QZM141" s="786"/>
      <c r="QZN141" s="786"/>
      <c r="QZO141" s="786"/>
      <c r="QZP141" s="786"/>
      <c r="QZQ141" s="786"/>
      <c r="QZR141" s="786"/>
      <c r="QZS141" s="786"/>
      <c r="QZT141" s="786"/>
      <c r="QZU141" s="786"/>
      <c r="QZV141" s="786"/>
      <c r="QZW141" s="786"/>
      <c r="QZX141" s="786"/>
      <c r="QZY141" s="786"/>
      <c r="QZZ141" s="786"/>
      <c r="RAA141" s="786"/>
      <c r="RAB141" s="786"/>
      <c r="RAC141" s="786"/>
      <c r="RAD141" s="786"/>
      <c r="RAE141" s="786"/>
      <c r="RAF141" s="786"/>
      <c r="RAG141" s="786"/>
      <c r="RAH141" s="786"/>
      <c r="RAI141" s="786"/>
      <c r="RAJ141" s="786"/>
      <c r="RAK141" s="786"/>
      <c r="RAL141" s="786"/>
      <c r="RAM141" s="786"/>
      <c r="RAN141" s="786"/>
      <c r="RAO141" s="786"/>
      <c r="RAP141" s="786"/>
      <c r="RAQ141" s="786"/>
      <c r="RAR141" s="786"/>
      <c r="RAS141" s="786"/>
      <c r="RAT141" s="786"/>
      <c r="RAU141" s="786"/>
      <c r="RAV141" s="786"/>
      <c r="RAW141" s="786"/>
      <c r="RAX141" s="786"/>
      <c r="RAY141" s="786"/>
      <c r="RAZ141" s="786"/>
      <c r="RBA141" s="786"/>
      <c r="RBB141" s="786"/>
      <c r="RBC141" s="786"/>
      <c r="RBD141" s="786"/>
      <c r="RBE141" s="786"/>
      <c r="RBF141" s="786"/>
      <c r="RBG141" s="786"/>
      <c r="RBH141" s="786"/>
      <c r="RBI141" s="786"/>
      <c r="RBJ141" s="786"/>
      <c r="RBK141" s="786"/>
      <c r="RBL141" s="786"/>
      <c r="RBM141" s="786"/>
      <c r="RBN141" s="786"/>
      <c r="RBO141" s="786"/>
      <c r="RBP141" s="786"/>
      <c r="RBQ141" s="786"/>
      <c r="RBR141" s="786"/>
      <c r="RBS141" s="786"/>
      <c r="RBT141" s="786"/>
      <c r="RBU141" s="786"/>
      <c r="RBV141" s="786"/>
      <c r="RBW141" s="786"/>
      <c r="RBX141" s="786"/>
      <c r="RBY141" s="786"/>
      <c r="RBZ141" s="786"/>
      <c r="RCA141" s="786"/>
      <c r="RCB141" s="786"/>
      <c r="RCC141" s="786"/>
      <c r="RCD141" s="786"/>
      <c r="RCE141" s="786"/>
      <c r="RCF141" s="786"/>
      <c r="RCG141" s="786"/>
      <c r="RCH141" s="786"/>
      <c r="RCI141" s="786"/>
      <c r="RCJ141" s="786"/>
      <c r="RCK141" s="786"/>
      <c r="RCL141" s="786"/>
      <c r="RCM141" s="786"/>
      <c r="RCN141" s="786"/>
      <c r="RCO141" s="786"/>
      <c r="RCP141" s="786"/>
      <c r="RCQ141" s="786"/>
      <c r="RCR141" s="786"/>
      <c r="RCS141" s="786"/>
      <c r="RCT141" s="786"/>
      <c r="RCU141" s="786"/>
      <c r="RCV141" s="786"/>
      <c r="RCW141" s="786"/>
      <c r="RCX141" s="786"/>
      <c r="RCY141" s="786"/>
      <c r="RCZ141" s="786"/>
      <c r="RDA141" s="786"/>
      <c r="RDB141" s="786"/>
      <c r="RDC141" s="786"/>
      <c r="RDD141" s="786"/>
      <c r="RDE141" s="786"/>
      <c r="RDF141" s="786"/>
      <c r="RDG141" s="786"/>
      <c r="RDH141" s="786"/>
      <c r="RDI141" s="786"/>
      <c r="RDJ141" s="786"/>
      <c r="RDK141" s="786"/>
      <c r="RDL141" s="786"/>
      <c r="RDM141" s="786"/>
      <c r="RDN141" s="786"/>
      <c r="RDO141" s="786"/>
      <c r="RDP141" s="786"/>
      <c r="RDQ141" s="786"/>
      <c r="RDR141" s="786"/>
      <c r="RDS141" s="786"/>
      <c r="RDT141" s="786"/>
      <c r="RDU141" s="786"/>
      <c r="RDV141" s="786"/>
      <c r="RDW141" s="786"/>
      <c r="RDX141" s="786"/>
      <c r="RDY141" s="786"/>
      <c r="RDZ141" s="786"/>
      <c r="REA141" s="786"/>
      <c r="REB141" s="786"/>
      <c r="REC141" s="786"/>
      <c r="RED141" s="786"/>
      <c r="REE141" s="786"/>
      <c r="REF141" s="786"/>
      <c r="REG141" s="786"/>
      <c r="REH141" s="786"/>
      <c r="REI141" s="786"/>
      <c r="REJ141" s="786"/>
      <c r="REK141" s="786"/>
      <c r="REL141" s="786"/>
      <c r="REM141" s="786"/>
      <c r="REN141" s="786"/>
      <c r="REO141" s="786"/>
      <c r="REP141" s="786"/>
      <c r="REQ141" s="786"/>
      <c r="RER141" s="786"/>
      <c r="RES141" s="786"/>
      <c r="RET141" s="786"/>
      <c r="REU141" s="786"/>
      <c r="REV141" s="786"/>
      <c r="REW141" s="786"/>
      <c r="REX141" s="786"/>
      <c r="REY141" s="786"/>
      <c r="REZ141" s="786"/>
      <c r="RFA141" s="786"/>
      <c r="RFB141" s="786"/>
      <c r="RFC141" s="786"/>
      <c r="RFD141" s="786"/>
      <c r="RFE141" s="786"/>
      <c r="RFF141" s="786"/>
      <c r="RFG141" s="786"/>
      <c r="RFH141" s="786"/>
      <c r="RFI141" s="786"/>
      <c r="RFJ141" s="786"/>
      <c r="RFK141" s="786"/>
      <c r="RFL141" s="786"/>
      <c r="RFM141" s="786"/>
      <c r="RFN141" s="786"/>
      <c r="RFO141" s="786"/>
      <c r="RFP141" s="786"/>
      <c r="RFQ141" s="786"/>
      <c r="RFR141" s="786"/>
      <c r="RFS141" s="786"/>
      <c r="RFT141" s="786"/>
      <c r="RFU141" s="786"/>
      <c r="RFV141" s="786"/>
      <c r="RFW141" s="786"/>
      <c r="RFX141" s="786"/>
      <c r="RFY141" s="786"/>
      <c r="RFZ141" s="786"/>
      <c r="RGA141" s="786"/>
      <c r="RGB141" s="786"/>
      <c r="RGC141" s="786"/>
      <c r="RGD141" s="786"/>
      <c r="RGE141" s="786"/>
      <c r="RGF141" s="786"/>
      <c r="RGG141" s="786"/>
      <c r="RGH141" s="786"/>
      <c r="RGI141" s="786"/>
      <c r="RGJ141" s="786"/>
      <c r="RGK141" s="786"/>
      <c r="RGL141" s="786"/>
      <c r="RGM141" s="786"/>
      <c r="RGN141" s="786"/>
      <c r="RGO141" s="786"/>
      <c r="RGP141" s="786"/>
      <c r="RGQ141" s="786"/>
      <c r="RGR141" s="786"/>
      <c r="RGS141" s="786"/>
      <c r="RGT141" s="786"/>
      <c r="RGU141" s="786"/>
      <c r="RGV141" s="786"/>
      <c r="RGW141" s="786"/>
      <c r="RGX141" s="786"/>
      <c r="RGY141" s="786"/>
      <c r="RGZ141" s="786"/>
      <c r="RHA141" s="786"/>
      <c r="RHB141" s="786"/>
      <c r="RHC141" s="786"/>
      <c r="RHD141" s="786"/>
      <c r="RHE141" s="786"/>
      <c r="RHF141" s="786"/>
      <c r="RHG141" s="786"/>
      <c r="RHH141" s="786"/>
      <c r="RHI141" s="786"/>
      <c r="RHJ141" s="786"/>
      <c r="RHK141" s="786"/>
      <c r="RHL141" s="786"/>
      <c r="RHM141" s="786"/>
      <c r="RHN141" s="786"/>
      <c r="RHO141" s="786"/>
      <c r="RHP141" s="786"/>
      <c r="RHQ141" s="786"/>
      <c r="RHR141" s="786"/>
      <c r="RHS141" s="786"/>
      <c r="RHT141" s="786"/>
      <c r="RHU141" s="786"/>
      <c r="RHV141" s="786"/>
      <c r="RHW141" s="786"/>
      <c r="RHX141" s="786"/>
      <c r="RHY141" s="786"/>
      <c r="RHZ141" s="786"/>
      <c r="RIA141" s="786"/>
      <c r="RIB141" s="786"/>
      <c r="RIC141" s="786"/>
      <c r="RID141" s="786"/>
      <c r="RIE141" s="786"/>
      <c r="RIF141" s="786"/>
      <c r="RIG141" s="786"/>
      <c r="RIH141" s="786"/>
      <c r="RII141" s="786"/>
      <c r="RIJ141" s="786"/>
      <c r="RIK141" s="786"/>
      <c r="RIL141" s="786"/>
      <c r="RIM141" s="786"/>
      <c r="RIN141" s="786"/>
      <c r="RIO141" s="786"/>
      <c r="RIP141" s="786"/>
      <c r="RIQ141" s="786"/>
      <c r="RIR141" s="786"/>
      <c r="RIS141" s="786"/>
      <c r="RIT141" s="786"/>
      <c r="RIU141" s="786"/>
      <c r="RIV141" s="786"/>
      <c r="RIW141" s="786"/>
      <c r="RIX141" s="786"/>
      <c r="RIY141" s="786"/>
      <c r="RIZ141" s="786"/>
      <c r="RJA141" s="786"/>
      <c r="RJB141" s="786"/>
      <c r="RJC141" s="786"/>
      <c r="RJD141" s="786"/>
      <c r="RJE141" s="786"/>
      <c r="RJF141" s="786"/>
      <c r="RJG141" s="786"/>
      <c r="RJH141" s="786"/>
      <c r="RJI141" s="786"/>
      <c r="RJJ141" s="786"/>
      <c r="RJK141" s="786"/>
      <c r="RJL141" s="786"/>
      <c r="RJM141" s="786"/>
      <c r="RJN141" s="786"/>
      <c r="RJO141" s="786"/>
      <c r="RJP141" s="786"/>
      <c r="RJQ141" s="786"/>
      <c r="RJR141" s="786"/>
      <c r="RJS141" s="786"/>
      <c r="RJT141" s="786"/>
      <c r="RJU141" s="786"/>
      <c r="RJV141" s="786"/>
      <c r="RJW141" s="786"/>
      <c r="RJX141" s="786"/>
      <c r="RJY141" s="786"/>
      <c r="RJZ141" s="786"/>
      <c r="RKA141" s="786"/>
      <c r="RKB141" s="786"/>
      <c r="RKC141" s="786"/>
      <c r="RKD141" s="786"/>
      <c r="RKE141" s="786"/>
      <c r="RKF141" s="786"/>
      <c r="RKG141" s="786"/>
      <c r="RKH141" s="786"/>
      <c r="RKI141" s="786"/>
      <c r="RKJ141" s="786"/>
      <c r="RKK141" s="786"/>
      <c r="RKL141" s="786"/>
      <c r="RKM141" s="786"/>
      <c r="RKN141" s="786"/>
      <c r="RKO141" s="786"/>
      <c r="RKP141" s="786"/>
      <c r="RKQ141" s="786"/>
      <c r="RKR141" s="786"/>
      <c r="RKS141" s="786"/>
      <c r="RKT141" s="786"/>
      <c r="RKU141" s="786"/>
      <c r="RKV141" s="786"/>
      <c r="RKW141" s="786"/>
      <c r="RKX141" s="786"/>
      <c r="RKY141" s="786"/>
      <c r="RKZ141" s="786"/>
      <c r="RLA141" s="786"/>
      <c r="RLB141" s="786"/>
      <c r="RLC141" s="786"/>
      <c r="RLD141" s="786"/>
      <c r="RLE141" s="786"/>
      <c r="RLF141" s="786"/>
      <c r="RLG141" s="786"/>
      <c r="RLH141" s="786"/>
      <c r="RLI141" s="786"/>
      <c r="RLJ141" s="786"/>
      <c r="RLK141" s="786"/>
      <c r="RLL141" s="786"/>
      <c r="RLM141" s="786"/>
      <c r="RLN141" s="786"/>
      <c r="RLO141" s="786"/>
      <c r="RLP141" s="786"/>
      <c r="RLQ141" s="786"/>
      <c r="RLR141" s="786"/>
      <c r="RLS141" s="786"/>
      <c r="RLT141" s="786"/>
      <c r="RLU141" s="786"/>
      <c r="RLV141" s="786"/>
      <c r="RLW141" s="786"/>
      <c r="RLX141" s="786"/>
      <c r="RLY141" s="786"/>
      <c r="RLZ141" s="786"/>
      <c r="RMA141" s="786"/>
      <c r="RMB141" s="786"/>
      <c r="RMC141" s="786"/>
      <c r="RMD141" s="786"/>
      <c r="RME141" s="786"/>
      <c r="RMF141" s="786"/>
      <c r="RMG141" s="786"/>
      <c r="RMH141" s="786"/>
      <c r="RMI141" s="786"/>
      <c r="RMJ141" s="786"/>
      <c r="RMK141" s="786"/>
      <c r="RML141" s="786"/>
      <c r="RMM141" s="786"/>
      <c r="RMN141" s="786"/>
      <c r="RMO141" s="786"/>
      <c r="RMP141" s="786"/>
      <c r="RMQ141" s="786"/>
      <c r="RMR141" s="786"/>
      <c r="RMS141" s="786"/>
      <c r="RMT141" s="786"/>
      <c r="RMU141" s="786"/>
      <c r="RMV141" s="786"/>
      <c r="RMW141" s="786"/>
      <c r="RMX141" s="786"/>
      <c r="RMY141" s="786"/>
      <c r="RMZ141" s="786"/>
      <c r="RNA141" s="786"/>
      <c r="RNB141" s="786"/>
      <c r="RNC141" s="786"/>
      <c r="RND141" s="786"/>
      <c r="RNE141" s="786"/>
      <c r="RNF141" s="786"/>
      <c r="RNG141" s="786"/>
      <c r="RNH141" s="786"/>
      <c r="RNI141" s="786"/>
      <c r="RNJ141" s="786"/>
      <c r="RNK141" s="786"/>
      <c r="RNL141" s="786"/>
      <c r="RNM141" s="786"/>
      <c r="RNN141" s="786"/>
      <c r="RNO141" s="786"/>
      <c r="RNP141" s="786"/>
      <c r="RNQ141" s="786"/>
      <c r="RNR141" s="786"/>
      <c r="RNS141" s="786"/>
      <c r="RNT141" s="786"/>
      <c r="RNU141" s="786"/>
      <c r="RNV141" s="786"/>
      <c r="RNW141" s="786"/>
      <c r="RNX141" s="786"/>
      <c r="RNY141" s="786"/>
      <c r="RNZ141" s="786"/>
      <c r="ROA141" s="786"/>
      <c r="ROB141" s="786"/>
      <c r="ROC141" s="786"/>
      <c r="ROD141" s="786"/>
      <c r="ROE141" s="786"/>
      <c r="ROF141" s="786"/>
      <c r="ROG141" s="786"/>
      <c r="ROH141" s="786"/>
      <c r="ROI141" s="786"/>
      <c r="ROJ141" s="786"/>
      <c r="ROK141" s="786"/>
      <c r="ROL141" s="786"/>
      <c r="ROM141" s="786"/>
      <c r="RON141" s="786"/>
      <c r="ROO141" s="786"/>
      <c r="ROP141" s="786"/>
      <c r="ROQ141" s="786"/>
      <c r="ROR141" s="786"/>
      <c r="ROS141" s="786"/>
      <c r="ROT141" s="786"/>
      <c r="ROU141" s="786"/>
      <c r="ROV141" s="786"/>
      <c r="ROW141" s="786"/>
      <c r="ROX141" s="786"/>
      <c r="ROY141" s="786"/>
      <c r="ROZ141" s="786"/>
      <c r="RPA141" s="786"/>
      <c r="RPB141" s="786"/>
      <c r="RPC141" s="786"/>
      <c r="RPD141" s="786"/>
      <c r="RPE141" s="786"/>
      <c r="RPF141" s="786"/>
      <c r="RPG141" s="786"/>
      <c r="RPH141" s="786"/>
      <c r="RPI141" s="786"/>
      <c r="RPJ141" s="786"/>
      <c r="RPK141" s="786"/>
      <c r="RPL141" s="786"/>
      <c r="RPM141" s="786"/>
      <c r="RPN141" s="786"/>
      <c r="RPO141" s="786"/>
      <c r="RPP141" s="786"/>
      <c r="RPQ141" s="786"/>
      <c r="RPR141" s="786"/>
      <c r="RPS141" s="786"/>
      <c r="RPT141" s="786"/>
      <c r="RPU141" s="786"/>
      <c r="RPV141" s="786"/>
      <c r="RPW141" s="786"/>
      <c r="RPX141" s="786"/>
      <c r="RPY141" s="786"/>
      <c r="RPZ141" s="786"/>
      <c r="RQA141" s="786"/>
      <c r="RQB141" s="786"/>
      <c r="RQC141" s="786"/>
      <c r="RQD141" s="786"/>
      <c r="RQE141" s="786"/>
      <c r="RQF141" s="786"/>
      <c r="RQG141" s="786"/>
      <c r="RQH141" s="786"/>
      <c r="RQI141" s="786"/>
      <c r="RQJ141" s="786"/>
      <c r="RQK141" s="786"/>
      <c r="RQL141" s="786"/>
      <c r="RQM141" s="786"/>
      <c r="RQN141" s="786"/>
      <c r="RQO141" s="786"/>
      <c r="RQP141" s="786"/>
      <c r="RQQ141" s="786"/>
      <c r="RQR141" s="786"/>
      <c r="RQS141" s="786"/>
      <c r="RQT141" s="786"/>
      <c r="RQU141" s="786"/>
      <c r="RQV141" s="786"/>
      <c r="RQW141" s="786"/>
      <c r="RQX141" s="786"/>
      <c r="RQY141" s="786"/>
      <c r="RQZ141" s="786"/>
      <c r="RRA141" s="786"/>
      <c r="RRB141" s="786"/>
      <c r="RRC141" s="786"/>
      <c r="RRD141" s="786"/>
      <c r="RRE141" s="786"/>
      <c r="RRF141" s="786"/>
      <c r="RRG141" s="786"/>
      <c r="RRH141" s="786"/>
      <c r="RRI141" s="786"/>
      <c r="RRJ141" s="786"/>
      <c r="RRK141" s="786"/>
      <c r="RRL141" s="786"/>
      <c r="RRM141" s="786"/>
      <c r="RRN141" s="786"/>
      <c r="RRO141" s="786"/>
      <c r="RRP141" s="786"/>
      <c r="RRQ141" s="786"/>
      <c r="RRR141" s="786"/>
      <c r="RRS141" s="786"/>
      <c r="RRT141" s="786"/>
      <c r="RRU141" s="786"/>
      <c r="RRV141" s="786"/>
      <c r="RRW141" s="786"/>
      <c r="RRX141" s="786"/>
      <c r="RRY141" s="786"/>
      <c r="RRZ141" s="786"/>
      <c r="RSA141" s="786"/>
      <c r="RSB141" s="786"/>
      <c r="RSC141" s="786"/>
      <c r="RSD141" s="786"/>
      <c r="RSE141" s="786"/>
      <c r="RSF141" s="786"/>
      <c r="RSG141" s="786"/>
      <c r="RSH141" s="786"/>
      <c r="RSI141" s="786"/>
      <c r="RSJ141" s="786"/>
      <c r="RSK141" s="786"/>
      <c r="RSL141" s="786"/>
      <c r="RSM141" s="786"/>
      <c r="RSN141" s="786"/>
      <c r="RSO141" s="786"/>
      <c r="RSP141" s="786"/>
      <c r="RSQ141" s="786"/>
      <c r="RSR141" s="786"/>
      <c r="RSS141" s="786"/>
      <c r="RST141" s="786"/>
      <c r="RSU141" s="786"/>
      <c r="RSV141" s="786"/>
      <c r="RSW141" s="786"/>
      <c r="RSX141" s="786"/>
      <c r="RSY141" s="786"/>
      <c r="RSZ141" s="786"/>
      <c r="RTA141" s="786"/>
      <c r="RTB141" s="786"/>
      <c r="RTC141" s="786"/>
      <c r="RTD141" s="786"/>
      <c r="RTE141" s="786"/>
      <c r="RTF141" s="786"/>
      <c r="RTG141" s="786"/>
      <c r="RTH141" s="786"/>
      <c r="RTI141" s="786"/>
      <c r="RTJ141" s="786"/>
      <c r="RTK141" s="786"/>
      <c r="RTL141" s="786"/>
      <c r="RTM141" s="786"/>
      <c r="RTN141" s="786"/>
      <c r="RTO141" s="786"/>
      <c r="RTP141" s="786"/>
      <c r="RTQ141" s="786"/>
      <c r="RTR141" s="786"/>
      <c r="RTS141" s="786"/>
      <c r="RTT141" s="786"/>
      <c r="RTU141" s="786"/>
      <c r="RTV141" s="786"/>
      <c r="RTW141" s="786"/>
      <c r="RTX141" s="786"/>
      <c r="RTY141" s="786"/>
      <c r="RTZ141" s="786"/>
      <c r="RUA141" s="786"/>
      <c r="RUB141" s="786"/>
      <c r="RUC141" s="786"/>
      <c r="RUD141" s="786"/>
      <c r="RUE141" s="786"/>
      <c r="RUF141" s="786"/>
      <c r="RUG141" s="786"/>
      <c r="RUH141" s="786"/>
      <c r="RUI141" s="786"/>
      <c r="RUJ141" s="786"/>
      <c r="RUK141" s="786"/>
      <c r="RUL141" s="786"/>
      <c r="RUM141" s="786"/>
      <c r="RUN141" s="786"/>
      <c r="RUO141" s="786"/>
      <c r="RUP141" s="786"/>
      <c r="RUQ141" s="786"/>
      <c r="RUR141" s="786"/>
      <c r="RUS141" s="786"/>
      <c r="RUT141" s="786"/>
      <c r="RUU141" s="786"/>
      <c r="RUV141" s="786"/>
      <c r="RUW141" s="786"/>
      <c r="RUX141" s="786"/>
      <c r="RUY141" s="786"/>
      <c r="RUZ141" s="786"/>
      <c r="RVA141" s="786"/>
      <c r="RVB141" s="786"/>
      <c r="RVC141" s="786"/>
      <c r="RVD141" s="786"/>
      <c r="RVE141" s="786"/>
      <c r="RVF141" s="786"/>
      <c r="RVG141" s="786"/>
      <c r="RVH141" s="786"/>
      <c r="RVI141" s="786"/>
      <c r="RVJ141" s="786"/>
      <c r="RVK141" s="786"/>
      <c r="RVL141" s="786"/>
      <c r="RVM141" s="786"/>
      <c r="RVN141" s="786"/>
      <c r="RVO141" s="786"/>
      <c r="RVP141" s="786"/>
      <c r="RVQ141" s="786"/>
      <c r="RVR141" s="786"/>
      <c r="RVS141" s="786"/>
      <c r="RVT141" s="786"/>
      <c r="RVU141" s="786"/>
      <c r="RVV141" s="786"/>
      <c r="RVW141" s="786"/>
      <c r="RVX141" s="786"/>
      <c r="RVY141" s="786"/>
      <c r="RVZ141" s="786"/>
      <c r="RWA141" s="786"/>
      <c r="RWB141" s="786"/>
      <c r="RWC141" s="786"/>
      <c r="RWD141" s="786"/>
      <c r="RWE141" s="786"/>
      <c r="RWF141" s="786"/>
      <c r="RWG141" s="786"/>
      <c r="RWH141" s="786"/>
      <c r="RWI141" s="786"/>
      <c r="RWJ141" s="786"/>
      <c r="RWK141" s="786"/>
      <c r="RWL141" s="786"/>
      <c r="RWM141" s="786"/>
      <c r="RWN141" s="786"/>
      <c r="RWO141" s="786"/>
      <c r="RWP141" s="786"/>
      <c r="RWQ141" s="786"/>
      <c r="RWR141" s="786"/>
      <c r="RWS141" s="786"/>
      <c r="RWT141" s="786"/>
      <c r="RWU141" s="786"/>
      <c r="RWV141" s="786"/>
      <c r="RWW141" s="786"/>
      <c r="RWX141" s="786"/>
      <c r="RWY141" s="786"/>
      <c r="RWZ141" s="786"/>
      <c r="RXA141" s="786"/>
      <c r="RXB141" s="786"/>
      <c r="RXC141" s="786"/>
      <c r="RXD141" s="786"/>
      <c r="RXE141" s="786"/>
      <c r="RXF141" s="786"/>
      <c r="RXG141" s="786"/>
      <c r="RXH141" s="786"/>
      <c r="RXI141" s="786"/>
      <c r="RXJ141" s="786"/>
      <c r="RXK141" s="786"/>
      <c r="RXL141" s="786"/>
      <c r="RXM141" s="786"/>
      <c r="RXN141" s="786"/>
      <c r="RXO141" s="786"/>
      <c r="RXP141" s="786"/>
      <c r="RXQ141" s="786"/>
      <c r="RXR141" s="786"/>
      <c r="RXS141" s="786"/>
      <c r="RXT141" s="786"/>
      <c r="RXU141" s="786"/>
      <c r="RXV141" s="786"/>
      <c r="RXW141" s="786"/>
      <c r="RXX141" s="786"/>
      <c r="RXY141" s="786"/>
      <c r="RXZ141" s="786"/>
      <c r="RYA141" s="786"/>
      <c r="RYB141" s="786"/>
      <c r="RYC141" s="786"/>
      <c r="RYD141" s="786"/>
      <c r="RYE141" s="786"/>
      <c r="RYF141" s="786"/>
      <c r="RYG141" s="786"/>
      <c r="RYH141" s="786"/>
      <c r="RYI141" s="786"/>
      <c r="RYJ141" s="786"/>
      <c r="RYK141" s="786"/>
      <c r="RYL141" s="786"/>
      <c r="RYM141" s="786"/>
      <c r="RYN141" s="786"/>
      <c r="RYO141" s="786"/>
      <c r="RYP141" s="786"/>
      <c r="RYQ141" s="786"/>
      <c r="RYR141" s="786"/>
      <c r="RYS141" s="786"/>
      <c r="RYT141" s="786"/>
      <c r="RYU141" s="786"/>
      <c r="RYV141" s="786"/>
      <c r="RYW141" s="786"/>
      <c r="RYX141" s="786"/>
      <c r="RYY141" s="786"/>
      <c r="RYZ141" s="786"/>
      <c r="RZA141" s="786"/>
      <c r="RZB141" s="786"/>
      <c r="RZC141" s="786"/>
      <c r="RZD141" s="786"/>
      <c r="RZE141" s="786"/>
      <c r="RZF141" s="786"/>
      <c r="RZG141" s="786"/>
      <c r="RZH141" s="786"/>
      <c r="RZI141" s="786"/>
      <c r="RZJ141" s="786"/>
      <c r="RZK141" s="786"/>
      <c r="RZL141" s="786"/>
      <c r="RZM141" s="786"/>
      <c r="RZN141" s="786"/>
      <c r="RZO141" s="786"/>
      <c r="RZP141" s="786"/>
      <c r="RZQ141" s="786"/>
      <c r="RZR141" s="786"/>
      <c r="RZS141" s="786"/>
      <c r="RZT141" s="786"/>
      <c r="RZU141" s="786"/>
      <c r="RZV141" s="786"/>
      <c r="RZW141" s="786"/>
      <c r="RZX141" s="786"/>
      <c r="RZY141" s="786"/>
      <c r="RZZ141" s="786"/>
      <c r="SAA141" s="786"/>
      <c r="SAB141" s="786"/>
      <c r="SAC141" s="786"/>
      <c r="SAD141" s="786"/>
      <c r="SAE141" s="786"/>
      <c r="SAF141" s="786"/>
      <c r="SAG141" s="786"/>
      <c r="SAH141" s="786"/>
      <c r="SAI141" s="786"/>
      <c r="SAJ141" s="786"/>
      <c r="SAK141" s="786"/>
      <c r="SAL141" s="786"/>
      <c r="SAM141" s="786"/>
      <c r="SAN141" s="786"/>
      <c r="SAO141" s="786"/>
      <c r="SAP141" s="786"/>
      <c r="SAQ141" s="786"/>
      <c r="SAR141" s="786"/>
      <c r="SAS141" s="786"/>
      <c r="SAT141" s="786"/>
      <c r="SAU141" s="786"/>
      <c r="SAV141" s="786"/>
      <c r="SAW141" s="786"/>
      <c r="SAX141" s="786"/>
      <c r="SAY141" s="786"/>
      <c r="SAZ141" s="786"/>
      <c r="SBA141" s="786"/>
      <c r="SBB141" s="786"/>
      <c r="SBC141" s="786"/>
      <c r="SBD141" s="786"/>
      <c r="SBE141" s="786"/>
      <c r="SBF141" s="786"/>
      <c r="SBG141" s="786"/>
      <c r="SBH141" s="786"/>
      <c r="SBI141" s="786"/>
      <c r="SBJ141" s="786"/>
      <c r="SBK141" s="786"/>
      <c r="SBL141" s="786"/>
      <c r="SBM141" s="786"/>
      <c r="SBN141" s="786"/>
      <c r="SBO141" s="786"/>
      <c r="SBP141" s="786"/>
      <c r="SBQ141" s="786"/>
      <c r="SBR141" s="786"/>
      <c r="SBS141" s="786"/>
      <c r="SBT141" s="786"/>
      <c r="SBU141" s="786"/>
      <c r="SBV141" s="786"/>
      <c r="SBW141" s="786"/>
      <c r="SBX141" s="786"/>
      <c r="SBY141" s="786"/>
      <c r="SBZ141" s="786"/>
      <c r="SCA141" s="786"/>
      <c r="SCB141" s="786"/>
      <c r="SCC141" s="786"/>
      <c r="SCD141" s="786"/>
      <c r="SCE141" s="786"/>
      <c r="SCF141" s="786"/>
      <c r="SCG141" s="786"/>
      <c r="SCH141" s="786"/>
      <c r="SCI141" s="786"/>
      <c r="SCJ141" s="786"/>
      <c r="SCK141" s="786"/>
      <c r="SCL141" s="786"/>
      <c r="SCM141" s="786"/>
      <c r="SCN141" s="786"/>
      <c r="SCO141" s="786"/>
      <c r="SCP141" s="786"/>
      <c r="SCQ141" s="786"/>
      <c r="SCR141" s="786"/>
      <c r="SCS141" s="786"/>
      <c r="SCT141" s="786"/>
      <c r="SCU141" s="786"/>
      <c r="SCV141" s="786"/>
      <c r="SCW141" s="786"/>
      <c r="SCX141" s="786"/>
      <c r="SCY141" s="786"/>
      <c r="SCZ141" s="786"/>
      <c r="SDA141" s="786"/>
      <c r="SDB141" s="786"/>
      <c r="SDC141" s="786"/>
      <c r="SDD141" s="786"/>
      <c r="SDE141" s="786"/>
      <c r="SDF141" s="786"/>
      <c r="SDG141" s="786"/>
      <c r="SDH141" s="786"/>
      <c r="SDI141" s="786"/>
      <c r="SDJ141" s="786"/>
      <c r="SDK141" s="786"/>
      <c r="SDL141" s="786"/>
      <c r="SDM141" s="786"/>
      <c r="SDN141" s="786"/>
      <c r="SDO141" s="786"/>
      <c r="SDP141" s="786"/>
      <c r="SDQ141" s="786"/>
      <c r="SDR141" s="786"/>
      <c r="SDS141" s="786"/>
      <c r="SDT141" s="786"/>
      <c r="SDU141" s="786"/>
      <c r="SDV141" s="786"/>
      <c r="SDW141" s="786"/>
      <c r="SDX141" s="786"/>
      <c r="SDY141" s="786"/>
      <c r="SDZ141" s="786"/>
      <c r="SEA141" s="786"/>
      <c r="SEB141" s="786"/>
      <c r="SEC141" s="786"/>
      <c r="SED141" s="786"/>
      <c r="SEE141" s="786"/>
      <c r="SEF141" s="786"/>
      <c r="SEG141" s="786"/>
      <c r="SEH141" s="786"/>
      <c r="SEI141" s="786"/>
      <c r="SEJ141" s="786"/>
      <c r="SEK141" s="786"/>
      <c r="SEL141" s="786"/>
      <c r="SEM141" s="786"/>
      <c r="SEN141" s="786"/>
      <c r="SEO141" s="786"/>
      <c r="SEP141" s="786"/>
      <c r="SEQ141" s="786"/>
      <c r="SER141" s="786"/>
      <c r="SES141" s="786"/>
      <c r="SET141" s="786"/>
      <c r="SEU141" s="786"/>
      <c r="SEV141" s="786"/>
      <c r="SEW141" s="786"/>
      <c r="SEX141" s="786"/>
      <c r="SEY141" s="786"/>
      <c r="SEZ141" s="786"/>
      <c r="SFA141" s="786"/>
      <c r="SFB141" s="786"/>
      <c r="SFC141" s="786"/>
      <c r="SFD141" s="786"/>
      <c r="SFE141" s="786"/>
      <c r="SFF141" s="786"/>
      <c r="SFG141" s="786"/>
      <c r="SFH141" s="786"/>
      <c r="SFI141" s="786"/>
      <c r="SFJ141" s="786"/>
      <c r="SFK141" s="786"/>
      <c r="SFL141" s="786"/>
      <c r="SFM141" s="786"/>
      <c r="SFN141" s="786"/>
      <c r="SFO141" s="786"/>
      <c r="SFP141" s="786"/>
      <c r="SFQ141" s="786"/>
      <c r="SFR141" s="786"/>
      <c r="SFS141" s="786"/>
      <c r="SFT141" s="786"/>
      <c r="SFU141" s="786"/>
      <c r="SFV141" s="786"/>
      <c r="SFW141" s="786"/>
      <c r="SFX141" s="786"/>
      <c r="SFY141" s="786"/>
      <c r="SFZ141" s="786"/>
      <c r="SGA141" s="786"/>
      <c r="SGB141" s="786"/>
      <c r="SGC141" s="786"/>
      <c r="SGD141" s="786"/>
      <c r="SGE141" s="786"/>
      <c r="SGF141" s="786"/>
      <c r="SGG141" s="786"/>
      <c r="SGH141" s="786"/>
      <c r="SGI141" s="786"/>
      <c r="SGJ141" s="786"/>
      <c r="SGK141" s="786"/>
      <c r="SGL141" s="786"/>
      <c r="SGM141" s="786"/>
      <c r="SGN141" s="786"/>
      <c r="SGO141" s="786"/>
      <c r="SGP141" s="786"/>
      <c r="SGQ141" s="786"/>
      <c r="SGR141" s="786"/>
      <c r="SGS141" s="786"/>
      <c r="SGT141" s="786"/>
      <c r="SGU141" s="786"/>
      <c r="SGV141" s="786"/>
      <c r="SGW141" s="786"/>
      <c r="SGX141" s="786"/>
      <c r="SGY141" s="786"/>
      <c r="SGZ141" s="786"/>
      <c r="SHA141" s="786"/>
      <c r="SHB141" s="786"/>
      <c r="SHC141" s="786"/>
      <c r="SHD141" s="786"/>
      <c r="SHE141" s="786"/>
      <c r="SHF141" s="786"/>
      <c r="SHG141" s="786"/>
      <c r="SHH141" s="786"/>
      <c r="SHI141" s="786"/>
      <c r="SHJ141" s="786"/>
      <c r="SHK141" s="786"/>
      <c r="SHL141" s="786"/>
      <c r="SHM141" s="786"/>
      <c r="SHN141" s="786"/>
      <c r="SHO141" s="786"/>
      <c r="SHP141" s="786"/>
      <c r="SHQ141" s="786"/>
      <c r="SHR141" s="786"/>
      <c r="SHS141" s="786"/>
      <c r="SHT141" s="786"/>
      <c r="SHU141" s="786"/>
      <c r="SHV141" s="786"/>
      <c r="SHW141" s="786"/>
      <c r="SHX141" s="786"/>
      <c r="SHY141" s="786"/>
      <c r="SHZ141" s="786"/>
      <c r="SIA141" s="786"/>
      <c r="SIB141" s="786"/>
      <c r="SIC141" s="786"/>
      <c r="SID141" s="786"/>
      <c r="SIE141" s="786"/>
      <c r="SIF141" s="786"/>
      <c r="SIG141" s="786"/>
      <c r="SIH141" s="786"/>
      <c r="SII141" s="786"/>
      <c r="SIJ141" s="786"/>
      <c r="SIK141" s="786"/>
      <c r="SIL141" s="786"/>
      <c r="SIM141" s="786"/>
      <c r="SIN141" s="786"/>
      <c r="SIO141" s="786"/>
      <c r="SIP141" s="786"/>
      <c r="SIQ141" s="786"/>
      <c r="SIR141" s="786"/>
      <c r="SIS141" s="786"/>
      <c r="SIT141" s="786"/>
      <c r="SIU141" s="786"/>
      <c r="SIV141" s="786"/>
      <c r="SIW141" s="786"/>
      <c r="SIX141" s="786"/>
      <c r="SIY141" s="786"/>
      <c r="SIZ141" s="786"/>
      <c r="SJA141" s="786"/>
      <c r="SJB141" s="786"/>
      <c r="SJC141" s="786"/>
      <c r="SJD141" s="786"/>
      <c r="SJE141" s="786"/>
      <c r="SJF141" s="786"/>
      <c r="SJG141" s="786"/>
      <c r="SJH141" s="786"/>
      <c r="SJI141" s="786"/>
      <c r="SJJ141" s="786"/>
      <c r="SJK141" s="786"/>
      <c r="SJL141" s="786"/>
      <c r="SJM141" s="786"/>
      <c r="SJN141" s="786"/>
      <c r="SJO141" s="786"/>
      <c r="SJP141" s="786"/>
      <c r="SJQ141" s="786"/>
      <c r="SJR141" s="786"/>
      <c r="SJS141" s="786"/>
      <c r="SJT141" s="786"/>
      <c r="SJU141" s="786"/>
      <c r="SJV141" s="786"/>
      <c r="SJW141" s="786"/>
      <c r="SJX141" s="786"/>
      <c r="SJY141" s="786"/>
      <c r="SJZ141" s="786"/>
      <c r="SKA141" s="786"/>
      <c r="SKB141" s="786"/>
      <c r="SKC141" s="786"/>
      <c r="SKD141" s="786"/>
      <c r="SKE141" s="786"/>
      <c r="SKF141" s="786"/>
      <c r="SKG141" s="786"/>
      <c r="SKH141" s="786"/>
      <c r="SKI141" s="786"/>
      <c r="SKJ141" s="786"/>
      <c r="SKK141" s="786"/>
      <c r="SKL141" s="786"/>
      <c r="SKM141" s="786"/>
      <c r="SKN141" s="786"/>
      <c r="SKO141" s="786"/>
      <c r="SKP141" s="786"/>
      <c r="SKQ141" s="786"/>
      <c r="SKR141" s="786"/>
      <c r="SKS141" s="786"/>
      <c r="SKT141" s="786"/>
      <c r="SKU141" s="786"/>
      <c r="SKV141" s="786"/>
      <c r="SKW141" s="786"/>
      <c r="SKX141" s="786"/>
      <c r="SKY141" s="786"/>
      <c r="SKZ141" s="786"/>
      <c r="SLA141" s="786"/>
      <c r="SLB141" s="786"/>
      <c r="SLC141" s="786"/>
      <c r="SLD141" s="786"/>
      <c r="SLE141" s="786"/>
      <c r="SLF141" s="786"/>
      <c r="SLG141" s="786"/>
      <c r="SLH141" s="786"/>
      <c r="SLI141" s="786"/>
      <c r="SLJ141" s="786"/>
      <c r="SLK141" s="786"/>
      <c r="SLL141" s="786"/>
      <c r="SLM141" s="786"/>
      <c r="SLN141" s="786"/>
      <c r="SLO141" s="786"/>
      <c r="SLP141" s="786"/>
      <c r="SLQ141" s="786"/>
      <c r="SLR141" s="786"/>
      <c r="SLS141" s="786"/>
      <c r="SLT141" s="786"/>
      <c r="SLU141" s="786"/>
      <c r="SLV141" s="786"/>
      <c r="SLW141" s="786"/>
      <c r="SLX141" s="786"/>
      <c r="SLY141" s="786"/>
      <c r="SLZ141" s="786"/>
      <c r="SMA141" s="786"/>
      <c r="SMB141" s="786"/>
      <c r="SMC141" s="786"/>
      <c r="SMD141" s="786"/>
      <c r="SME141" s="786"/>
      <c r="SMF141" s="786"/>
      <c r="SMG141" s="786"/>
      <c r="SMH141" s="786"/>
      <c r="SMI141" s="786"/>
      <c r="SMJ141" s="786"/>
      <c r="SMK141" s="786"/>
      <c r="SML141" s="786"/>
      <c r="SMM141" s="786"/>
      <c r="SMN141" s="786"/>
      <c r="SMO141" s="786"/>
      <c r="SMP141" s="786"/>
      <c r="SMQ141" s="786"/>
      <c r="SMR141" s="786"/>
      <c r="SMS141" s="786"/>
      <c r="SMT141" s="786"/>
      <c r="SMU141" s="786"/>
      <c r="SMV141" s="786"/>
      <c r="SMW141" s="786"/>
      <c r="SMX141" s="786"/>
      <c r="SMY141" s="786"/>
      <c r="SMZ141" s="786"/>
      <c r="SNA141" s="786"/>
      <c r="SNB141" s="786"/>
      <c r="SNC141" s="786"/>
      <c r="SND141" s="786"/>
      <c r="SNE141" s="786"/>
      <c r="SNF141" s="786"/>
      <c r="SNG141" s="786"/>
      <c r="SNH141" s="786"/>
      <c r="SNI141" s="786"/>
      <c r="SNJ141" s="786"/>
      <c r="SNK141" s="786"/>
      <c r="SNL141" s="786"/>
      <c r="SNM141" s="786"/>
      <c r="SNN141" s="786"/>
      <c r="SNO141" s="786"/>
      <c r="SNP141" s="786"/>
      <c r="SNQ141" s="786"/>
      <c r="SNR141" s="786"/>
      <c r="SNS141" s="786"/>
      <c r="SNT141" s="786"/>
      <c r="SNU141" s="786"/>
      <c r="SNV141" s="786"/>
      <c r="SNW141" s="786"/>
      <c r="SNX141" s="786"/>
      <c r="SNY141" s="786"/>
      <c r="SNZ141" s="786"/>
      <c r="SOA141" s="786"/>
      <c r="SOB141" s="786"/>
      <c r="SOC141" s="786"/>
      <c r="SOD141" s="786"/>
      <c r="SOE141" s="786"/>
      <c r="SOF141" s="786"/>
      <c r="SOG141" s="786"/>
      <c r="SOH141" s="786"/>
      <c r="SOI141" s="786"/>
      <c r="SOJ141" s="786"/>
      <c r="SOK141" s="786"/>
      <c r="SOL141" s="786"/>
      <c r="SOM141" s="786"/>
      <c r="SON141" s="786"/>
      <c r="SOO141" s="786"/>
      <c r="SOP141" s="786"/>
      <c r="SOQ141" s="786"/>
      <c r="SOR141" s="786"/>
      <c r="SOS141" s="786"/>
      <c r="SOT141" s="786"/>
      <c r="SOU141" s="786"/>
      <c r="SOV141" s="786"/>
      <c r="SOW141" s="786"/>
      <c r="SOX141" s="786"/>
      <c r="SOY141" s="786"/>
      <c r="SOZ141" s="786"/>
      <c r="SPA141" s="786"/>
      <c r="SPB141" s="786"/>
      <c r="SPC141" s="786"/>
      <c r="SPD141" s="786"/>
      <c r="SPE141" s="786"/>
      <c r="SPF141" s="786"/>
      <c r="SPG141" s="786"/>
      <c r="SPH141" s="786"/>
      <c r="SPI141" s="786"/>
      <c r="SPJ141" s="786"/>
      <c r="SPK141" s="786"/>
      <c r="SPL141" s="786"/>
      <c r="SPM141" s="786"/>
      <c r="SPN141" s="786"/>
      <c r="SPO141" s="786"/>
      <c r="SPP141" s="786"/>
      <c r="SPQ141" s="786"/>
      <c r="SPR141" s="786"/>
      <c r="SPS141" s="786"/>
      <c r="SPT141" s="786"/>
      <c r="SPU141" s="786"/>
      <c r="SPV141" s="786"/>
      <c r="SPW141" s="786"/>
      <c r="SPX141" s="786"/>
      <c r="SPY141" s="786"/>
      <c r="SPZ141" s="786"/>
      <c r="SQA141" s="786"/>
      <c r="SQB141" s="786"/>
      <c r="SQC141" s="786"/>
      <c r="SQD141" s="786"/>
      <c r="SQE141" s="786"/>
      <c r="SQF141" s="786"/>
      <c r="SQG141" s="786"/>
      <c r="SQH141" s="786"/>
      <c r="SQI141" s="786"/>
      <c r="SQJ141" s="786"/>
      <c r="SQK141" s="786"/>
      <c r="SQL141" s="786"/>
      <c r="SQM141" s="786"/>
      <c r="SQN141" s="786"/>
      <c r="SQO141" s="786"/>
      <c r="SQP141" s="786"/>
      <c r="SQQ141" s="786"/>
      <c r="SQR141" s="786"/>
      <c r="SQS141" s="786"/>
      <c r="SQT141" s="786"/>
      <c r="SQU141" s="786"/>
      <c r="SQV141" s="786"/>
      <c r="SQW141" s="786"/>
      <c r="SQX141" s="786"/>
      <c r="SQY141" s="786"/>
      <c r="SQZ141" s="786"/>
      <c r="SRA141" s="786"/>
      <c r="SRB141" s="786"/>
      <c r="SRC141" s="786"/>
      <c r="SRD141" s="786"/>
      <c r="SRE141" s="786"/>
      <c r="SRF141" s="786"/>
      <c r="SRG141" s="786"/>
      <c r="SRH141" s="786"/>
      <c r="SRI141" s="786"/>
      <c r="SRJ141" s="786"/>
      <c r="SRK141" s="786"/>
      <c r="SRL141" s="786"/>
      <c r="SRM141" s="786"/>
      <c r="SRN141" s="786"/>
      <c r="SRO141" s="786"/>
      <c r="SRP141" s="786"/>
      <c r="SRQ141" s="786"/>
      <c r="SRR141" s="786"/>
      <c r="SRS141" s="786"/>
      <c r="SRT141" s="786"/>
      <c r="SRU141" s="786"/>
      <c r="SRV141" s="786"/>
      <c r="SRW141" s="786"/>
      <c r="SRX141" s="786"/>
      <c r="SRY141" s="786"/>
      <c r="SRZ141" s="786"/>
      <c r="SSA141" s="786"/>
      <c r="SSB141" s="786"/>
      <c r="SSC141" s="786"/>
      <c r="SSD141" s="786"/>
      <c r="SSE141" s="786"/>
      <c r="SSF141" s="786"/>
      <c r="SSG141" s="786"/>
      <c r="SSH141" s="786"/>
      <c r="SSI141" s="786"/>
      <c r="SSJ141" s="786"/>
      <c r="SSK141" s="786"/>
      <c r="SSL141" s="786"/>
      <c r="SSM141" s="786"/>
      <c r="SSN141" s="786"/>
      <c r="SSO141" s="786"/>
      <c r="SSP141" s="786"/>
      <c r="SSQ141" s="786"/>
      <c r="SSR141" s="786"/>
      <c r="SSS141" s="786"/>
      <c r="SST141" s="786"/>
      <c r="SSU141" s="786"/>
      <c r="SSV141" s="786"/>
      <c r="SSW141" s="786"/>
      <c r="SSX141" s="786"/>
      <c r="SSY141" s="786"/>
      <c r="SSZ141" s="786"/>
      <c r="STA141" s="786"/>
      <c r="STB141" s="786"/>
      <c r="STC141" s="786"/>
      <c r="STD141" s="786"/>
      <c r="STE141" s="786"/>
      <c r="STF141" s="786"/>
      <c r="STG141" s="786"/>
      <c r="STH141" s="786"/>
      <c r="STI141" s="786"/>
      <c r="STJ141" s="786"/>
      <c r="STK141" s="786"/>
      <c r="STL141" s="786"/>
      <c r="STM141" s="786"/>
      <c r="STN141" s="786"/>
      <c r="STO141" s="786"/>
      <c r="STP141" s="786"/>
      <c r="STQ141" s="786"/>
      <c r="STR141" s="786"/>
      <c r="STS141" s="786"/>
      <c r="STT141" s="786"/>
      <c r="STU141" s="786"/>
      <c r="STV141" s="786"/>
      <c r="STW141" s="786"/>
      <c r="STX141" s="786"/>
      <c r="STY141" s="786"/>
      <c r="STZ141" s="786"/>
      <c r="SUA141" s="786"/>
      <c r="SUB141" s="786"/>
      <c r="SUC141" s="786"/>
      <c r="SUD141" s="786"/>
      <c r="SUE141" s="786"/>
      <c r="SUF141" s="786"/>
      <c r="SUG141" s="786"/>
      <c r="SUH141" s="786"/>
      <c r="SUI141" s="786"/>
      <c r="SUJ141" s="786"/>
      <c r="SUK141" s="786"/>
      <c r="SUL141" s="786"/>
      <c r="SUM141" s="786"/>
      <c r="SUN141" s="786"/>
      <c r="SUO141" s="786"/>
      <c r="SUP141" s="786"/>
      <c r="SUQ141" s="786"/>
      <c r="SUR141" s="786"/>
      <c r="SUS141" s="786"/>
      <c r="SUT141" s="786"/>
      <c r="SUU141" s="786"/>
      <c r="SUV141" s="786"/>
      <c r="SUW141" s="786"/>
      <c r="SUX141" s="786"/>
      <c r="SUY141" s="786"/>
      <c r="SUZ141" s="786"/>
      <c r="SVA141" s="786"/>
      <c r="SVB141" s="786"/>
      <c r="SVC141" s="786"/>
      <c r="SVD141" s="786"/>
      <c r="SVE141" s="786"/>
      <c r="SVF141" s="786"/>
      <c r="SVG141" s="786"/>
      <c r="SVH141" s="786"/>
      <c r="SVI141" s="786"/>
      <c r="SVJ141" s="786"/>
      <c r="SVK141" s="786"/>
      <c r="SVL141" s="786"/>
      <c r="SVM141" s="786"/>
      <c r="SVN141" s="786"/>
      <c r="SVO141" s="786"/>
      <c r="SVP141" s="786"/>
      <c r="SVQ141" s="786"/>
      <c r="SVR141" s="786"/>
      <c r="SVS141" s="786"/>
      <c r="SVT141" s="786"/>
      <c r="SVU141" s="786"/>
      <c r="SVV141" s="786"/>
      <c r="SVW141" s="786"/>
      <c r="SVX141" s="786"/>
      <c r="SVY141" s="786"/>
      <c r="SVZ141" s="786"/>
      <c r="SWA141" s="786"/>
      <c r="SWB141" s="786"/>
      <c r="SWC141" s="786"/>
      <c r="SWD141" s="786"/>
      <c r="SWE141" s="786"/>
      <c r="SWF141" s="786"/>
      <c r="SWG141" s="786"/>
      <c r="SWH141" s="786"/>
      <c r="SWI141" s="786"/>
      <c r="SWJ141" s="786"/>
      <c r="SWK141" s="786"/>
      <c r="SWL141" s="786"/>
      <c r="SWM141" s="786"/>
      <c r="SWN141" s="786"/>
      <c r="SWO141" s="786"/>
      <c r="SWP141" s="786"/>
      <c r="SWQ141" s="786"/>
      <c r="SWR141" s="786"/>
      <c r="SWS141" s="786"/>
      <c r="SWT141" s="786"/>
      <c r="SWU141" s="786"/>
      <c r="SWV141" s="786"/>
      <c r="SWW141" s="786"/>
      <c r="SWX141" s="786"/>
      <c r="SWY141" s="786"/>
      <c r="SWZ141" s="786"/>
      <c r="SXA141" s="786"/>
      <c r="SXB141" s="786"/>
      <c r="SXC141" s="786"/>
      <c r="SXD141" s="786"/>
      <c r="SXE141" s="786"/>
      <c r="SXF141" s="786"/>
      <c r="SXG141" s="786"/>
      <c r="SXH141" s="786"/>
      <c r="SXI141" s="786"/>
      <c r="SXJ141" s="786"/>
      <c r="SXK141" s="786"/>
      <c r="SXL141" s="786"/>
      <c r="SXM141" s="786"/>
      <c r="SXN141" s="786"/>
      <c r="SXO141" s="786"/>
      <c r="SXP141" s="786"/>
      <c r="SXQ141" s="786"/>
      <c r="SXR141" s="786"/>
      <c r="SXS141" s="786"/>
      <c r="SXT141" s="786"/>
      <c r="SXU141" s="786"/>
      <c r="SXV141" s="786"/>
      <c r="SXW141" s="786"/>
      <c r="SXX141" s="786"/>
      <c r="SXY141" s="786"/>
      <c r="SXZ141" s="786"/>
      <c r="SYA141" s="786"/>
      <c r="SYB141" s="786"/>
      <c r="SYC141" s="786"/>
      <c r="SYD141" s="786"/>
      <c r="SYE141" s="786"/>
      <c r="SYF141" s="786"/>
      <c r="SYG141" s="786"/>
      <c r="SYH141" s="786"/>
      <c r="SYI141" s="786"/>
      <c r="SYJ141" s="786"/>
      <c r="SYK141" s="786"/>
      <c r="SYL141" s="786"/>
      <c r="SYM141" s="786"/>
      <c r="SYN141" s="786"/>
      <c r="SYO141" s="786"/>
      <c r="SYP141" s="786"/>
      <c r="SYQ141" s="786"/>
      <c r="SYR141" s="786"/>
      <c r="SYS141" s="786"/>
      <c r="SYT141" s="786"/>
      <c r="SYU141" s="786"/>
      <c r="SYV141" s="786"/>
      <c r="SYW141" s="786"/>
      <c r="SYX141" s="786"/>
      <c r="SYY141" s="786"/>
      <c r="SYZ141" s="786"/>
      <c r="SZA141" s="786"/>
      <c r="SZB141" s="786"/>
      <c r="SZC141" s="786"/>
      <c r="SZD141" s="786"/>
      <c r="SZE141" s="786"/>
      <c r="SZF141" s="786"/>
      <c r="SZG141" s="786"/>
      <c r="SZH141" s="786"/>
      <c r="SZI141" s="786"/>
      <c r="SZJ141" s="786"/>
      <c r="SZK141" s="786"/>
      <c r="SZL141" s="786"/>
      <c r="SZM141" s="786"/>
      <c r="SZN141" s="786"/>
      <c r="SZO141" s="786"/>
      <c r="SZP141" s="786"/>
      <c r="SZQ141" s="786"/>
      <c r="SZR141" s="786"/>
      <c r="SZS141" s="786"/>
      <c r="SZT141" s="786"/>
      <c r="SZU141" s="786"/>
      <c r="SZV141" s="786"/>
      <c r="SZW141" s="786"/>
      <c r="SZX141" s="786"/>
      <c r="SZY141" s="786"/>
      <c r="SZZ141" s="786"/>
      <c r="TAA141" s="786"/>
      <c r="TAB141" s="786"/>
      <c r="TAC141" s="786"/>
      <c r="TAD141" s="786"/>
      <c r="TAE141" s="786"/>
      <c r="TAF141" s="786"/>
      <c r="TAG141" s="786"/>
      <c r="TAH141" s="786"/>
      <c r="TAI141" s="786"/>
      <c r="TAJ141" s="786"/>
      <c r="TAK141" s="786"/>
      <c r="TAL141" s="786"/>
      <c r="TAM141" s="786"/>
      <c r="TAN141" s="786"/>
      <c r="TAO141" s="786"/>
      <c r="TAP141" s="786"/>
      <c r="TAQ141" s="786"/>
      <c r="TAR141" s="786"/>
      <c r="TAS141" s="786"/>
      <c r="TAT141" s="786"/>
      <c r="TAU141" s="786"/>
      <c r="TAV141" s="786"/>
      <c r="TAW141" s="786"/>
      <c r="TAX141" s="786"/>
      <c r="TAY141" s="786"/>
      <c r="TAZ141" s="786"/>
      <c r="TBA141" s="786"/>
      <c r="TBB141" s="786"/>
      <c r="TBC141" s="786"/>
      <c r="TBD141" s="786"/>
      <c r="TBE141" s="786"/>
      <c r="TBF141" s="786"/>
      <c r="TBG141" s="786"/>
      <c r="TBH141" s="786"/>
      <c r="TBI141" s="786"/>
      <c r="TBJ141" s="786"/>
      <c r="TBK141" s="786"/>
      <c r="TBL141" s="786"/>
      <c r="TBM141" s="786"/>
      <c r="TBN141" s="786"/>
      <c r="TBO141" s="786"/>
      <c r="TBP141" s="786"/>
      <c r="TBQ141" s="786"/>
      <c r="TBR141" s="786"/>
      <c r="TBS141" s="786"/>
      <c r="TBT141" s="786"/>
      <c r="TBU141" s="786"/>
      <c r="TBV141" s="786"/>
      <c r="TBW141" s="786"/>
      <c r="TBX141" s="786"/>
      <c r="TBY141" s="786"/>
      <c r="TBZ141" s="786"/>
      <c r="TCA141" s="786"/>
      <c r="TCB141" s="786"/>
      <c r="TCC141" s="786"/>
      <c r="TCD141" s="786"/>
      <c r="TCE141" s="786"/>
      <c r="TCF141" s="786"/>
      <c r="TCG141" s="786"/>
      <c r="TCH141" s="786"/>
      <c r="TCI141" s="786"/>
      <c r="TCJ141" s="786"/>
      <c r="TCK141" s="786"/>
      <c r="TCL141" s="786"/>
      <c r="TCM141" s="786"/>
      <c r="TCN141" s="786"/>
      <c r="TCO141" s="786"/>
      <c r="TCP141" s="786"/>
      <c r="TCQ141" s="786"/>
      <c r="TCR141" s="786"/>
      <c r="TCS141" s="786"/>
      <c r="TCT141" s="786"/>
      <c r="TCU141" s="786"/>
      <c r="TCV141" s="786"/>
      <c r="TCW141" s="786"/>
      <c r="TCX141" s="786"/>
      <c r="TCY141" s="786"/>
      <c r="TCZ141" s="786"/>
      <c r="TDA141" s="786"/>
      <c r="TDB141" s="786"/>
      <c r="TDC141" s="786"/>
      <c r="TDD141" s="786"/>
      <c r="TDE141" s="786"/>
      <c r="TDF141" s="786"/>
      <c r="TDG141" s="786"/>
      <c r="TDH141" s="786"/>
      <c r="TDI141" s="786"/>
      <c r="TDJ141" s="786"/>
      <c r="TDK141" s="786"/>
      <c r="TDL141" s="786"/>
      <c r="TDM141" s="786"/>
      <c r="TDN141" s="786"/>
      <c r="TDO141" s="786"/>
      <c r="TDP141" s="786"/>
      <c r="TDQ141" s="786"/>
      <c r="TDR141" s="786"/>
      <c r="TDS141" s="786"/>
      <c r="TDT141" s="786"/>
      <c r="TDU141" s="786"/>
      <c r="TDV141" s="786"/>
      <c r="TDW141" s="786"/>
      <c r="TDX141" s="786"/>
      <c r="TDY141" s="786"/>
      <c r="TDZ141" s="786"/>
      <c r="TEA141" s="786"/>
      <c r="TEB141" s="786"/>
      <c r="TEC141" s="786"/>
      <c r="TED141" s="786"/>
      <c r="TEE141" s="786"/>
      <c r="TEF141" s="786"/>
      <c r="TEG141" s="786"/>
      <c r="TEH141" s="786"/>
      <c r="TEI141" s="786"/>
      <c r="TEJ141" s="786"/>
      <c r="TEK141" s="786"/>
      <c r="TEL141" s="786"/>
      <c r="TEM141" s="786"/>
      <c r="TEN141" s="786"/>
      <c r="TEO141" s="786"/>
      <c r="TEP141" s="786"/>
      <c r="TEQ141" s="786"/>
      <c r="TER141" s="786"/>
      <c r="TES141" s="786"/>
      <c r="TET141" s="786"/>
      <c r="TEU141" s="786"/>
      <c r="TEV141" s="786"/>
      <c r="TEW141" s="786"/>
      <c r="TEX141" s="786"/>
      <c r="TEY141" s="786"/>
      <c r="TEZ141" s="786"/>
      <c r="TFA141" s="786"/>
      <c r="TFB141" s="786"/>
      <c r="TFC141" s="786"/>
      <c r="TFD141" s="786"/>
      <c r="TFE141" s="786"/>
      <c r="TFF141" s="786"/>
      <c r="TFG141" s="786"/>
      <c r="TFH141" s="786"/>
      <c r="TFI141" s="786"/>
      <c r="TFJ141" s="786"/>
      <c r="TFK141" s="786"/>
      <c r="TFL141" s="786"/>
      <c r="TFM141" s="786"/>
      <c r="TFN141" s="786"/>
      <c r="TFO141" s="786"/>
      <c r="TFP141" s="786"/>
      <c r="TFQ141" s="786"/>
      <c r="TFR141" s="786"/>
      <c r="TFS141" s="786"/>
      <c r="TFT141" s="786"/>
      <c r="TFU141" s="786"/>
      <c r="TFV141" s="786"/>
      <c r="TFW141" s="786"/>
      <c r="TFX141" s="786"/>
      <c r="TFY141" s="786"/>
      <c r="TFZ141" s="786"/>
      <c r="TGA141" s="786"/>
      <c r="TGB141" s="786"/>
      <c r="TGC141" s="786"/>
      <c r="TGD141" s="786"/>
      <c r="TGE141" s="786"/>
      <c r="TGF141" s="786"/>
      <c r="TGG141" s="786"/>
      <c r="TGH141" s="786"/>
      <c r="TGI141" s="786"/>
      <c r="TGJ141" s="786"/>
      <c r="TGK141" s="786"/>
      <c r="TGL141" s="786"/>
      <c r="TGM141" s="786"/>
      <c r="TGN141" s="786"/>
      <c r="TGO141" s="786"/>
      <c r="TGP141" s="786"/>
      <c r="TGQ141" s="786"/>
      <c r="TGR141" s="786"/>
      <c r="TGS141" s="786"/>
      <c r="TGT141" s="786"/>
      <c r="TGU141" s="786"/>
      <c r="TGV141" s="786"/>
      <c r="TGW141" s="786"/>
      <c r="TGX141" s="786"/>
      <c r="TGY141" s="786"/>
      <c r="TGZ141" s="786"/>
      <c r="THA141" s="786"/>
      <c r="THB141" s="786"/>
      <c r="THC141" s="786"/>
      <c r="THD141" s="786"/>
      <c r="THE141" s="786"/>
      <c r="THF141" s="786"/>
      <c r="THG141" s="786"/>
      <c r="THH141" s="786"/>
      <c r="THI141" s="786"/>
      <c r="THJ141" s="786"/>
      <c r="THK141" s="786"/>
      <c r="THL141" s="786"/>
      <c r="THM141" s="786"/>
      <c r="THN141" s="786"/>
      <c r="THO141" s="786"/>
      <c r="THP141" s="786"/>
      <c r="THQ141" s="786"/>
      <c r="THR141" s="786"/>
      <c r="THS141" s="786"/>
      <c r="THT141" s="786"/>
      <c r="THU141" s="786"/>
      <c r="THV141" s="786"/>
      <c r="THW141" s="786"/>
      <c r="THX141" s="786"/>
      <c r="THY141" s="786"/>
      <c r="THZ141" s="786"/>
      <c r="TIA141" s="786"/>
      <c r="TIB141" s="786"/>
      <c r="TIC141" s="786"/>
      <c r="TID141" s="786"/>
      <c r="TIE141" s="786"/>
      <c r="TIF141" s="786"/>
      <c r="TIG141" s="786"/>
      <c r="TIH141" s="786"/>
      <c r="TII141" s="786"/>
      <c r="TIJ141" s="786"/>
      <c r="TIK141" s="786"/>
      <c r="TIL141" s="786"/>
      <c r="TIM141" s="786"/>
      <c r="TIN141" s="786"/>
      <c r="TIO141" s="786"/>
      <c r="TIP141" s="786"/>
      <c r="TIQ141" s="786"/>
      <c r="TIR141" s="786"/>
      <c r="TIS141" s="786"/>
      <c r="TIT141" s="786"/>
      <c r="TIU141" s="786"/>
      <c r="TIV141" s="786"/>
      <c r="TIW141" s="786"/>
      <c r="TIX141" s="786"/>
      <c r="TIY141" s="786"/>
      <c r="TIZ141" s="786"/>
      <c r="TJA141" s="786"/>
      <c r="TJB141" s="786"/>
      <c r="TJC141" s="786"/>
      <c r="TJD141" s="786"/>
      <c r="TJE141" s="786"/>
      <c r="TJF141" s="786"/>
      <c r="TJG141" s="786"/>
      <c r="TJH141" s="786"/>
      <c r="TJI141" s="786"/>
      <c r="TJJ141" s="786"/>
      <c r="TJK141" s="786"/>
      <c r="TJL141" s="786"/>
      <c r="TJM141" s="786"/>
      <c r="TJN141" s="786"/>
      <c r="TJO141" s="786"/>
      <c r="TJP141" s="786"/>
      <c r="TJQ141" s="786"/>
      <c r="TJR141" s="786"/>
      <c r="TJS141" s="786"/>
      <c r="TJT141" s="786"/>
      <c r="TJU141" s="786"/>
      <c r="TJV141" s="786"/>
      <c r="TJW141" s="786"/>
      <c r="TJX141" s="786"/>
      <c r="TJY141" s="786"/>
      <c r="TJZ141" s="786"/>
      <c r="TKA141" s="786"/>
      <c r="TKB141" s="786"/>
      <c r="TKC141" s="786"/>
      <c r="TKD141" s="786"/>
      <c r="TKE141" s="786"/>
      <c r="TKF141" s="786"/>
      <c r="TKG141" s="786"/>
      <c r="TKH141" s="786"/>
      <c r="TKI141" s="786"/>
      <c r="TKJ141" s="786"/>
      <c r="TKK141" s="786"/>
      <c r="TKL141" s="786"/>
      <c r="TKM141" s="786"/>
      <c r="TKN141" s="786"/>
      <c r="TKO141" s="786"/>
      <c r="TKP141" s="786"/>
      <c r="TKQ141" s="786"/>
      <c r="TKR141" s="786"/>
      <c r="TKS141" s="786"/>
      <c r="TKT141" s="786"/>
      <c r="TKU141" s="786"/>
      <c r="TKV141" s="786"/>
      <c r="TKW141" s="786"/>
      <c r="TKX141" s="786"/>
      <c r="TKY141" s="786"/>
      <c r="TKZ141" s="786"/>
      <c r="TLA141" s="786"/>
      <c r="TLB141" s="786"/>
      <c r="TLC141" s="786"/>
      <c r="TLD141" s="786"/>
      <c r="TLE141" s="786"/>
      <c r="TLF141" s="786"/>
      <c r="TLG141" s="786"/>
      <c r="TLH141" s="786"/>
      <c r="TLI141" s="786"/>
      <c r="TLJ141" s="786"/>
      <c r="TLK141" s="786"/>
      <c r="TLL141" s="786"/>
      <c r="TLM141" s="786"/>
      <c r="TLN141" s="786"/>
      <c r="TLO141" s="786"/>
      <c r="TLP141" s="786"/>
      <c r="TLQ141" s="786"/>
      <c r="TLR141" s="786"/>
      <c r="TLS141" s="786"/>
      <c r="TLT141" s="786"/>
      <c r="TLU141" s="786"/>
      <c r="TLV141" s="786"/>
      <c r="TLW141" s="786"/>
      <c r="TLX141" s="786"/>
      <c r="TLY141" s="786"/>
      <c r="TLZ141" s="786"/>
      <c r="TMA141" s="786"/>
      <c r="TMB141" s="786"/>
      <c r="TMC141" s="786"/>
      <c r="TMD141" s="786"/>
      <c r="TME141" s="786"/>
      <c r="TMF141" s="786"/>
      <c r="TMG141" s="786"/>
      <c r="TMH141" s="786"/>
      <c r="TMI141" s="786"/>
      <c r="TMJ141" s="786"/>
      <c r="TMK141" s="786"/>
      <c r="TML141" s="786"/>
      <c r="TMM141" s="786"/>
      <c r="TMN141" s="786"/>
      <c r="TMO141" s="786"/>
      <c r="TMP141" s="786"/>
      <c r="TMQ141" s="786"/>
      <c r="TMR141" s="786"/>
      <c r="TMS141" s="786"/>
      <c r="TMT141" s="786"/>
      <c r="TMU141" s="786"/>
      <c r="TMV141" s="786"/>
      <c r="TMW141" s="786"/>
      <c r="TMX141" s="786"/>
      <c r="TMY141" s="786"/>
      <c r="TMZ141" s="786"/>
      <c r="TNA141" s="786"/>
      <c r="TNB141" s="786"/>
      <c r="TNC141" s="786"/>
      <c r="TND141" s="786"/>
      <c r="TNE141" s="786"/>
      <c r="TNF141" s="786"/>
      <c r="TNG141" s="786"/>
      <c r="TNH141" s="786"/>
      <c r="TNI141" s="786"/>
      <c r="TNJ141" s="786"/>
      <c r="TNK141" s="786"/>
      <c r="TNL141" s="786"/>
      <c r="TNM141" s="786"/>
      <c r="TNN141" s="786"/>
      <c r="TNO141" s="786"/>
      <c r="TNP141" s="786"/>
      <c r="TNQ141" s="786"/>
      <c r="TNR141" s="786"/>
      <c r="TNS141" s="786"/>
      <c r="TNT141" s="786"/>
      <c r="TNU141" s="786"/>
      <c r="TNV141" s="786"/>
      <c r="TNW141" s="786"/>
      <c r="TNX141" s="786"/>
      <c r="TNY141" s="786"/>
      <c r="TNZ141" s="786"/>
      <c r="TOA141" s="786"/>
      <c r="TOB141" s="786"/>
      <c r="TOC141" s="786"/>
      <c r="TOD141" s="786"/>
      <c r="TOE141" s="786"/>
      <c r="TOF141" s="786"/>
      <c r="TOG141" s="786"/>
      <c r="TOH141" s="786"/>
      <c r="TOI141" s="786"/>
      <c r="TOJ141" s="786"/>
      <c r="TOK141" s="786"/>
      <c r="TOL141" s="786"/>
      <c r="TOM141" s="786"/>
      <c r="TON141" s="786"/>
      <c r="TOO141" s="786"/>
      <c r="TOP141" s="786"/>
      <c r="TOQ141" s="786"/>
      <c r="TOR141" s="786"/>
      <c r="TOS141" s="786"/>
      <c r="TOT141" s="786"/>
      <c r="TOU141" s="786"/>
      <c r="TOV141" s="786"/>
      <c r="TOW141" s="786"/>
      <c r="TOX141" s="786"/>
      <c r="TOY141" s="786"/>
      <c r="TOZ141" s="786"/>
      <c r="TPA141" s="786"/>
      <c r="TPB141" s="786"/>
      <c r="TPC141" s="786"/>
      <c r="TPD141" s="786"/>
      <c r="TPE141" s="786"/>
      <c r="TPF141" s="786"/>
      <c r="TPG141" s="786"/>
      <c r="TPH141" s="786"/>
      <c r="TPI141" s="786"/>
      <c r="TPJ141" s="786"/>
      <c r="TPK141" s="786"/>
      <c r="TPL141" s="786"/>
      <c r="TPM141" s="786"/>
      <c r="TPN141" s="786"/>
      <c r="TPO141" s="786"/>
      <c r="TPP141" s="786"/>
      <c r="TPQ141" s="786"/>
      <c r="TPR141" s="786"/>
      <c r="TPS141" s="786"/>
      <c r="TPT141" s="786"/>
      <c r="TPU141" s="786"/>
      <c r="TPV141" s="786"/>
      <c r="TPW141" s="786"/>
      <c r="TPX141" s="786"/>
      <c r="TPY141" s="786"/>
      <c r="TPZ141" s="786"/>
      <c r="TQA141" s="786"/>
      <c r="TQB141" s="786"/>
      <c r="TQC141" s="786"/>
      <c r="TQD141" s="786"/>
      <c r="TQE141" s="786"/>
      <c r="TQF141" s="786"/>
      <c r="TQG141" s="786"/>
      <c r="TQH141" s="786"/>
      <c r="TQI141" s="786"/>
      <c r="TQJ141" s="786"/>
      <c r="TQK141" s="786"/>
      <c r="TQL141" s="786"/>
      <c r="TQM141" s="786"/>
      <c r="TQN141" s="786"/>
      <c r="TQO141" s="786"/>
      <c r="TQP141" s="786"/>
      <c r="TQQ141" s="786"/>
      <c r="TQR141" s="786"/>
      <c r="TQS141" s="786"/>
      <c r="TQT141" s="786"/>
      <c r="TQU141" s="786"/>
      <c r="TQV141" s="786"/>
      <c r="TQW141" s="786"/>
      <c r="TQX141" s="786"/>
      <c r="TQY141" s="786"/>
      <c r="TQZ141" s="786"/>
      <c r="TRA141" s="786"/>
      <c r="TRB141" s="786"/>
      <c r="TRC141" s="786"/>
      <c r="TRD141" s="786"/>
      <c r="TRE141" s="786"/>
      <c r="TRF141" s="786"/>
      <c r="TRG141" s="786"/>
      <c r="TRH141" s="786"/>
      <c r="TRI141" s="786"/>
      <c r="TRJ141" s="786"/>
      <c r="TRK141" s="786"/>
      <c r="TRL141" s="786"/>
      <c r="TRM141" s="786"/>
      <c r="TRN141" s="786"/>
      <c r="TRO141" s="786"/>
      <c r="TRP141" s="786"/>
      <c r="TRQ141" s="786"/>
      <c r="TRR141" s="786"/>
      <c r="TRS141" s="786"/>
      <c r="TRT141" s="786"/>
      <c r="TRU141" s="786"/>
      <c r="TRV141" s="786"/>
      <c r="TRW141" s="786"/>
      <c r="TRX141" s="786"/>
      <c r="TRY141" s="786"/>
      <c r="TRZ141" s="786"/>
      <c r="TSA141" s="786"/>
      <c r="TSB141" s="786"/>
      <c r="TSC141" s="786"/>
      <c r="TSD141" s="786"/>
      <c r="TSE141" s="786"/>
      <c r="TSF141" s="786"/>
      <c r="TSG141" s="786"/>
      <c r="TSH141" s="786"/>
      <c r="TSI141" s="786"/>
      <c r="TSJ141" s="786"/>
      <c r="TSK141" s="786"/>
      <c r="TSL141" s="786"/>
      <c r="TSM141" s="786"/>
      <c r="TSN141" s="786"/>
      <c r="TSO141" s="786"/>
      <c r="TSP141" s="786"/>
      <c r="TSQ141" s="786"/>
      <c r="TSR141" s="786"/>
      <c r="TSS141" s="786"/>
      <c r="TST141" s="786"/>
      <c r="TSU141" s="786"/>
      <c r="TSV141" s="786"/>
      <c r="TSW141" s="786"/>
      <c r="TSX141" s="786"/>
      <c r="TSY141" s="786"/>
      <c r="TSZ141" s="786"/>
      <c r="TTA141" s="786"/>
      <c r="TTB141" s="786"/>
      <c r="TTC141" s="786"/>
      <c r="TTD141" s="786"/>
      <c r="TTE141" s="786"/>
      <c r="TTF141" s="786"/>
      <c r="TTG141" s="786"/>
      <c r="TTH141" s="786"/>
      <c r="TTI141" s="786"/>
      <c r="TTJ141" s="786"/>
      <c r="TTK141" s="786"/>
      <c r="TTL141" s="786"/>
      <c r="TTM141" s="786"/>
      <c r="TTN141" s="786"/>
      <c r="TTO141" s="786"/>
      <c r="TTP141" s="786"/>
      <c r="TTQ141" s="786"/>
      <c r="TTR141" s="786"/>
      <c r="TTS141" s="786"/>
      <c r="TTT141" s="786"/>
      <c r="TTU141" s="786"/>
      <c r="TTV141" s="786"/>
      <c r="TTW141" s="786"/>
      <c r="TTX141" s="786"/>
      <c r="TTY141" s="786"/>
      <c r="TTZ141" s="786"/>
      <c r="TUA141" s="786"/>
      <c r="TUB141" s="786"/>
      <c r="TUC141" s="786"/>
      <c r="TUD141" s="786"/>
      <c r="TUE141" s="786"/>
      <c r="TUF141" s="786"/>
      <c r="TUG141" s="786"/>
      <c r="TUH141" s="786"/>
      <c r="TUI141" s="786"/>
      <c r="TUJ141" s="786"/>
      <c r="TUK141" s="786"/>
      <c r="TUL141" s="786"/>
      <c r="TUM141" s="786"/>
      <c r="TUN141" s="786"/>
      <c r="TUO141" s="786"/>
      <c r="TUP141" s="786"/>
      <c r="TUQ141" s="786"/>
      <c r="TUR141" s="786"/>
      <c r="TUS141" s="786"/>
      <c r="TUT141" s="786"/>
      <c r="TUU141" s="786"/>
      <c r="TUV141" s="786"/>
      <c r="TUW141" s="786"/>
      <c r="TUX141" s="786"/>
      <c r="TUY141" s="786"/>
      <c r="TUZ141" s="786"/>
      <c r="TVA141" s="786"/>
      <c r="TVB141" s="786"/>
      <c r="TVC141" s="786"/>
      <c r="TVD141" s="786"/>
      <c r="TVE141" s="786"/>
      <c r="TVF141" s="786"/>
      <c r="TVG141" s="786"/>
      <c r="TVH141" s="786"/>
      <c r="TVI141" s="786"/>
      <c r="TVJ141" s="786"/>
      <c r="TVK141" s="786"/>
      <c r="TVL141" s="786"/>
      <c r="TVM141" s="786"/>
      <c r="TVN141" s="786"/>
      <c r="TVO141" s="786"/>
      <c r="TVP141" s="786"/>
      <c r="TVQ141" s="786"/>
      <c r="TVR141" s="786"/>
      <c r="TVS141" s="786"/>
      <c r="TVT141" s="786"/>
      <c r="TVU141" s="786"/>
      <c r="TVV141" s="786"/>
      <c r="TVW141" s="786"/>
      <c r="TVX141" s="786"/>
      <c r="TVY141" s="786"/>
      <c r="TVZ141" s="786"/>
      <c r="TWA141" s="786"/>
      <c r="TWB141" s="786"/>
      <c r="TWC141" s="786"/>
      <c r="TWD141" s="786"/>
      <c r="TWE141" s="786"/>
      <c r="TWF141" s="786"/>
      <c r="TWG141" s="786"/>
      <c r="TWH141" s="786"/>
      <c r="TWI141" s="786"/>
      <c r="TWJ141" s="786"/>
      <c r="TWK141" s="786"/>
      <c r="TWL141" s="786"/>
      <c r="TWM141" s="786"/>
      <c r="TWN141" s="786"/>
      <c r="TWO141" s="786"/>
      <c r="TWP141" s="786"/>
      <c r="TWQ141" s="786"/>
      <c r="TWR141" s="786"/>
      <c r="TWS141" s="786"/>
      <c r="TWT141" s="786"/>
      <c r="TWU141" s="786"/>
      <c r="TWV141" s="786"/>
      <c r="TWW141" s="786"/>
      <c r="TWX141" s="786"/>
      <c r="TWY141" s="786"/>
      <c r="TWZ141" s="786"/>
      <c r="TXA141" s="786"/>
      <c r="TXB141" s="786"/>
      <c r="TXC141" s="786"/>
      <c r="TXD141" s="786"/>
      <c r="TXE141" s="786"/>
      <c r="TXF141" s="786"/>
      <c r="TXG141" s="786"/>
      <c r="TXH141" s="786"/>
      <c r="TXI141" s="786"/>
      <c r="TXJ141" s="786"/>
      <c r="TXK141" s="786"/>
      <c r="TXL141" s="786"/>
      <c r="TXM141" s="786"/>
      <c r="TXN141" s="786"/>
      <c r="TXO141" s="786"/>
      <c r="TXP141" s="786"/>
      <c r="TXQ141" s="786"/>
      <c r="TXR141" s="786"/>
      <c r="TXS141" s="786"/>
      <c r="TXT141" s="786"/>
      <c r="TXU141" s="786"/>
      <c r="TXV141" s="786"/>
      <c r="TXW141" s="786"/>
      <c r="TXX141" s="786"/>
      <c r="TXY141" s="786"/>
      <c r="TXZ141" s="786"/>
      <c r="TYA141" s="786"/>
      <c r="TYB141" s="786"/>
      <c r="TYC141" s="786"/>
      <c r="TYD141" s="786"/>
      <c r="TYE141" s="786"/>
      <c r="TYF141" s="786"/>
      <c r="TYG141" s="786"/>
      <c r="TYH141" s="786"/>
      <c r="TYI141" s="786"/>
      <c r="TYJ141" s="786"/>
      <c r="TYK141" s="786"/>
      <c r="TYL141" s="786"/>
      <c r="TYM141" s="786"/>
      <c r="TYN141" s="786"/>
      <c r="TYO141" s="786"/>
      <c r="TYP141" s="786"/>
      <c r="TYQ141" s="786"/>
      <c r="TYR141" s="786"/>
      <c r="TYS141" s="786"/>
      <c r="TYT141" s="786"/>
      <c r="TYU141" s="786"/>
      <c r="TYV141" s="786"/>
      <c r="TYW141" s="786"/>
      <c r="TYX141" s="786"/>
      <c r="TYY141" s="786"/>
      <c r="TYZ141" s="786"/>
      <c r="TZA141" s="786"/>
      <c r="TZB141" s="786"/>
      <c r="TZC141" s="786"/>
      <c r="TZD141" s="786"/>
      <c r="TZE141" s="786"/>
      <c r="TZF141" s="786"/>
      <c r="TZG141" s="786"/>
      <c r="TZH141" s="786"/>
      <c r="TZI141" s="786"/>
      <c r="TZJ141" s="786"/>
      <c r="TZK141" s="786"/>
      <c r="TZL141" s="786"/>
      <c r="TZM141" s="786"/>
      <c r="TZN141" s="786"/>
      <c r="TZO141" s="786"/>
      <c r="TZP141" s="786"/>
      <c r="TZQ141" s="786"/>
      <c r="TZR141" s="786"/>
      <c r="TZS141" s="786"/>
      <c r="TZT141" s="786"/>
      <c r="TZU141" s="786"/>
      <c r="TZV141" s="786"/>
      <c r="TZW141" s="786"/>
      <c r="TZX141" s="786"/>
      <c r="TZY141" s="786"/>
      <c r="TZZ141" s="786"/>
      <c r="UAA141" s="786"/>
      <c r="UAB141" s="786"/>
      <c r="UAC141" s="786"/>
      <c r="UAD141" s="786"/>
      <c r="UAE141" s="786"/>
      <c r="UAF141" s="786"/>
      <c r="UAG141" s="786"/>
      <c r="UAH141" s="786"/>
      <c r="UAI141" s="786"/>
      <c r="UAJ141" s="786"/>
      <c r="UAK141" s="786"/>
      <c r="UAL141" s="786"/>
      <c r="UAM141" s="786"/>
      <c r="UAN141" s="786"/>
      <c r="UAO141" s="786"/>
      <c r="UAP141" s="786"/>
      <c r="UAQ141" s="786"/>
      <c r="UAR141" s="786"/>
      <c r="UAS141" s="786"/>
      <c r="UAT141" s="786"/>
      <c r="UAU141" s="786"/>
      <c r="UAV141" s="786"/>
      <c r="UAW141" s="786"/>
      <c r="UAX141" s="786"/>
      <c r="UAY141" s="786"/>
      <c r="UAZ141" s="786"/>
      <c r="UBA141" s="786"/>
      <c r="UBB141" s="786"/>
      <c r="UBC141" s="786"/>
      <c r="UBD141" s="786"/>
      <c r="UBE141" s="786"/>
      <c r="UBF141" s="786"/>
      <c r="UBG141" s="786"/>
      <c r="UBH141" s="786"/>
      <c r="UBI141" s="786"/>
      <c r="UBJ141" s="786"/>
      <c r="UBK141" s="786"/>
      <c r="UBL141" s="786"/>
      <c r="UBM141" s="786"/>
      <c r="UBN141" s="786"/>
      <c r="UBO141" s="786"/>
      <c r="UBP141" s="786"/>
      <c r="UBQ141" s="786"/>
      <c r="UBR141" s="786"/>
      <c r="UBS141" s="786"/>
      <c r="UBT141" s="786"/>
      <c r="UBU141" s="786"/>
      <c r="UBV141" s="786"/>
      <c r="UBW141" s="786"/>
      <c r="UBX141" s="786"/>
      <c r="UBY141" s="786"/>
      <c r="UBZ141" s="786"/>
      <c r="UCA141" s="786"/>
      <c r="UCB141" s="786"/>
      <c r="UCC141" s="786"/>
      <c r="UCD141" s="786"/>
      <c r="UCE141" s="786"/>
      <c r="UCF141" s="786"/>
      <c r="UCG141" s="786"/>
      <c r="UCH141" s="786"/>
      <c r="UCI141" s="786"/>
      <c r="UCJ141" s="786"/>
      <c r="UCK141" s="786"/>
      <c r="UCL141" s="786"/>
      <c r="UCM141" s="786"/>
      <c r="UCN141" s="786"/>
      <c r="UCO141" s="786"/>
      <c r="UCP141" s="786"/>
      <c r="UCQ141" s="786"/>
      <c r="UCR141" s="786"/>
      <c r="UCS141" s="786"/>
      <c r="UCT141" s="786"/>
      <c r="UCU141" s="786"/>
      <c r="UCV141" s="786"/>
      <c r="UCW141" s="786"/>
      <c r="UCX141" s="786"/>
      <c r="UCY141" s="786"/>
      <c r="UCZ141" s="786"/>
      <c r="UDA141" s="786"/>
      <c r="UDB141" s="786"/>
      <c r="UDC141" s="786"/>
      <c r="UDD141" s="786"/>
      <c r="UDE141" s="786"/>
      <c r="UDF141" s="786"/>
      <c r="UDG141" s="786"/>
      <c r="UDH141" s="786"/>
      <c r="UDI141" s="786"/>
      <c r="UDJ141" s="786"/>
      <c r="UDK141" s="786"/>
      <c r="UDL141" s="786"/>
      <c r="UDM141" s="786"/>
      <c r="UDN141" s="786"/>
      <c r="UDO141" s="786"/>
      <c r="UDP141" s="786"/>
      <c r="UDQ141" s="786"/>
      <c r="UDR141" s="786"/>
      <c r="UDS141" s="786"/>
      <c r="UDT141" s="786"/>
      <c r="UDU141" s="786"/>
      <c r="UDV141" s="786"/>
      <c r="UDW141" s="786"/>
      <c r="UDX141" s="786"/>
      <c r="UDY141" s="786"/>
      <c r="UDZ141" s="786"/>
      <c r="UEA141" s="786"/>
      <c r="UEB141" s="786"/>
      <c r="UEC141" s="786"/>
      <c r="UED141" s="786"/>
      <c r="UEE141" s="786"/>
      <c r="UEF141" s="786"/>
      <c r="UEG141" s="786"/>
      <c r="UEH141" s="786"/>
      <c r="UEI141" s="786"/>
      <c r="UEJ141" s="786"/>
      <c r="UEK141" s="786"/>
      <c r="UEL141" s="786"/>
      <c r="UEM141" s="786"/>
      <c r="UEN141" s="786"/>
      <c r="UEO141" s="786"/>
      <c r="UEP141" s="786"/>
      <c r="UEQ141" s="786"/>
      <c r="UER141" s="786"/>
      <c r="UES141" s="786"/>
      <c r="UET141" s="786"/>
      <c r="UEU141" s="786"/>
      <c r="UEV141" s="786"/>
      <c r="UEW141" s="786"/>
      <c r="UEX141" s="786"/>
      <c r="UEY141" s="786"/>
      <c r="UEZ141" s="786"/>
      <c r="UFA141" s="786"/>
      <c r="UFB141" s="786"/>
      <c r="UFC141" s="786"/>
      <c r="UFD141" s="786"/>
      <c r="UFE141" s="786"/>
      <c r="UFF141" s="786"/>
      <c r="UFG141" s="786"/>
      <c r="UFH141" s="786"/>
      <c r="UFI141" s="786"/>
      <c r="UFJ141" s="786"/>
      <c r="UFK141" s="786"/>
      <c r="UFL141" s="786"/>
      <c r="UFM141" s="786"/>
      <c r="UFN141" s="786"/>
      <c r="UFO141" s="786"/>
      <c r="UFP141" s="786"/>
      <c r="UFQ141" s="786"/>
      <c r="UFR141" s="786"/>
      <c r="UFS141" s="786"/>
      <c r="UFT141" s="786"/>
      <c r="UFU141" s="786"/>
      <c r="UFV141" s="786"/>
      <c r="UFW141" s="786"/>
      <c r="UFX141" s="786"/>
      <c r="UFY141" s="786"/>
      <c r="UFZ141" s="786"/>
      <c r="UGA141" s="786"/>
      <c r="UGB141" s="786"/>
      <c r="UGC141" s="786"/>
      <c r="UGD141" s="786"/>
      <c r="UGE141" s="786"/>
      <c r="UGF141" s="786"/>
      <c r="UGG141" s="786"/>
      <c r="UGH141" s="786"/>
      <c r="UGI141" s="786"/>
      <c r="UGJ141" s="786"/>
      <c r="UGK141" s="786"/>
      <c r="UGL141" s="786"/>
      <c r="UGM141" s="786"/>
      <c r="UGN141" s="786"/>
      <c r="UGO141" s="786"/>
      <c r="UGP141" s="786"/>
      <c r="UGQ141" s="786"/>
      <c r="UGR141" s="786"/>
      <c r="UGS141" s="786"/>
      <c r="UGT141" s="786"/>
      <c r="UGU141" s="786"/>
      <c r="UGV141" s="786"/>
      <c r="UGW141" s="786"/>
      <c r="UGX141" s="786"/>
      <c r="UGY141" s="786"/>
      <c r="UGZ141" s="786"/>
      <c r="UHA141" s="786"/>
      <c r="UHB141" s="786"/>
      <c r="UHC141" s="786"/>
      <c r="UHD141" s="786"/>
      <c r="UHE141" s="786"/>
      <c r="UHF141" s="786"/>
      <c r="UHG141" s="786"/>
      <c r="UHH141" s="786"/>
      <c r="UHI141" s="786"/>
      <c r="UHJ141" s="786"/>
      <c r="UHK141" s="786"/>
      <c r="UHL141" s="786"/>
      <c r="UHM141" s="786"/>
      <c r="UHN141" s="786"/>
      <c r="UHO141" s="786"/>
      <c r="UHP141" s="786"/>
      <c r="UHQ141" s="786"/>
      <c r="UHR141" s="786"/>
      <c r="UHS141" s="786"/>
      <c r="UHT141" s="786"/>
      <c r="UHU141" s="786"/>
      <c r="UHV141" s="786"/>
      <c r="UHW141" s="786"/>
      <c r="UHX141" s="786"/>
      <c r="UHY141" s="786"/>
      <c r="UHZ141" s="786"/>
      <c r="UIA141" s="786"/>
      <c r="UIB141" s="786"/>
      <c r="UIC141" s="786"/>
      <c r="UID141" s="786"/>
      <c r="UIE141" s="786"/>
      <c r="UIF141" s="786"/>
      <c r="UIG141" s="786"/>
      <c r="UIH141" s="786"/>
      <c r="UII141" s="786"/>
      <c r="UIJ141" s="786"/>
      <c r="UIK141" s="786"/>
      <c r="UIL141" s="786"/>
      <c r="UIM141" s="786"/>
      <c r="UIN141" s="786"/>
      <c r="UIO141" s="786"/>
      <c r="UIP141" s="786"/>
      <c r="UIQ141" s="786"/>
      <c r="UIR141" s="786"/>
      <c r="UIS141" s="786"/>
      <c r="UIT141" s="786"/>
      <c r="UIU141" s="786"/>
      <c r="UIV141" s="786"/>
      <c r="UIW141" s="786"/>
      <c r="UIX141" s="786"/>
      <c r="UIY141" s="786"/>
      <c r="UIZ141" s="786"/>
      <c r="UJA141" s="786"/>
      <c r="UJB141" s="786"/>
      <c r="UJC141" s="786"/>
      <c r="UJD141" s="786"/>
      <c r="UJE141" s="786"/>
      <c r="UJF141" s="786"/>
      <c r="UJG141" s="786"/>
      <c r="UJH141" s="786"/>
      <c r="UJI141" s="786"/>
      <c r="UJJ141" s="786"/>
      <c r="UJK141" s="786"/>
      <c r="UJL141" s="786"/>
      <c r="UJM141" s="786"/>
      <c r="UJN141" s="786"/>
      <c r="UJO141" s="786"/>
      <c r="UJP141" s="786"/>
      <c r="UJQ141" s="786"/>
      <c r="UJR141" s="786"/>
      <c r="UJS141" s="786"/>
      <c r="UJT141" s="786"/>
      <c r="UJU141" s="786"/>
      <c r="UJV141" s="786"/>
      <c r="UJW141" s="786"/>
      <c r="UJX141" s="786"/>
      <c r="UJY141" s="786"/>
      <c r="UJZ141" s="786"/>
      <c r="UKA141" s="786"/>
      <c r="UKB141" s="786"/>
      <c r="UKC141" s="786"/>
      <c r="UKD141" s="786"/>
      <c r="UKE141" s="786"/>
      <c r="UKF141" s="786"/>
      <c r="UKG141" s="786"/>
      <c r="UKH141" s="786"/>
      <c r="UKI141" s="786"/>
      <c r="UKJ141" s="786"/>
      <c r="UKK141" s="786"/>
      <c r="UKL141" s="786"/>
      <c r="UKM141" s="786"/>
      <c r="UKN141" s="786"/>
      <c r="UKO141" s="786"/>
      <c r="UKP141" s="786"/>
      <c r="UKQ141" s="786"/>
      <c r="UKR141" s="786"/>
      <c r="UKS141" s="786"/>
      <c r="UKT141" s="786"/>
      <c r="UKU141" s="786"/>
      <c r="UKV141" s="786"/>
      <c r="UKW141" s="786"/>
      <c r="UKX141" s="786"/>
      <c r="UKY141" s="786"/>
      <c r="UKZ141" s="786"/>
      <c r="ULA141" s="786"/>
      <c r="ULB141" s="786"/>
      <c r="ULC141" s="786"/>
      <c r="ULD141" s="786"/>
      <c r="ULE141" s="786"/>
      <c r="ULF141" s="786"/>
      <c r="ULG141" s="786"/>
      <c r="ULH141" s="786"/>
      <c r="ULI141" s="786"/>
      <c r="ULJ141" s="786"/>
      <c r="ULK141" s="786"/>
      <c r="ULL141" s="786"/>
      <c r="ULM141" s="786"/>
      <c r="ULN141" s="786"/>
      <c r="ULO141" s="786"/>
      <c r="ULP141" s="786"/>
      <c r="ULQ141" s="786"/>
      <c r="ULR141" s="786"/>
      <c r="ULS141" s="786"/>
      <c r="ULT141" s="786"/>
      <c r="ULU141" s="786"/>
      <c r="ULV141" s="786"/>
      <c r="ULW141" s="786"/>
      <c r="ULX141" s="786"/>
      <c r="ULY141" s="786"/>
      <c r="ULZ141" s="786"/>
      <c r="UMA141" s="786"/>
      <c r="UMB141" s="786"/>
      <c r="UMC141" s="786"/>
      <c r="UMD141" s="786"/>
      <c r="UME141" s="786"/>
      <c r="UMF141" s="786"/>
      <c r="UMG141" s="786"/>
      <c r="UMH141" s="786"/>
      <c r="UMI141" s="786"/>
      <c r="UMJ141" s="786"/>
      <c r="UMK141" s="786"/>
      <c r="UML141" s="786"/>
      <c r="UMM141" s="786"/>
      <c r="UMN141" s="786"/>
      <c r="UMO141" s="786"/>
      <c r="UMP141" s="786"/>
      <c r="UMQ141" s="786"/>
      <c r="UMR141" s="786"/>
      <c r="UMS141" s="786"/>
      <c r="UMT141" s="786"/>
      <c r="UMU141" s="786"/>
      <c r="UMV141" s="786"/>
      <c r="UMW141" s="786"/>
      <c r="UMX141" s="786"/>
      <c r="UMY141" s="786"/>
      <c r="UMZ141" s="786"/>
      <c r="UNA141" s="786"/>
      <c r="UNB141" s="786"/>
      <c r="UNC141" s="786"/>
      <c r="UND141" s="786"/>
      <c r="UNE141" s="786"/>
      <c r="UNF141" s="786"/>
      <c r="UNG141" s="786"/>
      <c r="UNH141" s="786"/>
      <c r="UNI141" s="786"/>
      <c r="UNJ141" s="786"/>
      <c r="UNK141" s="786"/>
      <c r="UNL141" s="786"/>
      <c r="UNM141" s="786"/>
      <c r="UNN141" s="786"/>
      <c r="UNO141" s="786"/>
      <c r="UNP141" s="786"/>
      <c r="UNQ141" s="786"/>
      <c r="UNR141" s="786"/>
      <c r="UNS141" s="786"/>
      <c r="UNT141" s="786"/>
      <c r="UNU141" s="786"/>
      <c r="UNV141" s="786"/>
      <c r="UNW141" s="786"/>
      <c r="UNX141" s="786"/>
      <c r="UNY141" s="786"/>
      <c r="UNZ141" s="786"/>
      <c r="UOA141" s="786"/>
      <c r="UOB141" s="786"/>
      <c r="UOC141" s="786"/>
      <c r="UOD141" s="786"/>
      <c r="UOE141" s="786"/>
      <c r="UOF141" s="786"/>
      <c r="UOG141" s="786"/>
      <c r="UOH141" s="786"/>
      <c r="UOI141" s="786"/>
      <c r="UOJ141" s="786"/>
      <c r="UOK141" s="786"/>
      <c r="UOL141" s="786"/>
      <c r="UOM141" s="786"/>
      <c r="UON141" s="786"/>
      <c r="UOO141" s="786"/>
      <c r="UOP141" s="786"/>
      <c r="UOQ141" s="786"/>
      <c r="UOR141" s="786"/>
      <c r="UOS141" s="786"/>
      <c r="UOT141" s="786"/>
      <c r="UOU141" s="786"/>
      <c r="UOV141" s="786"/>
      <c r="UOW141" s="786"/>
      <c r="UOX141" s="786"/>
      <c r="UOY141" s="786"/>
      <c r="UOZ141" s="786"/>
      <c r="UPA141" s="786"/>
      <c r="UPB141" s="786"/>
      <c r="UPC141" s="786"/>
      <c r="UPD141" s="786"/>
      <c r="UPE141" s="786"/>
      <c r="UPF141" s="786"/>
      <c r="UPG141" s="786"/>
      <c r="UPH141" s="786"/>
      <c r="UPI141" s="786"/>
      <c r="UPJ141" s="786"/>
      <c r="UPK141" s="786"/>
      <c r="UPL141" s="786"/>
      <c r="UPM141" s="786"/>
      <c r="UPN141" s="786"/>
      <c r="UPO141" s="786"/>
      <c r="UPP141" s="786"/>
      <c r="UPQ141" s="786"/>
      <c r="UPR141" s="786"/>
      <c r="UPS141" s="786"/>
      <c r="UPT141" s="786"/>
      <c r="UPU141" s="786"/>
      <c r="UPV141" s="786"/>
      <c r="UPW141" s="786"/>
      <c r="UPX141" s="786"/>
      <c r="UPY141" s="786"/>
      <c r="UPZ141" s="786"/>
      <c r="UQA141" s="786"/>
      <c r="UQB141" s="786"/>
      <c r="UQC141" s="786"/>
      <c r="UQD141" s="786"/>
      <c r="UQE141" s="786"/>
      <c r="UQF141" s="786"/>
      <c r="UQG141" s="786"/>
      <c r="UQH141" s="786"/>
      <c r="UQI141" s="786"/>
      <c r="UQJ141" s="786"/>
      <c r="UQK141" s="786"/>
      <c r="UQL141" s="786"/>
      <c r="UQM141" s="786"/>
      <c r="UQN141" s="786"/>
      <c r="UQO141" s="786"/>
      <c r="UQP141" s="786"/>
      <c r="UQQ141" s="786"/>
      <c r="UQR141" s="786"/>
      <c r="UQS141" s="786"/>
      <c r="UQT141" s="786"/>
      <c r="UQU141" s="786"/>
      <c r="UQV141" s="786"/>
      <c r="UQW141" s="786"/>
      <c r="UQX141" s="786"/>
      <c r="UQY141" s="786"/>
      <c r="UQZ141" s="786"/>
      <c r="URA141" s="786"/>
      <c r="URB141" s="786"/>
      <c r="URC141" s="786"/>
      <c r="URD141" s="786"/>
      <c r="URE141" s="786"/>
      <c r="URF141" s="786"/>
      <c r="URG141" s="786"/>
      <c r="URH141" s="786"/>
      <c r="URI141" s="786"/>
      <c r="URJ141" s="786"/>
      <c r="URK141" s="786"/>
      <c r="URL141" s="786"/>
      <c r="URM141" s="786"/>
      <c r="URN141" s="786"/>
      <c r="URO141" s="786"/>
      <c r="URP141" s="786"/>
      <c r="URQ141" s="786"/>
      <c r="URR141" s="786"/>
      <c r="URS141" s="786"/>
      <c r="URT141" s="786"/>
      <c r="URU141" s="786"/>
      <c r="URV141" s="786"/>
      <c r="URW141" s="786"/>
      <c r="URX141" s="786"/>
      <c r="URY141" s="786"/>
      <c r="URZ141" s="786"/>
      <c r="USA141" s="786"/>
      <c r="USB141" s="786"/>
      <c r="USC141" s="786"/>
      <c r="USD141" s="786"/>
      <c r="USE141" s="786"/>
      <c r="USF141" s="786"/>
      <c r="USG141" s="786"/>
      <c r="USH141" s="786"/>
      <c r="USI141" s="786"/>
      <c r="USJ141" s="786"/>
      <c r="USK141" s="786"/>
      <c r="USL141" s="786"/>
      <c r="USM141" s="786"/>
      <c r="USN141" s="786"/>
      <c r="USO141" s="786"/>
      <c r="USP141" s="786"/>
      <c r="USQ141" s="786"/>
      <c r="USR141" s="786"/>
      <c r="USS141" s="786"/>
      <c r="UST141" s="786"/>
      <c r="USU141" s="786"/>
      <c r="USV141" s="786"/>
      <c r="USW141" s="786"/>
      <c r="USX141" s="786"/>
      <c r="USY141" s="786"/>
      <c r="USZ141" s="786"/>
      <c r="UTA141" s="786"/>
      <c r="UTB141" s="786"/>
      <c r="UTC141" s="786"/>
      <c r="UTD141" s="786"/>
      <c r="UTE141" s="786"/>
      <c r="UTF141" s="786"/>
      <c r="UTG141" s="786"/>
      <c r="UTH141" s="786"/>
      <c r="UTI141" s="786"/>
      <c r="UTJ141" s="786"/>
      <c r="UTK141" s="786"/>
      <c r="UTL141" s="786"/>
      <c r="UTM141" s="786"/>
      <c r="UTN141" s="786"/>
      <c r="UTO141" s="786"/>
      <c r="UTP141" s="786"/>
      <c r="UTQ141" s="786"/>
      <c r="UTR141" s="786"/>
      <c r="UTS141" s="786"/>
      <c r="UTT141" s="786"/>
      <c r="UTU141" s="786"/>
      <c r="UTV141" s="786"/>
      <c r="UTW141" s="786"/>
      <c r="UTX141" s="786"/>
      <c r="UTY141" s="786"/>
      <c r="UTZ141" s="786"/>
      <c r="UUA141" s="786"/>
      <c r="UUB141" s="786"/>
      <c r="UUC141" s="786"/>
      <c r="UUD141" s="786"/>
      <c r="UUE141" s="786"/>
      <c r="UUF141" s="786"/>
      <c r="UUG141" s="786"/>
      <c r="UUH141" s="786"/>
      <c r="UUI141" s="786"/>
      <c r="UUJ141" s="786"/>
      <c r="UUK141" s="786"/>
      <c r="UUL141" s="786"/>
      <c r="UUM141" s="786"/>
      <c r="UUN141" s="786"/>
      <c r="UUO141" s="786"/>
      <c r="UUP141" s="786"/>
      <c r="UUQ141" s="786"/>
      <c r="UUR141" s="786"/>
      <c r="UUS141" s="786"/>
      <c r="UUT141" s="786"/>
      <c r="UUU141" s="786"/>
      <c r="UUV141" s="786"/>
      <c r="UUW141" s="786"/>
      <c r="UUX141" s="786"/>
      <c r="UUY141" s="786"/>
      <c r="UUZ141" s="786"/>
      <c r="UVA141" s="786"/>
      <c r="UVB141" s="786"/>
      <c r="UVC141" s="786"/>
      <c r="UVD141" s="786"/>
      <c r="UVE141" s="786"/>
      <c r="UVF141" s="786"/>
      <c r="UVG141" s="786"/>
      <c r="UVH141" s="786"/>
      <c r="UVI141" s="786"/>
      <c r="UVJ141" s="786"/>
      <c r="UVK141" s="786"/>
      <c r="UVL141" s="786"/>
      <c r="UVM141" s="786"/>
      <c r="UVN141" s="786"/>
      <c r="UVO141" s="786"/>
      <c r="UVP141" s="786"/>
      <c r="UVQ141" s="786"/>
      <c r="UVR141" s="786"/>
      <c r="UVS141" s="786"/>
      <c r="UVT141" s="786"/>
      <c r="UVU141" s="786"/>
      <c r="UVV141" s="786"/>
      <c r="UVW141" s="786"/>
      <c r="UVX141" s="786"/>
      <c r="UVY141" s="786"/>
      <c r="UVZ141" s="786"/>
      <c r="UWA141" s="786"/>
      <c r="UWB141" s="786"/>
      <c r="UWC141" s="786"/>
      <c r="UWD141" s="786"/>
      <c r="UWE141" s="786"/>
      <c r="UWF141" s="786"/>
      <c r="UWG141" s="786"/>
      <c r="UWH141" s="786"/>
      <c r="UWI141" s="786"/>
      <c r="UWJ141" s="786"/>
      <c r="UWK141" s="786"/>
      <c r="UWL141" s="786"/>
      <c r="UWM141" s="786"/>
      <c r="UWN141" s="786"/>
      <c r="UWO141" s="786"/>
      <c r="UWP141" s="786"/>
      <c r="UWQ141" s="786"/>
      <c r="UWR141" s="786"/>
      <c r="UWS141" s="786"/>
      <c r="UWT141" s="786"/>
      <c r="UWU141" s="786"/>
      <c r="UWV141" s="786"/>
      <c r="UWW141" s="786"/>
      <c r="UWX141" s="786"/>
      <c r="UWY141" s="786"/>
      <c r="UWZ141" s="786"/>
      <c r="UXA141" s="786"/>
      <c r="UXB141" s="786"/>
      <c r="UXC141" s="786"/>
      <c r="UXD141" s="786"/>
      <c r="UXE141" s="786"/>
      <c r="UXF141" s="786"/>
      <c r="UXG141" s="786"/>
      <c r="UXH141" s="786"/>
      <c r="UXI141" s="786"/>
      <c r="UXJ141" s="786"/>
      <c r="UXK141" s="786"/>
      <c r="UXL141" s="786"/>
      <c r="UXM141" s="786"/>
      <c r="UXN141" s="786"/>
      <c r="UXO141" s="786"/>
      <c r="UXP141" s="786"/>
      <c r="UXQ141" s="786"/>
      <c r="UXR141" s="786"/>
      <c r="UXS141" s="786"/>
      <c r="UXT141" s="786"/>
      <c r="UXU141" s="786"/>
      <c r="UXV141" s="786"/>
      <c r="UXW141" s="786"/>
      <c r="UXX141" s="786"/>
      <c r="UXY141" s="786"/>
      <c r="UXZ141" s="786"/>
      <c r="UYA141" s="786"/>
      <c r="UYB141" s="786"/>
      <c r="UYC141" s="786"/>
      <c r="UYD141" s="786"/>
      <c r="UYE141" s="786"/>
      <c r="UYF141" s="786"/>
      <c r="UYG141" s="786"/>
      <c r="UYH141" s="786"/>
      <c r="UYI141" s="786"/>
      <c r="UYJ141" s="786"/>
      <c r="UYK141" s="786"/>
      <c r="UYL141" s="786"/>
      <c r="UYM141" s="786"/>
      <c r="UYN141" s="786"/>
      <c r="UYO141" s="786"/>
      <c r="UYP141" s="786"/>
      <c r="UYQ141" s="786"/>
      <c r="UYR141" s="786"/>
      <c r="UYS141" s="786"/>
      <c r="UYT141" s="786"/>
      <c r="UYU141" s="786"/>
      <c r="UYV141" s="786"/>
      <c r="UYW141" s="786"/>
      <c r="UYX141" s="786"/>
      <c r="UYY141" s="786"/>
      <c r="UYZ141" s="786"/>
      <c r="UZA141" s="786"/>
      <c r="UZB141" s="786"/>
      <c r="UZC141" s="786"/>
      <c r="UZD141" s="786"/>
      <c r="UZE141" s="786"/>
      <c r="UZF141" s="786"/>
      <c r="UZG141" s="786"/>
      <c r="UZH141" s="786"/>
      <c r="UZI141" s="786"/>
      <c r="UZJ141" s="786"/>
      <c r="UZK141" s="786"/>
      <c r="UZL141" s="786"/>
      <c r="UZM141" s="786"/>
      <c r="UZN141" s="786"/>
      <c r="UZO141" s="786"/>
      <c r="UZP141" s="786"/>
      <c r="UZQ141" s="786"/>
      <c r="UZR141" s="786"/>
      <c r="UZS141" s="786"/>
      <c r="UZT141" s="786"/>
      <c r="UZU141" s="786"/>
      <c r="UZV141" s="786"/>
      <c r="UZW141" s="786"/>
      <c r="UZX141" s="786"/>
      <c r="UZY141" s="786"/>
      <c r="UZZ141" s="786"/>
      <c r="VAA141" s="786"/>
      <c r="VAB141" s="786"/>
      <c r="VAC141" s="786"/>
      <c r="VAD141" s="786"/>
      <c r="VAE141" s="786"/>
      <c r="VAF141" s="786"/>
      <c r="VAG141" s="786"/>
      <c r="VAH141" s="786"/>
      <c r="VAI141" s="786"/>
      <c r="VAJ141" s="786"/>
      <c r="VAK141" s="786"/>
      <c r="VAL141" s="786"/>
      <c r="VAM141" s="786"/>
      <c r="VAN141" s="786"/>
      <c r="VAO141" s="786"/>
      <c r="VAP141" s="786"/>
      <c r="VAQ141" s="786"/>
      <c r="VAR141" s="786"/>
      <c r="VAS141" s="786"/>
      <c r="VAT141" s="786"/>
      <c r="VAU141" s="786"/>
      <c r="VAV141" s="786"/>
      <c r="VAW141" s="786"/>
      <c r="VAX141" s="786"/>
      <c r="VAY141" s="786"/>
      <c r="VAZ141" s="786"/>
      <c r="VBA141" s="786"/>
      <c r="VBB141" s="786"/>
      <c r="VBC141" s="786"/>
      <c r="VBD141" s="786"/>
      <c r="VBE141" s="786"/>
      <c r="VBF141" s="786"/>
      <c r="VBG141" s="786"/>
      <c r="VBH141" s="786"/>
      <c r="VBI141" s="786"/>
      <c r="VBJ141" s="786"/>
      <c r="VBK141" s="786"/>
      <c r="VBL141" s="786"/>
      <c r="VBM141" s="786"/>
      <c r="VBN141" s="786"/>
      <c r="VBO141" s="786"/>
      <c r="VBP141" s="786"/>
      <c r="VBQ141" s="786"/>
      <c r="VBR141" s="786"/>
      <c r="VBS141" s="786"/>
      <c r="VBT141" s="786"/>
      <c r="VBU141" s="786"/>
      <c r="VBV141" s="786"/>
      <c r="VBW141" s="786"/>
      <c r="VBX141" s="786"/>
      <c r="VBY141" s="786"/>
      <c r="VBZ141" s="786"/>
      <c r="VCA141" s="786"/>
      <c r="VCB141" s="786"/>
      <c r="VCC141" s="786"/>
      <c r="VCD141" s="786"/>
      <c r="VCE141" s="786"/>
      <c r="VCF141" s="786"/>
      <c r="VCG141" s="786"/>
      <c r="VCH141" s="786"/>
      <c r="VCI141" s="786"/>
      <c r="VCJ141" s="786"/>
      <c r="VCK141" s="786"/>
      <c r="VCL141" s="786"/>
      <c r="VCM141" s="786"/>
      <c r="VCN141" s="786"/>
      <c r="VCO141" s="786"/>
      <c r="VCP141" s="786"/>
      <c r="VCQ141" s="786"/>
      <c r="VCR141" s="786"/>
      <c r="VCS141" s="786"/>
      <c r="VCT141" s="786"/>
      <c r="VCU141" s="786"/>
      <c r="VCV141" s="786"/>
      <c r="VCW141" s="786"/>
      <c r="VCX141" s="786"/>
      <c r="VCY141" s="786"/>
      <c r="VCZ141" s="786"/>
      <c r="VDA141" s="786"/>
      <c r="VDB141" s="786"/>
      <c r="VDC141" s="786"/>
      <c r="VDD141" s="786"/>
      <c r="VDE141" s="786"/>
      <c r="VDF141" s="786"/>
      <c r="VDG141" s="786"/>
      <c r="VDH141" s="786"/>
      <c r="VDI141" s="786"/>
      <c r="VDJ141" s="786"/>
      <c r="VDK141" s="786"/>
      <c r="VDL141" s="786"/>
      <c r="VDM141" s="786"/>
      <c r="VDN141" s="786"/>
      <c r="VDO141" s="786"/>
      <c r="VDP141" s="786"/>
      <c r="VDQ141" s="786"/>
      <c r="VDR141" s="786"/>
      <c r="VDS141" s="786"/>
      <c r="VDT141" s="786"/>
      <c r="VDU141" s="786"/>
      <c r="VDV141" s="786"/>
      <c r="VDW141" s="786"/>
      <c r="VDX141" s="786"/>
      <c r="VDY141" s="786"/>
      <c r="VDZ141" s="786"/>
      <c r="VEA141" s="786"/>
      <c r="VEB141" s="786"/>
      <c r="VEC141" s="786"/>
      <c r="VED141" s="786"/>
      <c r="VEE141" s="786"/>
      <c r="VEF141" s="786"/>
      <c r="VEG141" s="786"/>
      <c r="VEH141" s="786"/>
      <c r="VEI141" s="786"/>
      <c r="VEJ141" s="786"/>
      <c r="VEK141" s="786"/>
      <c r="VEL141" s="786"/>
      <c r="VEM141" s="786"/>
      <c r="VEN141" s="786"/>
      <c r="VEO141" s="786"/>
      <c r="VEP141" s="786"/>
      <c r="VEQ141" s="786"/>
      <c r="VER141" s="786"/>
      <c r="VES141" s="786"/>
      <c r="VET141" s="786"/>
      <c r="VEU141" s="786"/>
      <c r="VEV141" s="786"/>
      <c r="VEW141" s="786"/>
      <c r="VEX141" s="786"/>
      <c r="VEY141" s="786"/>
      <c r="VEZ141" s="786"/>
      <c r="VFA141" s="786"/>
      <c r="VFB141" s="786"/>
      <c r="VFC141" s="786"/>
      <c r="VFD141" s="786"/>
      <c r="VFE141" s="786"/>
      <c r="VFF141" s="786"/>
      <c r="VFG141" s="786"/>
      <c r="VFH141" s="786"/>
      <c r="VFI141" s="786"/>
      <c r="VFJ141" s="786"/>
      <c r="VFK141" s="786"/>
      <c r="VFL141" s="786"/>
      <c r="VFM141" s="786"/>
      <c r="VFN141" s="786"/>
      <c r="VFO141" s="786"/>
      <c r="VFP141" s="786"/>
      <c r="VFQ141" s="786"/>
      <c r="VFR141" s="786"/>
      <c r="VFS141" s="786"/>
      <c r="VFT141" s="786"/>
      <c r="VFU141" s="786"/>
      <c r="VFV141" s="786"/>
      <c r="VFW141" s="786"/>
      <c r="VFX141" s="786"/>
      <c r="VFY141" s="786"/>
      <c r="VFZ141" s="786"/>
      <c r="VGA141" s="786"/>
      <c r="VGB141" s="786"/>
      <c r="VGC141" s="786"/>
      <c r="VGD141" s="786"/>
      <c r="VGE141" s="786"/>
      <c r="VGF141" s="786"/>
      <c r="VGG141" s="786"/>
      <c r="VGH141" s="786"/>
      <c r="VGI141" s="786"/>
      <c r="VGJ141" s="786"/>
      <c r="VGK141" s="786"/>
      <c r="VGL141" s="786"/>
      <c r="VGM141" s="786"/>
      <c r="VGN141" s="786"/>
      <c r="VGO141" s="786"/>
      <c r="VGP141" s="786"/>
      <c r="VGQ141" s="786"/>
      <c r="VGR141" s="786"/>
      <c r="VGS141" s="786"/>
      <c r="VGT141" s="786"/>
      <c r="VGU141" s="786"/>
      <c r="VGV141" s="786"/>
      <c r="VGW141" s="786"/>
      <c r="VGX141" s="786"/>
      <c r="VGY141" s="786"/>
      <c r="VGZ141" s="786"/>
      <c r="VHA141" s="786"/>
      <c r="VHB141" s="786"/>
      <c r="VHC141" s="786"/>
      <c r="VHD141" s="786"/>
      <c r="VHE141" s="786"/>
      <c r="VHF141" s="786"/>
      <c r="VHG141" s="786"/>
      <c r="VHH141" s="786"/>
      <c r="VHI141" s="786"/>
      <c r="VHJ141" s="786"/>
      <c r="VHK141" s="786"/>
      <c r="VHL141" s="786"/>
      <c r="VHM141" s="786"/>
      <c r="VHN141" s="786"/>
      <c r="VHO141" s="786"/>
      <c r="VHP141" s="786"/>
      <c r="VHQ141" s="786"/>
      <c r="VHR141" s="786"/>
      <c r="VHS141" s="786"/>
      <c r="VHT141" s="786"/>
      <c r="VHU141" s="786"/>
      <c r="VHV141" s="786"/>
      <c r="VHW141" s="786"/>
      <c r="VHX141" s="786"/>
      <c r="VHY141" s="786"/>
      <c r="VHZ141" s="786"/>
      <c r="VIA141" s="786"/>
      <c r="VIB141" s="786"/>
      <c r="VIC141" s="786"/>
      <c r="VID141" s="786"/>
      <c r="VIE141" s="786"/>
      <c r="VIF141" s="786"/>
      <c r="VIG141" s="786"/>
      <c r="VIH141" s="786"/>
      <c r="VII141" s="786"/>
      <c r="VIJ141" s="786"/>
      <c r="VIK141" s="786"/>
      <c r="VIL141" s="786"/>
      <c r="VIM141" s="786"/>
      <c r="VIN141" s="786"/>
      <c r="VIO141" s="786"/>
      <c r="VIP141" s="786"/>
      <c r="VIQ141" s="786"/>
      <c r="VIR141" s="786"/>
      <c r="VIS141" s="786"/>
      <c r="VIT141" s="786"/>
      <c r="VIU141" s="786"/>
      <c r="VIV141" s="786"/>
      <c r="VIW141" s="786"/>
      <c r="VIX141" s="786"/>
      <c r="VIY141" s="786"/>
      <c r="VIZ141" s="786"/>
      <c r="VJA141" s="786"/>
      <c r="VJB141" s="786"/>
      <c r="VJC141" s="786"/>
      <c r="VJD141" s="786"/>
      <c r="VJE141" s="786"/>
      <c r="VJF141" s="786"/>
      <c r="VJG141" s="786"/>
      <c r="VJH141" s="786"/>
      <c r="VJI141" s="786"/>
      <c r="VJJ141" s="786"/>
      <c r="VJK141" s="786"/>
      <c r="VJL141" s="786"/>
      <c r="VJM141" s="786"/>
      <c r="VJN141" s="786"/>
      <c r="VJO141" s="786"/>
      <c r="VJP141" s="786"/>
      <c r="VJQ141" s="786"/>
      <c r="VJR141" s="786"/>
      <c r="VJS141" s="786"/>
      <c r="VJT141" s="786"/>
      <c r="VJU141" s="786"/>
      <c r="VJV141" s="786"/>
      <c r="VJW141" s="786"/>
      <c r="VJX141" s="786"/>
      <c r="VJY141" s="786"/>
      <c r="VJZ141" s="786"/>
      <c r="VKA141" s="786"/>
      <c r="VKB141" s="786"/>
      <c r="VKC141" s="786"/>
      <c r="VKD141" s="786"/>
      <c r="VKE141" s="786"/>
      <c r="VKF141" s="786"/>
      <c r="VKG141" s="786"/>
      <c r="VKH141" s="786"/>
      <c r="VKI141" s="786"/>
      <c r="VKJ141" s="786"/>
      <c r="VKK141" s="786"/>
      <c r="VKL141" s="786"/>
      <c r="VKM141" s="786"/>
      <c r="VKN141" s="786"/>
      <c r="VKO141" s="786"/>
      <c r="VKP141" s="786"/>
      <c r="VKQ141" s="786"/>
      <c r="VKR141" s="786"/>
      <c r="VKS141" s="786"/>
      <c r="VKT141" s="786"/>
      <c r="VKU141" s="786"/>
      <c r="VKV141" s="786"/>
      <c r="VKW141" s="786"/>
      <c r="VKX141" s="786"/>
      <c r="VKY141" s="786"/>
      <c r="VKZ141" s="786"/>
      <c r="VLA141" s="786"/>
      <c r="VLB141" s="786"/>
      <c r="VLC141" s="786"/>
      <c r="VLD141" s="786"/>
      <c r="VLE141" s="786"/>
      <c r="VLF141" s="786"/>
      <c r="VLG141" s="786"/>
      <c r="VLH141" s="786"/>
      <c r="VLI141" s="786"/>
      <c r="VLJ141" s="786"/>
      <c r="VLK141" s="786"/>
      <c r="VLL141" s="786"/>
      <c r="VLM141" s="786"/>
      <c r="VLN141" s="786"/>
      <c r="VLO141" s="786"/>
      <c r="VLP141" s="786"/>
      <c r="VLQ141" s="786"/>
      <c r="VLR141" s="786"/>
      <c r="VLS141" s="786"/>
      <c r="VLT141" s="786"/>
      <c r="VLU141" s="786"/>
      <c r="VLV141" s="786"/>
      <c r="VLW141" s="786"/>
      <c r="VLX141" s="786"/>
      <c r="VLY141" s="786"/>
      <c r="VLZ141" s="786"/>
      <c r="VMA141" s="786"/>
      <c r="VMB141" s="786"/>
      <c r="VMC141" s="786"/>
      <c r="VMD141" s="786"/>
      <c r="VME141" s="786"/>
      <c r="VMF141" s="786"/>
      <c r="VMG141" s="786"/>
      <c r="VMH141" s="786"/>
      <c r="VMI141" s="786"/>
      <c r="VMJ141" s="786"/>
      <c r="VMK141" s="786"/>
      <c r="VML141" s="786"/>
      <c r="VMM141" s="786"/>
      <c r="VMN141" s="786"/>
      <c r="VMO141" s="786"/>
      <c r="VMP141" s="786"/>
      <c r="VMQ141" s="786"/>
      <c r="VMR141" s="786"/>
      <c r="VMS141" s="786"/>
      <c r="VMT141" s="786"/>
      <c r="VMU141" s="786"/>
      <c r="VMV141" s="786"/>
      <c r="VMW141" s="786"/>
      <c r="VMX141" s="786"/>
      <c r="VMY141" s="786"/>
      <c r="VMZ141" s="786"/>
      <c r="VNA141" s="786"/>
      <c r="VNB141" s="786"/>
      <c r="VNC141" s="786"/>
      <c r="VND141" s="786"/>
      <c r="VNE141" s="786"/>
      <c r="VNF141" s="786"/>
      <c r="VNG141" s="786"/>
      <c r="VNH141" s="786"/>
      <c r="VNI141" s="786"/>
      <c r="VNJ141" s="786"/>
      <c r="VNK141" s="786"/>
      <c r="VNL141" s="786"/>
      <c r="VNM141" s="786"/>
      <c r="VNN141" s="786"/>
      <c r="VNO141" s="786"/>
      <c r="VNP141" s="786"/>
      <c r="VNQ141" s="786"/>
      <c r="VNR141" s="786"/>
      <c r="VNS141" s="786"/>
      <c r="VNT141" s="786"/>
      <c r="VNU141" s="786"/>
      <c r="VNV141" s="786"/>
      <c r="VNW141" s="786"/>
      <c r="VNX141" s="786"/>
      <c r="VNY141" s="786"/>
      <c r="VNZ141" s="786"/>
      <c r="VOA141" s="786"/>
      <c r="VOB141" s="786"/>
      <c r="VOC141" s="786"/>
      <c r="VOD141" s="786"/>
      <c r="VOE141" s="786"/>
      <c r="VOF141" s="786"/>
      <c r="VOG141" s="786"/>
      <c r="VOH141" s="786"/>
      <c r="VOI141" s="786"/>
      <c r="VOJ141" s="786"/>
      <c r="VOK141" s="786"/>
      <c r="VOL141" s="786"/>
      <c r="VOM141" s="786"/>
      <c r="VON141" s="786"/>
      <c r="VOO141" s="786"/>
      <c r="VOP141" s="786"/>
      <c r="VOQ141" s="786"/>
      <c r="VOR141" s="786"/>
      <c r="VOS141" s="786"/>
      <c r="VOT141" s="786"/>
      <c r="VOU141" s="786"/>
      <c r="VOV141" s="786"/>
      <c r="VOW141" s="786"/>
      <c r="VOX141" s="786"/>
      <c r="VOY141" s="786"/>
      <c r="VOZ141" s="786"/>
      <c r="VPA141" s="786"/>
      <c r="VPB141" s="786"/>
      <c r="VPC141" s="786"/>
      <c r="VPD141" s="786"/>
      <c r="VPE141" s="786"/>
      <c r="VPF141" s="786"/>
      <c r="VPG141" s="786"/>
      <c r="VPH141" s="786"/>
      <c r="VPI141" s="786"/>
      <c r="VPJ141" s="786"/>
      <c r="VPK141" s="786"/>
      <c r="VPL141" s="786"/>
      <c r="VPM141" s="786"/>
      <c r="VPN141" s="786"/>
      <c r="VPO141" s="786"/>
      <c r="VPP141" s="786"/>
      <c r="VPQ141" s="786"/>
      <c r="VPR141" s="786"/>
      <c r="VPS141" s="786"/>
      <c r="VPT141" s="786"/>
      <c r="VPU141" s="786"/>
      <c r="VPV141" s="786"/>
      <c r="VPW141" s="786"/>
      <c r="VPX141" s="786"/>
      <c r="VPY141" s="786"/>
      <c r="VPZ141" s="786"/>
      <c r="VQA141" s="786"/>
      <c r="VQB141" s="786"/>
      <c r="VQC141" s="786"/>
      <c r="VQD141" s="786"/>
      <c r="VQE141" s="786"/>
      <c r="VQF141" s="786"/>
      <c r="VQG141" s="786"/>
      <c r="VQH141" s="786"/>
      <c r="VQI141" s="786"/>
      <c r="VQJ141" s="786"/>
      <c r="VQK141" s="786"/>
      <c r="VQL141" s="786"/>
      <c r="VQM141" s="786"/>
      <c r="VQN141" s="786"/>
      <c r="VQO141" s="786"/>
      <c r="VQP141" s="786"/>
      <c r="VQQ141" s="786"/>
      <c r="VQR141" s="786"/>
      <c r="VQS141" s="786"/>
      <c r="VQT141" s="786"/>
      <c r="VQU141" s="786"/>
      <c r="VQV141" s="786"/>
      <c r="VQW141" s="786"/>
      <c r="VQX141" s="786"/>
      <c r="VQY141" s="786"/>
      <c r="VQZ141" s="786"/>
      <c r="VRA141" s="786"/>
      <c r="VRB141" s="786"/>
      <c r="VRC141" s="786"/>
      <c r="VRD141" s="786"/>
      <c r="VRE141" s="786"/>
      <c r="VRF141" s="786"/>
      <c r="VRG141" s="786"/>
      <c r="VRH141" s="786"/>
      <c r="VRI141" s="786"/>
      <c r="VRJ141" s="786"/>
      <c r="VRK141" s="786"/>
      <c r="VRL141" s="786"/>
      <c r="VRM141" s="786"/>
      <c r="VRN141" s="786"/>
      <c r="VRO141" s="786"/>
      <c r="VRP141" s="786"/>
      <c r="VRQ141" s="786"/>
      <c r="VRR141" s="786"/>
      <c r="VRS141" s="786"/>
      <c r="VRT141" s="786"/>
      <c r="VRU141" s="786"/>
      <c r="VRV141" s="786"/>
      <c r="VRW141" s="786"/>
      <c r="VRX141" s="786"/>
      <c r="VRY141" s="786"/>
      <c r="VRZ141" s="786"/>
      <c r="VSA141" s="786"/>
      <c r="VSB141" s="786"/>
      <c r="VSC141" s="786"/>
      <c r="VSD141" s="786"/>
      <c r="VSE141" s="786"/>
      <c r="VSF141" s="786"/>
      <c r="VSG141" s="786"/>
      <c r="VSH141" s="786"/>
      <c r="VSI141" s="786"/>
      <c r="VSJ141" s="786"/>
      <c r="VSK141" s="786"/>
      <c r="VSL141" s="786"/>
      <c r="VSM141" s="786"/>
      <c r="VSN141" s="786"/>
      <c r="VSO141" s="786"/>
      <c r="VSP141" s="786"/>
      <c r="VSQ141" s="786"/>
      <c r="VSR141" s="786"/>
      <c r="VSS141" s="786"/>
      <c r="VST141" s="786"/>
      <c r="VSU141" s="786"/>
      <c r="VSV141" s="786"/>
      <c r="VSW141" s="786"/>
      <c r="VSX141" s="786"/>
      <c r="VSY141" s="786"/>
      <c r="VSZ141" s="786"/>
      <c r="VTA141" s="786"/>
      <c r="VTB141" s="786"/>
      <c r="VTC141" s="786"/>
      <c r="VTD141" s="786"/>
      <c r="VTE141" s="786"/>
      <c r="VTF141" s="786"/>
      <c r="VTG141" s="786"/>
      <c r="VTH141" s="786"/>
      <c r="VTI141" s="786"/>
      <c r="VTJ141" s="786"/>
      <c r="VTK141" s="786"/>
      <c r="VTL141" s="786"/>
      <c r="VTM141" s="786"/>
      <c r="VTN141" s="786"/>
      <c r="VTO141" s="786"/>
      <c r="VTP141" s="786"/>
      <c r="VTQ141" s="786"/>
      <c r="VTR141" s="786"/>
      <c r="VTS141" s="786"/>
      <c r="VTT141" s="786"/>
      <c r="VTU141" s="786"/>
      <c r="VTV141" s="786"/>
      <c r="VTW141" s="786"/>
      <c r="VTX141" s="786"/>
      <c r="VTY141" s="786"/>
      <c r="VTZ141" s="786"/>
      <c r="VUA141" s="786"/>
      <c r="VUB141" s="786"/>
      <c r="VUC141" s="786"/>
      <c r="VUD141" s="786"/>
      <c r="VUE141" s="786"/>
      <c r="VUF141" s="786"/>
      <c r="VUG141" s="786"/>
      <c r="VUH141" s="786"/>
      <c r="VUI141" s="786"/>
      <c r="VUJ141" s="786"/>
      <c r="VUK141" s="786"/>
      <c r="VUL141" s="786"/>
      <c r="VUM141" s="786"/>
      <c r="VUN141" s="786"/>
      <c r="VUO141" s="786"/>
      <c r="VUP141" s="786"/>
      <c r="VUQ141" s="786"/>
      <c r="VUR141" s="786"/>
      <c r="VUS141" s="786"/>
      <c r="VUT141" s="786"/>
      <c r="VUU141" s="786"/>
      <c r="VUV141" s="786"/>
      <c r="VUW141" s="786"/>
      <c r="VUX141" s="786"/>
      <c r="VUY141" s="786"/>
      <c r="VUZ141" s="786"/>
      <c r="VVA141" s="786"/>
      <c r="VVB141" s="786"/>
      <c r="VVC141" s="786"/>
      <c r="VVD141" s="786"/>
      <c r="VVE141" s="786"/>
      <c r="VVF141" s="786"/>
      <c r="VVG141" s="786"/>
      <c r="VVH141" s="786"/>
      <c r="VVI141" s="786"/>
      <c r="VVJ141" s="786"/>
      <c r="VVK141" s="786"/>
      <c r="VVL141" s="786"/>
      <c r="VVM141" s="786"/>
      <c r="VVN141" s="786"/>
      <c r="VVO141" s="786"/>
      <c r="VVP141" s="786"/>
      <c r="VVQ141" s="786"/>
      <c r="VVR141" s="786"/>
      <c r="VVS141" s="786"/>
      <c r="VVT141" s="786"/>
      <c r="VVU141" s="786"/>
      <c r="VVV141" s="786"/>
      <c r="VVW141" s="786"/>
      <c r="VVX141" s="786"/>
      <c r="VVY141" s="786"/>
      <c r="VVZ141" s="786"/>
      <c r="VWA141" s="786"/>
      <c r="VWB141" s="786"/>
      <c r="VWC141" s="786"/>
      <c r="VWD141" s="786"/>
      <c r="VWE141" s="786"/>
      <c r="VWF141" s="786"/>
      <c r="VWG141" s="786"/>
      <c r="VWH141" s="786"/>
      <c r="VWI141" s="786"/>
      <c r="VWJ141" s="786"/>
      <c r="VWK141" s="786"/>
      <c r="VWL141" s="786"/>
      <c r="VWM141" s="786"/>
      <c r="VWN141" s="786"/>
      <c r="VWO141" s="786"/>
      <c r="VWP141" s="786"/>
      <c r="VWQ141" s="786"/>
      <c r="VWR141" s="786"/>
      <c r="VWS141" s="786"/>
      <c r="VWT141" s="786"/>
      <c r="VWU141" s="786"/>
      <c r="VWV141" s="786"/>
      <c r="VWW141" s="786"/>
      <c r="VWX141" s="786"/>
      <c r="VWY141" s="786"/>
      <c r="VWZ141" s="786"/>
      <c r="VXA141" s="786"/>
      <c r="VXB141" s="786"/>
      <c r="VXC141" s="786"/>
      <c r="VXD141" s="786"/>
      <c r="VXE141" s="786"/>
      <c r="VXF141" s="786"/>
      <c r="VXG141" s="786"/>
      <c r="VXH141" s="786"/>
      <c r="VXI141" s="786"/>
      <c r="VXJ141" s="786"/>
      <c r="VXK141" s="786"/>
      <c r="VXL141" s="786"/>
      <c r="VXM141" s="786"/>
      <c r="VXN141" s="786"/>
      <c r="VXO141" s="786"/>
      <c r="VXP141" s="786"/>
      <c r="VXQ141" s="786"/>
      <c r="VXR141" s="786"/>
      <c r="VXS141" s="786"/>
      <c r="VXT141" s="786"/>
      <c r="VXU141" s="786"/>
      <c r="VXV141" s="786"/>
      <c r="VXW141" s="786"/>
      <c r="VXX141" s="786"/>
      <c r="VXY141" s="786"/>
      <c r="VXZ141" s="786"/>
      <c r="VYA141" s="786"/>
      <c r="VYB141" s="786"/>
      <c r="VYC141" s="786"/>
      <c r="VYD141" s="786"/>
      <c r="VYE141" s="786"/>
      <c r="VYF141" s="786"/>
      <c r="VYG141" s="786"/>
      <c r="VYH141" s="786"/>
      <c r="VYI141" s="786"/>
      <c r="VYJ141" s="786"/>
      <c r="VYK141" s="786"/>
      <c r="VYL141" s="786"/>
      <c r="VYM141" s="786"/>
      <c r="VYN141" s="786"/>
      <c r="VYO141" s="786"/>
      <c r="VYP141" s="786"/>
      <c r="VYQ141" s="786"/>
      <c r="VYR141" s="786"/>
      <c r="VYS141" s="786"/>
      <c r="VYT141" s="786"/>
      <c r="VYU141" s="786"/>
      <c r="VYV141" s="786"/>
      <c r="VYW141" s="786"/>
      <c r="VYX141" s="786"/>
      <c r="VYY141" s="786"/>
      <c r="VYZ141" s="786"/>
      <c r="VZA141" s="786"/>
      <c r="VZB141" s="786"/>
      <c r="VZC141" s="786"/>
      <c r="VZD141" s="786"/>
      <c r="VZE141" s="786"/>
      <c r="VZF141" s="786"/>
      <c r="VZG141" s="786"/>
      <c r="VZH141" s="786"/>
      <c r="VZI141" s="786"/>
      <c r="VZJ141" s="786"/>
      <c r="VZK141" s="786"/>
      <c r="VZL141" s="786"/>
      <c r="VZM141" s="786"/>
      <c r="VZN141" s="786"/>
      <c r="VZO141" s="786"/>
      <c r="VZP141" s="786"/>
      <c r="VZQ141" s="786"/>
      <c r="VZR141" s="786"/>
      <c r="VZS141" s="786"/>
      <c r="VZT141" s="786"/>
      <c r="VZU141" s="786"/>
      <c r="VZV141" s="786"/>
      <c r="VZW141" s="786"/>
      <c r="VZX141" s="786"/>
      <c r="VZY141" s="786"/>
      <c r="VZZ141" s="786"/>
      <c r="WAA141" s="786"/>
      <c r="WAB141" s="786"/>
      <c r="WAC141" s="786"/>
      <c r="WAD141" s="786"/>
      <c r="WAE141" s="786"/>
      <c r="WAF141" s="786"/>
      <c r="WAG141" s="786"/>
      <c r="WAH141" s="786"/>
      <c r="WAI141" s="786"/>
      <c r="WAJ141" s="786"/>
      <c r="WAK141" s="786"/>
      <c r="WAL141" s="786"/>
      <c r="WAM141" s="786"/>
      <c r="WAN141" s="786"/>
      <c r="WAO141" s="786"/>
      <c r="WAP141" s="786"/>
      <c r="WAQ141" s="786"/>
      <c r="WAR141" s="786"/>
      <c r="WAS141" s="786"/>
      <c r="WAT141" s="786"/>
      <c r="WAU141" s="786"/>
      <c r="WAV141" s="786"/>
      <c r="WAW141" s="786"/>
      <c r="WAX141" s="786"/>
      <c r="WAY141" s="786"/>
      <c r="WAZ141" s="786"/>
      <c r="WBA141" s="786"/>
      <c r="WBB141" s="786"/>
      <c r="WBC141" s="786"/>
      <c r="WBD141" s="786"/>
      <c r="WBE141" s="786"/>
      <c r="WBF141" s="786"/>
      <c r="WBG141" s="786"/>
      <c r="WBH141" s="786"/>
      <c r="WBI141" s="786"/>
      <c r="WBJ141" s="786"/>
      <c r="WBK141" s="786"/>
      <c r="WBL141" s="786"/>
      <c r="WBM141" s="786"/>
      <c r="WBN141" s="786"/>
      <c r="WBO141" s="786"/>
      <c r="WBP141" s="786"/>
      <c r="WBQ141" s="786"/>
      <c r="WBR141" s="786"/>
      <c r="WBS141" s="786"/>
      <c r="WBT141" s="786"/>
      <c r="WBU141" s="786"/>
      <c r="WBV141" s="786"/>
      <c r="WBW141" s="786"/>
      <c r="WBX141" s="786"/>
      <c r="WBY141" s="786"/>
      <c r="WBZ141" s="786"/>
      <c r="WCA141" s="786"/>
      <c r="WCB141" s="786"/>
      <c r="WCC141" s="786"/>
      <c r="WCD141" s="786"/>
      <c r="WCE141" s="786"/>
      <c r="WCF141" s="786"/>
      <c r="WCG141" s="786"/>
      <c r="WCH141" s="786"/>
      <c r="WCI141" s="786"/>
      <c r="WCJ141" s="786"/>
      <c r="WCK141" s="786"/>
      <c r="WCL141" s="786"/>
      <c r="WCM141" s="786"/>
      <c r="WCN141" s="786"/>
      <c r="WCO141" s="786"/>
      <c r="WCP141" s="786"/>
      <c r="WCQ141" s="786"/>
      <c r="WCR141" s="786"/>
      <c r="WCS141" s="786"/>
      <c r="WCT141" s="786"/>
      <c r="WCU141" s="786"/>
      <c r="WCV141" s="786"/>
      <c r="WCW141" s="786"/>
      <c r="WCX141" s="786"/>
      <c r="WCY141" s="786"/>
      <c r="WCZ141" s="786"/>
      <c r="WDA141" s="786"/>
      <c r="WDB141" s="786"/>
      <c r="WDC141" s="786"/>
      <c r="WDD141" s="786"/>
      <c r="WDE141" s="786"/>
      <c r="WDF141" s="786"/>
      <c r="WDG141" s="786"/>
      <c r="WDH141" s="786"/>
      <c r="WDI141" s="786"/>
      <c r="WDJ141" s="786"/>
      <c r="WDK141" s="786"/>
      <c r="WDL141" s="786"/>
      <c r="WDM141" s="786"/>
      <c r="WDN141" s="786"/>
      <c r="WDO141" s="786"/>
      <c r="WDP141" s="786"/>
      <c r="WDQ141" s="786"/>
      <c r="WDR141" s="786"/>
      <c r="WDS141" s="786"/>
      <c r="WDT141" s="786"/>
      <c r="WDU141" s="786"/>
      <c r="WDV141" s="786"/>
      <c r="WDW141" s="786"/>
      <c r="WDX141" s="786"/>
      <c r="WDY141" s="786"/>
      <c r="WDZ141" s="786"/>
      <c r="WEA141" s="786"/>
      <c r="WEB141" s="786"/>
      <c r="WEC141" s="786"/>
      <c r="WED141" s="786"/>
      <c r="WEE141" s="786"/>
      <c r="WEF141" s="786"/>
      <c r="WEG141" s="786"/>
      <c r="WEH141" s="786"/>
      <c r="WEI141" s="786"/>
      <c r="WEJ141" s="786"/>
      <c r="WEK141" s="786"/>
      <c r="WEL141" s="786"/>
      <c r="WEM141" s="786"/>
      <c r="WEN141" s="786"/>
      <c r="WEO141" s="786"/>
      <c r="WEP141" s="786"/>
      <c r="WEQ141" s="786"/>
      <c r="WER141" s="786"/>
      <c r="WES141" s="786"/>
      <c r="WET141" s="786"/>
      <c r="WEU141" s="786"/>
      <c r="WEV141" s="786"/>
      <c r="WEW141" s="786"/>
      <c r="WEX141" s="786"/>
      <c r="WEY141" s="786"/>
      <c r="WEZ141" s="786"/>
      <c r="WFA141" s="786"/>
      <c r="WFB141" s="786"/>
      <c r="WFC141" s="786"/>
      <c r="WFD141" s="786"/>
      <c r="WFE141" s="786"/>
      <c r="WFF141" s="786"/>
      <c r="WFG141" s="786"/>
      <c r="WFH141" s="786"/>
      <c r="WFI141" s="786"/>
      <c r="WFJ141" s="786"/>
      <c r="WFK141" s="786"/>
      <c r="WFL141" s="786"/>
      <c r="WFM141" s="786"/>
      <c r="WFN141" s="786"/>
      <c r="WFO141" s="786"/>
      <c r="WFP141" s="786"/>
      <c r="WFQ141" s="786"/>
      <c r="WFR141" s="786"/>
      <c r="WFS141" s="786"/>
      <c r="WFT141" s="786"/>
      <c r="WFU141" s="786"/>
      <c r="WFV141" s="786"/>
      <c r="WFW141" s="786"/>
      <c r="WFX141" s="786"/>
      <c r="WFY141" s="786"/>
      <c r="WFZ141" s="786"/>
      <c r="WGA141" s="786"/>
      <c r="WGB141" s="786"/>
      <c r="WGC141" s="786"/>
      <c r="WGD141" s="786"/>
      <c r="WGE141" s="786"/>
      <c r="WGF141" s="786"/>
      <c r="WGG141" s="786"/>
      <c r="WGH141" s="786"/>
      <c r="WGI141" s="786"/>
      <c r="WGJ141" s="786"/>
      <c r="WGK141" s="786"/>
      <c r="WGL141" s="786"/>
      <c r="WGM141" s="786"/>
      <c r="WGN141" s="786"/>
      <c r="WGO141" s="786"/>
      <c r="WGP141" s="786"/>
      <c r="WGQ141" s="786"/>
      <c r="WGR141" s="786"/>
      <c r="WGS141" s="786"/>
      <c r="WGT141" s="786"/>
      <c r="WGU141" s="786"/>
      <c r="WGV141" s="786"/>
      <c r="WGW141" s="786"/>
      <c r="WGX141" s="786"/>
      <c r="WGY141" s="786"/>
      <c r="WGZ141" s="786"/>
      <c r="WHA141" s="786"/>
      <c r="WHB141" s="786"/>
      <c r="WHC141" s="786"/>
      <c r="WHD141" s="786"/>
      <c r="WHE141" s="786"/>
      <c r="WHF141" s="786"/>
      <c r="WHG141" s="786"/>
      <c r="WHH141" s="786"/>
      <c r="WHI141" s="786"/>
      <c r="WHJ141" s="786"/>
      <c r="WHK141" s="786"/>
      <c r="WHL141" s="786"/>
      <c r="WHM141" s="786"/>
      <c r="WHN141" s="786"/>
      <c r="WHO141" s="786"/>
      <c r="WHP141" s="786"/>
      <c r="WHQ141" s="786"/>
      <c r="WHR141" s="786"/>
      <c r="WHS141" s="786"/>
      <c r="WHT141" s="786"/>
      <c r="WHU141" s="786"/>
      <c r="WHV141" s="786"/>
      <c r="WHW141" s="786"/>
      <c r="WHX141" s="786"/>
      <c r="WHY141" s="786"/>
      <c r="WHZ141" s="786"/>
      <c r="WIA141" s="786"/>
      <c r="WIB141" s="786"/>
      <c r="WIC141" s="786"/>
      <c r="WID141" s="786"/>
      <c r="WIE141" s="786"/>
      <c r="WIF141" s="786"/>
      <c r="WIG141" s="786"/>
      <c r="WIH141" s="786"/>
      <c r="WII141" s="786"/>
      <c r="WIJ141" s="786"/>
      <c r="WIK141" s="786"/>
      <c r="WIL141" s="786"/>
      <c r="WIM141" s="786"/>
      <c r="WIN141" s="786"/>
      <c r="WIO141" s="786"/>
      <c r="WIP141" s="786"/>
      <c r="WIQ141" s="786"/>
      <c r="WIR141" s="786"/>
      <c r="WIS141" s="786"/>
      <c r="WIT141" s="786"/>
      <c r="WIU141" s="786"/>
      <c r="WIV141" s="786"/>
      <c r="WIW141" s="786"/>
      <c r="WIX141" s="786"/>
      <c r="WIY141" s="786"/>
      <c r="WIZ141" s="786"/>
      <c r="WJA141" s="786"/>
      <c r="WJB141" s="786"/>
      <c r="WJC141" s="786"/>
      <c r="WJD141" s="786"/>
      <c r="WJE141" s="786"/>
      <c r="WJF141" s="786"/>
      <c r="WJG141" s="786"/>
      <c r="WJH141" s="786"/>
      <c r="WJI141" s="786"/>
      <c r="WJJ141" s="786"/>
      <c r="WJK141" s="786"/>
      <c r="WJL141" s="786"/>
      <c r="WJM141" s="786"/>
      <c r="WJN141" s="786"/>
      <c r="WJO141" s="786"/>
      <c r="WJP141" s="786"/>
      <c r="WJQ141" s="786"/>
      <c r="WJR141" s="786"/>
      <c r="WJS141" s="786"/>
      <c r="WJT141" s="786"/>
      <c r="WJU141" s="786"/>
      <c r="WJV141" s="786"/>
      <c r="WJW141" s="786"/>
      <c r="WJX141" s="786"/>
      <c r="WJY141" s="786"/>
      <c r="WJZ141" s="786"/>
      <c r="WKA141" s="786"/>
      <c r="WKB141" s="786"/>
      <c r="WKC141" s="786"/>
      <c r="WKD141" s="786"/>
      <c r="WKE141" s="786"/>
      <c r="WKF141" s="786"/>
      <c r="WKG141" s="786"/>
      <c r="WKH141" s="786"/>
      <c r="WKI141" s="786"/>
      <c r="WKJ141" s="786"/>
      <c r="WKK141" s="786"/>
      <c r="WKL141" s="786"/>
      <c r="WKM141" s="786"/>
      <c r="WKN141" s="786"/>
      <c r="WKO141" s="786"/>
      <c r="WKP141" s="786"/>
      <c r="WKQ141" s="786"/>
      <c r="WKR141" s="786"/>
      <c r="WKS141" s="786"/>
      <c r="WKT141" s="786"/>
      <c r="WKU141" s="786"/>
      <c r="WKV141" s="786"/>
      <c r="WKW141" s="786"/>
      <c r="WKX141" s="786"/>
      <c r="WKY141" s="786"/>
      <c r="WKZ141" s="786"/>
      <c r="WLA141" s="786"/>
      <c r="WLB141" s="786"/>
      <c r="WLC141" s="786"/>
      <c r="WLD141" s="786"/>
      <c r="WLE141" s="786"/>
      <c r="WLF141" s="786"/>
      <c r="WLG141" s="786"/>
      <c r="WLH141" s="786"/>
      <c r="WLI141" s="786"/>
      <c r="WLJ141" s="786"/>
      <c r="WLK141" s="786"/>
      <c r="WLL141" s="786"/>
      <c r="WLM141" s="786"/>
      <c r="WLN141" s="786"/>
      <c r="WLO141" s="786"/>
      <c r="WLP141" s="786"/>
      <c r="WLQ141" s="786"/>
      <c r="WLR141" s="786"/>
      <c r="WLS141" s="786"/>
      <c r="WLT141" s="786"/>
      <c r="WLU141" s="786"/>
      <c r="WLV141" s="786"/>
      <c r="WLW141" s="786"/>
      <c r="WLX141" s="786"/>
      <c r="WLY141" s="786"/>
      <c r="WLZ141" s="786"/>
      <c r="WMA141" s="786"/>
      <c r="WMB141" s="786"/>
      <c r="WMC141" s="786"/>
      <c r="WMD141" s="786"/>
      <c r="WME141" s="786"/>
      <c r="WMF141" s="786"/>
      <c r="WMG141" s="786"/>
      <c r="WMH141" s="786"/>
      <c r="WMI141" s="786"/>
      <c r="WMJ141" s="786"/>
      <c r="WMK141" s="786"/>
      <c r="WML141" s="786"/>
      <c r="WMM141" s="786"/>
      <c r="WMN141" s="786"/>
      <c r="WMO141" s="786"/>
      <c r="WMP141" s="786"/>
      <c r="WMQ141" s="786"/>
      <c r="WMR141" s="786"/>
      <c r="WMS141" s="786"/>
      <c r="WMT141" s="786"/>
      <c r="WMU141" s="786"/>
      <c r="WMV141" s="786"/>
      <c r="WMW141" s="786"/>
      <c r="WMX141" s="786"/>
      <c r="WMY141" s="786"/>
      <c r="WMZ141" s="786"/>
      <c r="WNA141" s="786"/>
      <c r="WNB141" s="786"/>
      <c r="WNC141" s="786"/>
      <c r="WND141" s="786"/>
      <c r="WNE141" s="786"/>
      <c r="WNF141" s="786"/>
      <c r="WNG141" s="786"/>
      <c r="WNH141" s="786"/>
      <c r="WNI141" s="786"/>
      <c r="WNJ141" s="786"/>
      <c r="WNK141" s="786"/>
      <c r="WNL141" s="786"/>
      <c r="WNM141" s="786"/>
      <c r="WNN141" s="786"/>
      <c r="WNO141" s="786"/>
      <c r="WNP141" s="786"/>
      <c r="WNQ141" s="786"/>
      <c r="WNR141" s="786"/>
      <c r="WNS141" s="786"/>
      <c r="WNT141" s="786"/>
      <c r="WNU141" s="786"/>
      <c r="WNV141" s="786"/>
      <c r="WNW141" s="786"/>
      <c r="WNX141" s="786"/>
      <c r="WNY141" s="786"/>
      <c r="WNZ141" s="786"/>
      <c r="WOA141" s="786"/>
      <c r="WOB141" s="786"/>
      <c r="WOC141" s="786"/>
      <c r="WOD141" s="786"/>
      <c r="WOE141" s="786"/>
      <c r="WOF141" s="786"/>
      <c r="WOG141" s="786"/>
      <c r="WOH141" s="786"/>
      <c r="WOI141" s="786"/>
      <c r="WOJ141" s="786"/>
      <c r="WOK141" s="786"/>
      <c r="WOL141" s="786"/>
      <c r="WOM141" s="786"/>
      <c r="WON141" s="786"/>
      <c r="WOO141" s="786"/>
      <c r="WOP141" s="786"/>
      <c r="WOQ141" s="786"/>
      <c r="WOR141" s="786"/>
      <c r="WOS141" s="786"/>
      <c r="WOT141" s="786"/>
      <c r="WOU141" s="786"/>
      <c r="WOV141" s="786"/>
      <c r="WOW141" s="786"/>
      <c r="WOX141" s="786"/>
      <c r="WOY141" s="786"/>
      <c r="WOZ141" s="786"/>
      <c r="WPA141" s="786"/>
      <c r="WPB141" s="786"/>
      <c r="WPC141" s="786"/>
      <c r="WPD141" s="786"/>
      <c r="WPE141" s="786"/>
      <c r="WPF141" s="786"/>
      <c r="WPG141" s="786"/>
      <c r="WPH141" s="786"/>
      <c r="WPI141" s="786"/>
      <c r="WPJ141" s="786"/>
      <c r="WPK141" s="786"/>
      <c r="WPL141" s="786"/>
      <c r="WPM141" s="786"/>
      <c r="WPN141" s="786"/>
      <c r="WPO141" s="786"/>
      <c r="WPP141" s="786"/>
      <c r="WPQ141" s="786"/>
      <c r="WPR141" s="786"/>
      <c r="WPS141" s="786"/>
      <c r="WPT141" s="786"/>
      <c r="WPU141" s="786"/>
      <c r="WPV141" s="786"/>
      <c r="WPW141" s="786"/>
      <c r="WPX141" s="786"/>
      <c r="WPY141" s="786"/>
      <c r="WPZ141" s="786"/>
      <c r="WQA141" s="786"/>
      <c r="WQB141" s="786"/>
      <c r="WQC141" s="786"/>
      <c r="WQD141" s="786"/>
      <c r="WQE141" s="786"/>
      <c r="WQF141" s="786"/>
      <c r="WQG141" s="786"/>
      <c r="WQH141" s="786"/>
      <c r="WQI141" s="786"/>
      <c r="WQJ141" s="786"/>
      <c r="WQK141" s="786"/>
      <c r="WQL141" s="786"/>
      <c r="WQM141" s="786"/>
      <c r="WQN141" s="786"/>
      <c r="WQO141" s="786"/>
      <c r="WQP141" s="786"/>
      <c r="WQQ141" s="786"/>
      <c r="WQR141" s="786"/>
      <c r="WQS141" s="786"/>
      <c r="WQT141" s="786"/>
      <c r="WQU141" s="786"/>
      <c r="WQV141" s="786"/>
      <c r="WQW141" s="786"/>
      <c r="WQX141" s="786"/>
      <c r="WQY141" s="786"/>
      <c r="WQZ141" s="786"/>
      <c r="WRA141" s="786"/>
      <c r="WRB141" s="786"/>
      <c r="WRC141" s="786"/>
      <c r="WRD141" s="786"/>
      <c r="WRE141" s="786"/>
      <c r="WRF141" s="786"/>
      <c r="WRG141" s="786"/>
      <c r="WRH141" s="786"/>
      <c r="WRI141" s="786"/>
      <c r="WRJ141" s="786"/>
      <c r="WRK141" s="786"/>
      <c r="WRL141" s="786"/>
      <c r="WRM141" s="786"/>
      <c r="WRN141" s="786"/>
      <c r="WRO141" s="786"/>
      <c r="WRP141" s="786"/>
      <c r="WRQ141" s="786"/>
      <c r="WRR141" s="786"/>
      <c r="WRS141" s="786"/>
      <c r="WRT141" s="786"/>
      <c r="WRU141" s="786"/>
      <c r="WRV141" s="786"/>
      <c r="WRW141" s="786"/>
      <c r="WRX141" s="786"/>
      <c r="WRY141" s="786"/>
      <c r="WRZ141" s="786"/>
      <c r="WSA141" s="786"/>
      <c r="WSB141" s="786"/>
      <c r="WSC141" s="786"/>
      <c r="WSD141" s="786"/>
      <c r="WSE141" s="786"/>
      <c r="WSF141" s="786"/>
      <c r="WSG141" s="786"/>
      <c r="WSH141" s="786"/>
      <c r="WSI141" s="786"/>
      <c r="WSJ141" s="786"/>
      <c r="WSK141" s="786"/>
      <c r="WSL141" s="786"/>
      <c r="WSM141" s="786"/>
      <c r="WSN141" s="786"/>
      <c r="WSO141" s="786"/>
      <c r="WSP141" s="786"/>
      <c r="WSQ141" s="786"/>
      <c r="WSR141" s="786"/>
      <c r="WSS141" s="786"/>
      <c r="WST141" s="786"/>
      <c r="WSU141" s="786"/>
      <c r="WSV141" s="786"/>
      <c r="WSW141" s="786"/>
      <c r="WSX141" s="786"/>
      <c r="WSY141" s="786"/>
      <c r="WSZ141" s="786"/>
      <c r="WTA141" s="786"/>
      <c r="WTB141" s="786"/>
      <c r="WTC141" s="786"/>
      <c r="WTD141" s="786"/>
      <c r="WTE141" s="786"/>
      <c r="WTF141" s="786"/>
      <c r="WTG141" s="786"/>
      <c r="WTH141" s="786"/>
      <c r="WTI141" s="786"/>
      <c r="WTJ141" s="786"/>
      <c r="WTK141" s="786"/>
      <c r="WTL141" s="786"/>
      <c r="WTM141" s="786"/>
      <c r="WTN141" s="786"/>
      <c r="WTO141" s="786"/>
      <c r="WTP141" s="786"/>
      <c r="WTQ141" s="786"/>
      <c r="WTR141" s="786"/>
      <c r="WTS141" s="786"/>
      <c r="WTT141" s="786"/>
      <c r="WTU141" s="786"/>
      <c r="WTV141" s="786"/>
      <c r="WTW141" s="786"/>
      <c r="WTX141" s="786"/>
      <c r="WTY141" s="786"/>
      <c r="WTZ141" s="786"/>
      <c r="WUA141" s="786"/>
      <c r="WUB141" s="786"/>
      <c r="WUC141" s="786"/>
      <c r="WUD141" s="786"/>
      <c r="WUE141" s="786"/>
      <c r="WUF141" s="786"/>
      <c r="WUG141" s="786"/>
      <c r="WUH141" s="786"/>
      <c r="WUI141" s="786"/>
      <c r="WUJ141" s="786"/>
      <c r="WUK141" s="786"/>
      <c r="WUL141" s="786"/>
      <c r="WUM141" s="786"/>
      <c r="WUN141" s="786"/>
      <c r="WUO141" s="786"/>
      <c r="WUP141" s="786"/>
      <c r="WUQ141" s="786"/>
      <c r="WUR141" s="786"/>
      <c r="WUS141" s="786"/>
      <c r="WUT141" s="786"/>
      <c r="WUU141" s="786"/>
      <c r="WUV141" s="786"/>
      <c r="WUW141" s="786"/>
      <c r="WUX141" s="786"/>
      <c r="WUY141" s="786"/>
      <c r="WUZ141" s="786"/>
      <c r="WVA141" s="786"/>
      <c r="WVB141" s="786"/>
      <c r="WVC141" s="786"/>
      <c r="WVD141" s="786"/>
      <c r="WVE141" s="786"/>
      <c r="WVF141" s="786"/>
      <c r="WVG141" s="786"/>
      <c r="WVH141" s="786"/>
      <c r="WVI141" s="786"/>
      <c r="WVJ141" s="786"/>
      <c r="WVK141" s="786"/>
      <c r="WVL141" s="786"/>
      <c r="WVM141" s="786"/>
      <c r="WVN141" s="786"/>
      <c r="WVO141" s="786"/>
      <c r="WVP141" s="786"/>
      <c r="WVQ141" s="786"/>
      <c r="WVR141" s="786"/>
      <c r="WVS141" s="786"/>
      <c r="WVT141" s="786"/>
      <c r="WVU141" s="786"/>
      <c r="WVV141" s="786"/>
      <c r="WVW141" s="786"/>
      <c r="WVX141" s="786"/>
      <c r="WVY141" s="786"/>
      <c r="WVZ141" s="786"/>
      <c r="WWA141" s="786"/>
      <c r="WWB141" s="786"/>
      <c r="WWC141" s="786"/>
      <c r="WWD141" s="786"/>
      <c r="WWE141" s="786"/>
      <c r="WWF141" s="786"/>
      <c r="WWG141" s="786"/>
      <c r="WWH141" s="786"/>
      <c r="WWI141" s="786"/>
      <c r="WWJ141" s="786"/>
      <c r="WWK141" s="786"/>
      <c r="WWL141" s="786"/>
      <c r="WWM141" s="786"/>
      <c r="WWN141" s="786"/>
      <c r="WWO141" s="786"/>
      <c r="WWP141" s="786"/>
      <c r="WWQ141" s="786"/>
      <c r="WWR141" s="786"/>
      <c r="WWS141" s="786"/>
      <c r="WWT141" s="786"/>
      <c r="WWU141" s="786"/>
      <c r="WWV141" s="786"/>
      <c r="WWW141" s="786"/>
      <c r="WWX141" s="786"/>
      <c r="WWY141" s="786"/>
      <c r="WWZ141" s="786"/>
      <c r="WXA141" s="786"/>
      <c r="WXB141" s="786"/>
      <c r="WXC141" s="786"/>
      <c r="WXD141" s="786"/>
      <c r="WXE141" s="786"/>
      <c r="WXF141" s="786"/>
      <c r="WXG141" s="786"/>
      <c r="WXH141" s="786"/>
      <c r="WXI141" s="786"/>
      <c r="WXJ141" s="786"/>
      <c r="WXK141" s="786"/>
      <c r="WXL141" s="786"/>
      <c r="WXM141" s="786"/>
      <c r="WXN141" s="786"/>
      <c r="WXO141" s="786"/>
      <c r="WXP141" s="786"/>
      <c r="WXQ141" s="786"/>
      <c r="WXR141" s="786"/>
      <c r="WXS141" s="786"/>
      <c r="WXT141" s="786"/>
      <c r="WXU141" s="786"/>
      <c r="WXV141" s="786"/>
      <c r="WXW141" s="786"/>
      <c r="WXX141" s="786"/>
      <c r="WXY141" s="786"/>
      <c r="WXZ141" s="786"/>
      <c r="WYA141" s="786"/>
      <c r="WYB141" s="786"/>
      <c r="WYC141" s="786"/>
      <c r="WYD141" s="786"/>
      <c r="WYE141" s="786"/>
      <c r="WYF141" s="786"/>
      <c r="WYG141" s="786"/>
      <c r="WYH141" s="786"/>
      <c r="WYI141" s="786"/>
      <c r="WYJ141" s="786"/>
      <c r="WYK141" s="786"/>
      <c r="WYL141" s="786"/>
      <c r="WYM141" s="786"/>
      <c r="WYN141" s="786"/>
      <c r="WYO141" s="786"/>
      <c r="WYP141" s="786"/>
      <c r="WYQ141" s="786"/>
      <c r="WYR141" s="786"/>
      <c r="WYS141" s="786"/>
      <c r="WYT141" s="786"/>
      <c r="WYU141" s="786"/>
      <c r="WYV141" s="786"/>
      <c r="WYW141" s="786"/>
      <c r="WYX141" s="786"/>
      <c r="WYY141" s="786"/>
      <c r="WYZ141" s="786"/>
      <c r="WZA141" s="786"/>
      <c r="WZB141" s="786"/>
      <c r="WZC141" s="786"/>
      <c r="WZD141" s="786"/>
      <c r="WZE141" s="786"/>
      <c r="WZF141" s="786"/>
      <c r="WZG141" s="786"/>
      <c r="WZH141" s="786"/>
      <c r="WZI141" s="786"/>
      <c r="WZJ141" s="786"/>
      <c r="WZK141" s="786"/>
      <c r="WZL141" s="786"/>
      <c r="WZM141" s="786"/>
      <c r="WZN141" s="786"/>
      <c r="WZO141" s="786"/>
      <c r="WZP141" s="786"/>
      <c r="WZQ141" s="786"/>
      <c r="WZR141" s="786"/>
      <c r="WZS141" s="786"/>
      <c r="WZT141" s="786"/>
      <c r="WZU141" s="786"/>
      <c r="WZV141" s="786"/>
      <c r="WZW141" s="786"/>
      <c r="WZX141" s="786"/>
      <c r="WZY141" s="786"/>
      <c r="WZZ141" s="786"/>
      <c r="XAA141" s="786"/>
      <c r="XAB141" s="786"/>
      <c r="XAC141" s="786"/>
      <c r="XAD141" s="786"/>
      <c r="XAE141" s="786"/>
      <c r="XAF141" s="786"/>
      <c r="XAG141" s="786"/>
      <c r="XAH141" s="786"/>
      <c r="XAI141" s="786"/>
      <c r="XAJ141" s="786"/>
      <c r="XAK141" s="786"/>
      <c r="XAL141" s="786"/>
      <c r="XAM141" s="786"/>
      <c r="XAN141" s="786"/>
      <c r="XAO141" s="786"/>
      <c r="XAP141" s="786"/>
      <c r="XAQ141" s="786"/>
      <c r="XAR141" s="786"/>
      <c r="XAS141" s="786"/>
      <c r="XAT141" s="786"/>
      <c r="XAU141" s="786"/>
      <c r="XAV141" s="786"/>
      <c r="XAW141" s="786"/>
      <c r="XAX141" s="786"/>
      <c r="XAY141" s="786"/>
      <c r="XAZ141" s="786"/>
      <c r="XBA141" s="786"/>
      <c r="XBB141" s="786"/>
      <c r="XBC141" s="786"/>
      <c r="XBD141" s="786"/>
      <c r="XBE141" s="786"/>
      <c r="XBF141" s="786"/>
      <c r="XBG141" s="786"/>
      <c r="XBH141" s="786"/>
      <c r="XBI141" s="786"/>
      <c r="XBJ141" s="786"/>
      <c r="XBK141" s="786"/>
      <c r="XBL141" s="786"/>
      <c r="XBM141" s="786"/>
      <c r="XBN141" s="786"/>
      <c r="XBO141" s="786"/>
      <c r="XBP141" s="786"/>
      <c r="XBQ141" s="786"/>
      <c r="XBR141" s="786"/>
      <c r="XBS141" s="786"/>
      <c r="XBT141" s="786"/>
      <c r="XBU141" s="786"/>
      <c r="XBV141" s="786"/>
      <c r="XBW141" s="786"/>
      <c r="XBX141" s="786"/>
      <c r="XBY141" s="786"/>
      <c r="XBZ141" s="786"/>
      <c r="XCA141" s="786"/>
      <c r="XCB141" s="786"/>
      <c r="XCC141" s="786"/>
      <c r="XCD141" s="786"/>
      <c r="XCE141" s="786"/>
      <c r="XCF141" s="786"/>
      <c r="XCG141" s="786"/>
      <c r="XCH141" s="786"/>
      <c r="XCI141" s="786"/>
      <c r="XCJ141" s="786"/>
      <c r="XCK141" s="786"/>
      <c r="XCL141" s="786"/>
      <c r="XCM141" s="786"/>
      <c r="XCN141" s="786"/>
      <c r="XCO141" s="786"/>
      <c r="XCP141" s="786"/>
      <c r="XCQ141" s="786"/>
      <c r="XCR141" s="786"/>
      <c r="XCS141" s="786"/>
      <c r="XCT141" s="786"/>
      <c r="XCU141" s="786"/>
      <c r="XCV141" s="786"/>
      <c r="XCW141" s="786"/>
      <c r="XCX141" s="786"/>
      <c r="XCY141" s="786"/>
      <c r="XCZ141" s="786"/>
      <c r="XDA141" s="786"/>
      <c r="XDB141" s="786"/>
      <c r="XDC141" s="786"/>
      <c r="XDD141" s="786"/>
      <c r="XDE141" s="786"/>
      <c r="XDF141" s="786"/>
      <c r="XDG141" s="786"/>
      <c r="XDH141" s="786"/>
      <c r="XDI141" s="786"/>
      <c r="XDJ141" s="786"/>
      <c r="XDK141" s="786"/>
      <c r="XDL141" s="786"/>
      <c r="XDM141" s="786"/>
      <c r="XDN141" s="786"/>
      <c r="XDO141" s="786"/>
      <c r="XDP141" s="786"/>
      <c r="XDQ141" s="786"/>
      <c r="XDR141" s="786"/>
      <c r="XDS141" s="786"/>
      <c r="XDT141" s="786"/>
      <c r="XDU141" s="786"/>
      <c r="XDV141" s="786"/>
      <c r="XDW141" s="786"/>
      <c r="XDX141" s="786"/>
      <c r="XDY141" s="786"/>
      <c r="XDZ141" s="786"/>
      <c r="XEA141" s="786"/>
      <c r="XEB141" s="786"/>
      <c r="XEC141" s="786"/>
      <c r="XED141" s="786"/>
      <c r="XEE141" s="786"/>
      <c r="XEF141" s="786"/>
      <c r="XEG141" s="786"/>
      <c r="XEH141" s="786"/>
      <c r="XEI141" s="786"/>
      <c r="XEJ141" s="786"/>
      <c r="XEK141" s="786"/>
      <c r="XEL141" s="786"/>
      <c r="XEM141" s="786"/>
      <c r="XEN141" s="786"/>
      <c r="XEO141" s="786"/>
      <c r="XEP141" s="786"/>
      <c r="XEQ141" s="786"/>
      <c r="XER141" s="786"/>
      <c r="XES141" s="786"/>
      <c r="XET141" s="786"/>
      <c r="XEU141" s="786"/>
      <c r="XEV141" s="786"/>
      <c r="XEW141" s="786"/>
      <c r="XEX141" s="786"/>
      <c r="XEY141" s="786"/>
      <c r="XEZ141" s="786"/>
      <c r="XFA141" s="786"/>
      <c r="XFB141" s="786"/>
      <c r="XFC141" s="786"/>
      <c r="XFD141" s="786"/>
    </row>
    <row r="142" spans="1:16384" s="797" customFormat="1" ht="12.75" customHeight="1">
      <c r="A142" s="788"/>
      <c r="B142" s="789"/>
      <c r="C142" s="790" t="s">
        <v>384</v>
      </c>
      <c r="D142" s="791">
        <f>D5+D18+D34+D71+D79+D90</f>
        <v>9030.0999999999985</v>
      </c>
      <c r="E142" s="791">
        <f>E5+E18+E34+E71+E79+E90-0.3</f>
        <v>3509.2669999999989</v>
      </c>
      <c r="F142" s="791">
        <f>F5+F18+F34+F71+F79+F90</f>
        <v>246.93711999999999</v>
      </c>
      <c r="G142" s="792">
        <f t="shared" si="138"/>
        <v>-3262.3298799999989</v>
      </c>
      <c r="H142" s="793">
        <f t="shared" si="143"/>
        <v>7.0367150746865392E-2</v>
      </c>
      <c r="I142" s="791">
        <f>I5+I18+I34+I71+I79+I90</f>
        <v>2412.9784599999998</v>
      </c>
      <c r="J142" s="791">
        <f>J5+J18+J34+J71+J79+J90</f>
        <v>0</v>
      </c>
      <c r="K142" s="792">
        <f t="shared" si="118"/>
        <v>-2412.9784599999998</v>
      </c>
      <c r="L142" s="792">
        <f t="shared" ref="L142:L145" si="157">J142/I142</f>
        <v>0</v>
      </c>
      <c r="M142" s="791">
        <f>M5+M18+M34+M71+M79+M90</f>
        <v>66.150000000000006</v>
      </c>
      <c r="N142" s="791">
        <f>N5+N18+N34+N71+N79+N90</f>
        <v>4.9279999999999999</v>
      </c>
      <c r="O142" s="792">
        <f t="shared" si="147"/>
        <v>-61.222000000000008</v>
      </c>
      <c r="P142" s="792">
        <f>N142/M142</f>
        <v>7.4497354497354493E-2</v>
      </c>
      <c r="Q142" s="791">
        <f>Q5+Q18+Q34+Q71+Q79+Q90</f>
        <v>28.204000000000001</v>
      </c>
      <c r="R142" s="791">
        <f>R5+R18+R34+R71+R79+R90</f>
        <v>98.914989999999989</v>
      </c>
      <c r="S142" s="792">
        <f t="shared" si="148"/>
        <v>70.710989999999981</v>
      </c>
      <c r="T142" s="792">
        <f t="shared" si="149"/>
        <v>3.5071262941426742</v>
      </c>
      <c r="U142" s="791">
        <f>U5+U18+U34+U71+U79+U90</f>
        <v>42.87</v>
      </c>
      <c r="V142" s="791">
        <f>V5+V18+V34+V71+V79+V90</f>
        <v>0.73351</v>
      </c>
      <c r="W142" s="792">
        <f t="shared" si="150"/>
        <v>-42.136489999999995</v>
      </c>
      <c r="X142" s="792">
        <f t="shared" si="151"/>
        <v>1.7110100303242361E-2</v>
      </c>
      <c r="Y142" s="791">
        <f t="shared" si="152"/>
        <v>0</v>
      </c>
      <c r="Z142" s="791">
        <f t="shared" si="152"/>
        <v>0</v>
      </c>
      <c r="AA142" s="792">
        <f t="shared" si="153"/>
        <v>0</v>
      </c>
      <c r="AB142" s="792" t="e">
        <f>Z142/Y142</f>
        <v>#DIV/0!</v>
      </c>
      <c r="AC142" s="791">
        <f>AC5+AC18+AC34+AC71+AC79+AC90</f>
        <v>0</v>
      </c>
      <c r="AD142" s="791">
        <f>AD5+AD18+AD34+AD71+AD79+AD90</f>
        <v>0</v>
      </c>
      <c r="AE142" s="792">
        <f t="shared" si="136"/>
        <v>0</v>
      </c>
      <c r="AF142" s="792" t="e">
        <f>AD142/AC142</f>
        <v>#DIV/0!</v>
      </c>
      <c r="AG142" s="791">
        <f>AG5+AG18+AG34+AG71+AG79+AG90</f>
        <v>0</v>
      </c>
      <c r="AH142" s="791">
        <f>AH5+AH18+AH34+AH71+AH79+AH90</f>
        <v>0</v>
      </c>
      <c r="AI142" s="792">
        <f t="shared" si="154"/>
        <v>0</v>
      </c>
      <c r="AJ142" s="791">
        <f>AJ5+AJ18+AJ34+AJ71+AJ79+AJ90</f>
        <v>48.493000000000002</v>
      </c>
      <c r="AK142" s="791">
        <f>AK5+AK18+AK34+AK71+AK79+AK90</f>
        <v>20.9</v>
      </c>
      <c r="AL142" s="792">
        <f t="shared" si="155"/>
        <v>-27.593000000000004</v>
      </c>
      <c r="AM142" s="792">
        <f>AK142/AJ142</f>
        <v>0.43099003979955863</v>
      </c>
      <c r="AN142" s="791">
        <f>AN5+AN18+AN34+AN71+AN79+AN90</f>
        <v>0</v>
      </c>
      <c r="AO142" s="791">
        <f>AO5+AO18+AO34+AO71+AO79+AO90</f>
        <v>13.439</v>
      </c>
      <c r="AP142" s="792">
        <f t="shared" si="117"/>
        <v>13.439</v>
      </c>
      <c r="AQ142" s="792">
        <v>0</v>
      </c>
      <c r="AR142" s="791">
        <f>AR5+AR18+AR34+AR71+AR79+AR90</f>
        <v>0</v>
      </c>
      <c r="AS142" s="791">
        <f>AS5+AS18+AS34+AS71+AS79+AS90</f>
        <v>0</v>
      </c>
      <c r="AT142" s="792">
        <f t="shared" si="156"/>
        <v>0</v>
      </c>
      <c r="AU142" s="792" t="e">
        <f>AS142/AR142</f>
        <v>#DIV/0!</v>
      </c>
      <c r="AV142" s="791">
        <f>AV5+AV18+AV34+AV71+AV79+AV90</f>
        <v>2.8089999999999997</v>
      </c>
      <c r="AW142" s="791">
        <f>AW5+AW18+AW34+AW71+AW79+AW90</f>
        <v>1.4999999999999999E-2</v>
      </c>
      <c r="AX142" s="792">
        <f t="shared" si="122"/>
        <v>-2.7939999999999996</v>
      </c>
      <c r="AY142" s="792">
        <f>AW142/AV142</f>
        <v>5.3399786400854399E-3</v>
      </c>
      <c r="AZ142" s="791">
        <f>AZ5+AZ18+AZ34+AZ71+AZ79+AZ90</f>
        <v>0</v>
      </c>
      <c r="BA142" s="791">
        <f>BA5+BA18+BA34+BA71+BA79+BA90</f>
        <v>0</v>
      </c>
      <c r="BB142" s="792">
        <f t="shared" si="144"/>
        <v>0</v>
      </c>
      <c r="BC142" s="792" t="e">
        <f>BA142/AZ142</f>
        <v>#DIV/0!</v>
      </c>
      <c r="BD142" s="791">
        <f>BD5+BD18+BD34+BD71+BD79+BD90</f>
        <v>0</v>
      </c>
      <c r="BE142" s="791">
        <f>BE5+BE18+BE34+BE71+BE79+BE90</f>
        <v>0</v>
      </c>
      <c r="BF142" s="792">
        <f t="shared" si="123"/>
        <v>0</v>
      </c>
      <c r="BG142" s="792" t="e">
        <f>BE142/BD142</f>
        <v>#DIV/0!</v>
      </c>
      <c r="BH142" s="791">
        <f>BH5+BH18+BH34+BH71+BH79+BH90</f>
        <v>0</v>
      </c>
      <c r="BI142" s="791">
        <f>BI5+BI18+BI34+BI71+BI79+BI90</f>
        <v>0</v>
      </c>
      <c r="BJ142" s="792">
        <f t="shared" si="124"/>
        <v>0</v>
      </c>
      <c r="BK142" s="792" t="e">
        <f>BI142/BH142</f>
        <v>#DIV/0!</v>
      </c>
      <c r="BL142" s="791">
        <f>BL5+BL18+BL34+BL71+BL79+BL90</f>
        <v>153.267</v>
      </c>
      <c r="BM142" s="791">
        <f>BM5+BM18+BM34+BM71+BM79+BM90</f>
        <v>66.36999999999999</v>
      </c>
      <c r="BN142" s="792">
        <f t="shared" si="125"/>
        <v>-86.897000000000006</v>
      </c>
      <c r="BO142" s="792">
        <f>BM142/BL142</f>
        <v>0.43303516086306898</v>
      </c>
      <c r="BP142" s="791">
        <f>BP5+BP18+BP34+BP71+BP79+BP90</f>
        <v>2.2330000000000001</v>
      </c>
      <c r="BQ142" s="791">
        <f>BQ5+BQ18+BQ34+BQ71+BQ79+BQ90</f>
        <v>26.460829999999998</v>
      </c>
      <c r="BR142" s="792">
        <f t="shared" si="126"/>
        <v>24.227829999999997</v>
      </c>
      <c r="BS142" s="792">
        <f>BQ142/BP142</f>
        <v>11.84990147783251</v>
      </c>
      <c r="BT142" s="791">
        <f>BT5+BT18+BT34+BT71+BT79+BT90</f>
        <v>0</v>
      </c>
      <c r="BU142" s="791">
        <f>BU5+BU18+BU34+BU71+BU79+BU90</f>
        <v>0</v>
      </c>
      <c r="BV142" s="792">
        <f t="shared" si="127"/>
        <v>0</v>
      </c>
      <c r="BW142" s="792" t="e">
        <f>BU142/BT142</f>
        <v>#DIV/0!</v>
      </c>
      <c r="BX142" s="791">
        <f>BX5+BX18+BX34+BX71+BX79+BX90</f>
        <v>0</v>
      </c>
      <c r="BY142" s="791">
        <f>BY5+BY18+BY34+BY71+BY79+BY90</f>
        <v>0</v>
      </c>
      <c r="BZ142" s="792">
        <f t="shared" si="128"/>
        <v>0</v>
      </c>
      <c r="CA142" s="792" t="e">
        <f t="shared" si="145"/>
        <v>#DIV/0!</v>
      </c>
      <c r="CB142" s="791">
        <f>CB5+CB18+CB34+CB71+CB79+CB90</f>
        <v>0</v>
      </c>
      <c r="CC142" s="791">
        <f>CC5+CC18+CC34+CC71+CC79+CC90</f>
        <v>0</v>
      </c>
      <c r="CD142" s="792">
        <f t="shared" si="129"/>
        <v>0</v>
      </c>
      <c r="CE142" s="792" t="e">
        <f>CC142/CB142</f>
        <v>#DIV/0!</v>
      </c>
      <c r="CF142" s="791">
        <f>CF5+CF18+CF34+CF71+CF79+CF90</f>
        <v>750.63499999999999</v>
      </c>
      <c r="CG142" s="791">
        <f>CG5+CG18+CG34+CG71+CG79+CG90</f>
        <v>9.9149999999999991</v>
      </c>
      <c r="CH142" s="792">
        <f t="shared" si="130"/>
        <v>-740.72</v>
      </c>
      <c r="CI142" s="792">
        <f>CG142/CF142</f>
        <v>1.3208816535333416E-2</v>
      </c>
      <c r="CJ142" s="791">
        <f>CJ5+CJ18+CJ34+CJ71+CJ79+CJ90</f>
        <v>1.2890000000000001</v>
      </c>
      <c r="CK142" s="791">
        <f>CK5+CK18+CK34+CK71+CK79+CK90</f>
        <v>5.2607900000000001</v>
      </c>
      <c r="CL142" s="792">
        <f t="shared" si="131"/>
        <v>3.9717899999999999</v>
      </c>
      <c r="CM142" s="792">
        <f>CK142/CJ142</f>
        <v>4.081295577967416</v>
      </c>
      <c r="CN142" s="791">
        <f>CN5+CN18+CN34+CN71+CN79+CN90</f>
        <v>0</v>
      </c>
      <c r="CO142" s="791">
        <f>CO5+CO18+CO34+CO71+CO79+CO90</f>
        <v>0</v>
      </c>
      <c r="CP142" s="792">
        <f t="shared" si="146"/>
        <v>0</v>
      </c>
      <c r="CQ142" s="792">
        <v>0</v>
      </c>
      <c r="CR142" s="794">
        <f>CR5+CR18+CR34+CR71+CR79+CR90</f>
        <v>0</v>
      </c>
      <c r="CS142" s="794">
        <f>CS5+CS18+CS34+CS71+CS79+CS90</f>
        <v>0</v>
      </c>
      <c r="CT142" s="795">
        <f t="shared" si="137"/>
        <v>0</v>
      </c>
      <c r="CU142" s="793" t="e">
        <f t="shared" si="139"/>
        <v>#DIV/0!</v>
      </c>
      <c r="CV142" s="794">
        <f>CV5+CV18+CV34+CV71+CV79+CV90</f>
        <v>0</v>
      </c>
      <c r="CW142" s="794">
        <f>CW5+CW18+CW34+CW71+CW79+CW90</f>
        <v>0</v>
      </c>
      <c r="CX142" s="796">
        <f t="shared" si="140"/>
        <v>0</v>
      </c>
      <c r="CY142" s="793" t="e">
        <f t="shared" si="141"/>
        <v>#DIV/0!</v>
      </c>
      <c r="CZ142" s="794">
        <f>CZ5+CZ18+CZ34+CZ71+CZ79+CZ90</f>
        <v>0</v>
      </c>
      <c r="DA142" s="794">
        <f>DA5+DA18+DA34+DA71+DA79+DA90</f>
        <v>0</v>
      </c>
      <c r="DB142" s="795">
        <f t="shared" si="132"/>
        <v>0</v>
      </c>
      <c r="DC142" s="793" t="e">
        <f t="shared" si="142"/>
        <v>#DIV/0!</v>
      </c>
      <c r="DG142" s="798"/>
      <c r="DH142" s="791">
        <f>DH5+DH18+DH34+DH71+DH79+DH90</f>
        <v>0</v>
      </c>
      <c r="DI142" s="798"/>
      <c r="DJ142" s="799"/>
      <c r="DK142" s="800"/>
      <c r="DL142" s="800"/>
    </row>
    <row r="143" spans="1:16384" ht="16.5" customHeight="1">
      <c r="A143" s="379" t="s">
        <v>385</v>
      </c>
      <c r="B143" s="784"/>
      <c r="C143" s="378" t="s">
        <v>386</v>
      </c>
      <c r="D143" s="753">
        <v>4013.8</v>
      </c>
      <c r="E143" s="376">
        <f>+CF143+CN143+AV143+I143</f>
        <v>373.43893000000003</v>
      </c>
      <c r="F143" s="827">
        <f>+J143+N143+R143+V143+AK143+AO143+AW143+BM143+BQ143+CG143+CK143+CO143+DH143</f>
        <v>178.21901</v>
      </c>
      <c r="G143" s="745">
        <f t="shared" si="138"/>
        <v>-195.21992000000003</v>
      </c>
      <c r="H143" s="745">
        <f t="shared" si="143"/>
        <v>0.47723736247851822</v>
      </c>
      <c r="I143" s="376">
        <v>3.2204600000000001</v>
      </c>
      <c r="J143" s="376"/>
      <c r="K143" s="758">
        <f t="shared" si="118"/>
        <v>-3.2204600000000001</v>
      </c>
      <c r="L143" s="758">
        <f t="shared" si="157"/>
        <v>0</v>
      </c>
      <c r="M143" s="376">
        <v>0</v>
      </c>
      <c r="N143" s="376">
        <v>0</v>
      </c>
      <c r="O143" s="758">
        <f t="shared" si="147"/>
        <v>0</v>
      </c>
      <c r="P143" s="758">
        <v>0</v>
      </c>
      <c r="Q143" s="376"/>
      <c r="R143" s="376"/>
      <c r="S143" s="751">
        <f t="shared" si="148"/>
        <v>0</v>
      </c>
      <c r="T143" s="758">
        <v>0</v>
      </c>
      <c r="U143" s="376"/>
      <c r="V143" s="376"/>
      <c r="W143" s="751">
        <f t="shared" si="150"/>
        <v>0</v>
      </c>
      <c r="X143" s="758">
        <v>0</v>
      </c>
      <c r="Y143" s="801">
        <f t="shared" si="152"/>
        <v>0</v>
      </c>
      <c r="Z143" s="801">
        <f t="shared" si="152"/>
        <v>0</v>
      </c>
      <c r="AA143" s="751">
        <f t="shared" si="153"/>
        <v>0</v>
      </c>
      <c r="AB143" s="751"/>
      <c r="AC143" s="376"/>
      <c r="AD143" s="376"/>
      <c r="AE143" s="751"/>
      <c r="AF143" s="751"/>
      <c r="AG143" s="376"/>
      <c r="AH143" s="376"/>
      <c r="AI143" s="751">
        <f t="shared" si="154"/>
        <v>0</v>
      </c>
      <c r="AJ143" s="376"/>
      <c r="AK143" s="376"/>
      <c r="AL143" s="751">
        <f t="shared" si="155"/>
        <v>0</v>
      </c>
      <c r="AM143" s="758">
        <v>0</v>
      </c>
      <c r="AN143" s="376"/>
      <c r="AO143" s="376"/>
      <c r="AP143" s="751">
        <f t="shared" si="117"/>
        <v>0</v>
      </c>
      <c r="AQ143" s="758">
        <v>0</v>
      </c>
      <c r="AR143" s="751"/>
      <c r="AS143" s="751"/>
      <c r="AT143" s="758">
        <f t="shared" si="156"/>
        <v>0</v>
      </c>
      <c r="AU143" s="758" t="e">
        <f>AS143/AR143</f>
        <v>#DIV/0!</v>
      </c>
      <c r="AV143" s="376">
        <v>108.96473</v>
      </c>
      <c r="AW143" s="376">
        <v>93.519000000000005</v>
      </c>
      <c r="AX143" s="751">
        <f>AW143-AV143</f>
        <v>-15.445729999999998</v>
      </c>
      <c r="AY143" s="751">
        <f>AW143/AV143</f>
        <v>0.85825018792778185</v>
      </c>
      <c r="AZ143" s="376"/>
      <c r="BA143" s="376">
        <v>0</v>
      </c>
      <c r="BB143" s="751">
        <f t="shared" si="144"/>
        <v>0</v>
      </c>
      <c r="BC143" s="751"/>
      <c r="BD143" s="376"/>
      <c r="BE143" s="376"/>
      <c r="BF143" s="751">
        <f t="shared" si="123"/>
        <v>0</v>
      </c>
      <c r="BG143" s="751"/>
      <c r="BH143" s="376"/>
      <c r="BI143" s="376"/>
      <c r="BJ143" s="751">
        <f t="shared" si="124"/>
        <v>0</v>
      </c>
      <c r="BK143" s="751" t="e">
        <f>BI143/BH143</f>
        <v>#DIV/0!</v>
      </c>
      <c r="BL143" s="376"/>
      <c r="BM143" s="376">
        <v>5.0236000000000001</v>
      </c>
      <c r="BN143" s="751">
        <f t="shared" si="125"/>
        <v>5.0236000000000001</v>
      </c>
      <c r="BO143" s="758">
        <v>0</v>
      </c>
      <c r="BP143" s="376"/>
      <c r="BQ143" s="376">
        <v>14.32558</v>
      </c>
      <c r="BR143" s="751">
        <f t="shared" si="126"/>
        <v>14.32558</v>
      </c>
      <c r="BS143" s="758">
        <v>0</v>
      </c>
      <c r="BT143" s="376"/>
      <c r="BU143" s="376"/>
      <c r="BV143" s="751">
        <f t="shared" si="127"/>
        <v>0</v>
      </c>
      <c r="BW143" s="758" t="e">
        <f>BU143/BT143</f>
        <v>#DIV/0!</v>
      </c>
      <c r="BX143" s="376">
        <v>0</v>
      </c>
      <c r="BY143" s="376"/>
      <c r="BZ143" s="751">
        <f t="shared" si="128"/>
        <v>0</v>
      </c>
      <c r="CA143" s="751" t="e">
        <f t="shared" si="145"/>
        <v>#DIV/0!</v>
      </c>
      <c r="CB143" s="376"/>
      <c r="CC143" s="376"/>
      <c r="CD143" s="751">
        <f t="shared" si="129"/>
        <v>0</v>
      </c>
      <c r="CE143" s="758" t="e">
        <f>CC143/CB143</f>
        <v>#DIV/0!</v>
      </c>
      <c r="CF143" s="376">
        <v>29.744029999999999</v>
      </c>
      <c r="CG143" s="376">
        <v>13.74409</v>
      </c>
      <c r="CH143" s="751">
        <v>0</v>
      </c>
      <c r="CI143" s="758">
        <f>CG143/CF143</f>
        <v>0.46207894491768603</v>
      </c>
      <c r="CJ143" s="376">
        <v>0</v>
      </c>
      <c r="CK143" s="376">
        <v>0</v>
      </c>
      <c r="CL143" s="751">
        <f t="shared" si="131"/>
        <v>0</v>
      </c>
      <c r="CM143" s="758"/>
      <c r="CN143" s="375">
        <v>231.50971000000001</v>
      </c>
      <c r="CO143" s="375">
        <v>39.337389999999999</v>
      </c>
      <c r="CP143" s="375">
        <f t="shared" si="146"/>
        <v>-192.17232000000001</v>
      </c>
      <c r="CQ143" s="758">
        <f>CO143/CN143</f>
        <v>0.1699168039215288</v>
      </c>
      <c r="CR143" s="374"/>
      <c r="CS143" s="374"/>
      <c r="CT143" s="744">
        <f t="shared" si="137"/>
        <v>0</v>
      </c>
      <c r="CU143" s="745"/>
      <c r="CV143" s="373"/>
      <c r="CW143" s="373"/>
      <c r="CX143" s="744">
        <f t="shared" si="140"/>
        <v>0</v>
      </c>
      <c r="CY143" s="745"/>
      <c r="CZ143" s="373"/>
      <c r="DA143" s="373"/>
      <c r="DB143" s="744">
        <f t="shared" si="132"/>
        <v>0</v>
      </c>
      <c r="DC143" s="745"/>
      <c r="DG143" s="746"/>
      <c r="DH143" s="746">
        <v>12.269349999999999</v>
      </c>
      <c r="DI143" s="746"/>
      <c r="DJ143" s="747"/>
      <c r="DK143" s="718"/>
      <c r="DL143" s="718"/>
    </row>
    <row r="144" spans="1:16384" ht="13.9" customHeight="1">
      <c r="A144" s="379" t="s">
        <v>387</v>
      </c>
      <c r="B144" s="784"/>
      <c r="C144" s="378" t="s">
        <v>388</v>
      </c>
      <c r="D144" s="376">
        <v>5496</v>
      </c>
      <c r="E144" s="376">
        <f>+M144+Q144+U144</f>
        <v>4986.2</v>
      </c>
      <c r="F144" s="827">
        <f>+J144+N144+R144+V144+AK144+AO144+AW144+BM144+BQ144+CG144+CK144+CO144</f>
        <v>3692.741</v>
      </c>
      <c r="G144" s="733">
        <f t="shared" ref="G144:AU144" si="158">+K144+O144+S144+W144+AL144+AP144+AX144+BN144+BR144+CH144+CL144+CP144</f>
        <v>-1598.5600000000004</v>
      </c>
      <c r="H144" s="745">
        <f t="shared" si="143"/>
        <v>0.74059223456740608</v>
      </c>
      <c r="I144" s="733">
        <v>0</v>
      </c>
      <c r="J144" s="733">
        <v>0</v>
      </c>
      <c r="K144" s="733">
        <f t="shared" si="158"/>
        <v>-799.2800000000002</v>
      </c>
      <c r="L144" s="733">
        <v>0</v>
      </c>
      <c r="M144" s="376">
        <v>2028.2</v>
      </c>
      <c r="N144" s="376">
        <v>1645.1610000000001</v>
      </c>
      <c r="O144" s="733">
        <f t="shared" si="158"/>
        <v>-399.6400000000001</v>
      </c>
      <c r="P144" s="732">
        <f t="shared" ref="P144" si="159">N144/M144</f>
        <v>0.81114337836505279</v>
      </c>
      <c r="Q144" s="733">
        <v>2352.8000000000002</v>
      </c>
      <c r="R144" s="733">
        <v>1642.2</v>
      </c>
      <c r="S144" s="733">
        <f t="shared" si="158"/>
        <v>-199.82000000000005</v>
      </c>
      <c r="T144" s="728">
        <f t="shared" ref="T144" si="160">SUM(T145:T156)</f>
        <v>0.73125244224705199</v>
      </c>
      <c r="U144" s="733">
        <v>605.20000000000005</v>
      </c>
      <c r="V144" s="733">
        <v>405.38</v>
      </c>
      <c r="W144" s="758">
        <f t="shared" si="150"/>
        <v>-199.82000000000005</v>
      </c>
      <c r="X144" s="728">
        <f t="shared" ref="X144" si="161">SUM(X145:X156)</f>
        <v>0.62665068588269779</v>
      </c>
      <c r="Y144" s="733">
        <f t="shared" si="158"/>
        <v>0</v>
      </c>
      <c r="Z144" s="733">
        <f t="shared" si="158"/>
        <v>0</v>
      </c>
      <c r="AA144" s="733">
        <f t="shared" si="158"/>
        <v>0</v>
      </c>
      <c r="AB144" s="733" t="e">
        <f t="shared" si="158"/>
        <v>#DIV/0!</v>
      </c>
      <c r="AC144" s="733">
        <f t="shared" si="158"/>
        <v>0</v>
      </c>
      <c r="AD144" s="733">
        <f t="shared" si="158"/>
        <v>0</v>
      </c>
      <c r="AE144" s="733">
        <f t="shared" si="158"/>
        <v>0</v>
      </c>
      <c r="AF144" s="733" t="e">
        <f t="shared" si="158"/>
        <v>#DIV/0!</v>
      </c>
      <c r="AG144" s="733">
        <f t="shared" si="158"/>
        <v>0</v>
      </c>
      <c r="AH144" s="733">
        <f t="shared" si="158"/>
        <v>0</v>
      </c>
      <c r="AI144" s="733">
        <f t="shared" si="158"/>
        <v>0</v>
      </c>
      <c r="AJ144" s="733">
        <v>0</v>
      </c>
      <c r="AK144" s="733">
        <f t="shared" si="158"/>
        <v>0</v>
      </c>
      <c r="AL144" s="733">
        <f t="shared" si="158"/>
        <v>0</v>
      </c>
      <c r="AM144" s="733">
        <f t="shared" si="158"/>
        <v>0</v>
      </c>
      <c r="AN144" s="733">
        <v>0</v>
      </c>
      <c r="AO144" s="733">
        <f t="shared" si="158"/>
        <v>0</v>
      </c>
      <c r="AP144" s="733">
        <f t="shared" si="158"/>
        <v>0</v>
      </c>
      <c r="AQ144" s="733">
        <f t="shared" si="158"/>
        <v>0</v>
      </c>
      <c r="AR144" s="733" t="e">
        <f t="shared" si="158"/>
        <v>#DIV/0!</v>
      </c>
      <c r="AS144" s="733">
        <f t="shared" si="158"/>
        <v>0</v>
      </c>
      <c r="AT144" s="733">
        <f t="shared" si="158"/>
        <v>0</v>
      </c>
      <c r="AU144" s="733">
        <f t="shared" si="158"/>
        <v>0</v>
      </c>
      <c r="AV144" s="376"/>
      <c r="AW144" s="376"/>
      <c r="AX144" s="751">
        <f t="shared" si="122"/>
        <v>0</v>
      </c>
      <c r="AY144" s="751"/>
      <c r="AZ144" s="376"/>
      <c r="BA144" s="376"/>
      <c r="BB144" s="751">
        <f t="shared" si="144"/>
        <v>0</v>
      </c>
      <c r="BC144" s="751"/>
      <c r="BD144" s="376"/>
      <c r="BE144" s="376"/>
      <c r="BF144" s="751">
        <f t="shared" si="123"/>
        <v>0</v>
      </c>
      <c r="BG144" s="751"/>
      <c r="BH144" s="376"/>
      <c r="BI144" s="376"/>
      <c r="BJ144" s="751">
        <f t="shared" si="124"/>
        <v>0</v>
      </c>
      <c r="BK144" s="751"/>
      <c r="BL144" s="376">
        <v>0</v>
      </c>
      <c r="BM144" s="376"/>
      <c r="BN144" s="751">
        <f t="shared" si="125"/>
        <v>0</v>
      </c>
      <c r="BO144" s="758">
        <v>0</v>
      </c>
      <c r="BP144" s="376">
        <v>0</v>
      </c>
      <c r="BQ144" s="376"/>
      <c r="BR144" s="751">
        <f t="shared" si="126"/>
        <v>0</v>
      </c>
      <c r="BS144" s="758">
        <v>0</v>
      </c>
      <c r="BT144" s="376">
        <v>0</v>
      </c>
      <c r="BU144" s="376"/>
      <c r="BV144" s="751">
        <f t="shared" si="127"/>
        <v>0</v>
      </c>
      <c r="BW144" s="758" t="e">
        <f>BU144/BT144</f>
        <v>#DIV/0!</v>
      </c>
      <c r="BX144" s="376">
        <v>0</v>
      </c>
      <c r="BY144" s="376">
        <v>0</v>
      </c>
      <c r="BZ144" s="751">
        <f t="shared" si="128"/>
        <v>0</v>
      </c>
      <c r="CA144" s="751"/>
      <c r="CB144" s="376"/>
      <c r="CC144" s="376"/>
      <c r="CD144" s="751">
        <f t="shared" si="129"/>
        <v>0</v>
      </c>
      <c r="CE144" s="758" t="e">
        <f>CC144/CB144</f>
        <v>#DIV/0!</v>
      </c>
      <c r="CF144" s="376">
        <v>0</v>
      </c>
      <c r="CG144" s="376"/>
      <c r="CH144" s="751">
        <f t="shared" si="130"/>
        <v>0</v>
      </c>
      <c r="CI144" s="758">
        <v>0</v>
      </c>
      <c r="CJ144" s="376">
        <v>0</v>
      </c>
      <c r="CK144" s="376">
        <v>0</v>
      </c>
      <c r="CL144" s="751">
        <f t="shared" si="131"/>
        <v>0</v>
      </c>
      <c r="CM144" s="758"/>
      <c r="CN144" s="375"/>
      <c r="CO144" s="375"/>
      <c r="CP144" s="375">
        <f t="shared" si="146"/>
        <v>0</v>
      </c>
      <c r="CQ144" s="758">
        <v>0</v>
      </c>
      <c r="CR144" s="374"/>
      <c r="CS144" s="374"/>
      <c r="CT144" s="744">
        <f t="shared" si="137"/>
        <v>0</v>
      </c>
      <c r="CU144" s="745"/>
      <c r="CV144" s="373"/>
      <c r="CW144" s="373"/>
      <c r="CX144" s="744">
        <f t="shared" si="140"/>
        <v>0</v>
      </c>
      <c r="CY144" s="745"/>
      <c r="CZ144" s="373"/>
      <c r="DA144" s="373"/>
      <c r="DB144" s="744">
        <f t="shared" si="132"/>
        <v>0</v>
      </c>
      <c r="DC144" s="745"/>
      <c r="DG144" s="746"/>
      <c r="DH144" s="746"/>
      <c r="DI144" s="746"/>
      <c r="DJ144" s="747"/>
      <c r="DK144" s="718"/>
      <c r="DL144" s="718"/>
    </row>
    <row r="145" spans="1:116" s="797" customFormat="1">
      <c r="A145" s="802"/>
      <c r="B145" s="789"/>
      <c r="C145" s="803" t="s">
        <v>389</v>
      </c>
      <c r="D145" s="791">
        <f>D142+D144+D143</f>
        <v>18539.899999999998</v>
      </c>
      <c r="E145" s="791">
        <f>E142+E144+E143</f>
        <v>8868.905929999999</v>
      </c>
      <c r="F145" s="791">
        <f>F142+F144+F143</f>
        <v>4117.8971300000003</v>
      </c>
      <c r="G145" s="792">
        <f t="shared" si="138"/>
        <v>-4751.0087999999987</v>
      </c>
      <c r="H145" s="793">
        <f t="shared" si="143"/>
        <v>0.46430722825357568</v>
      </c>
      <c r="I145" s="791">
        <f>I142+I144+I143</f>
        <v>2416.1989199999998</v>
      </c>
      <c r="J145" s="791">
        <f>J142+J144+J143</f>
        <v>0</v>
      </c>
      <c r="K145" s="791">
        <f>J145-I145</f>
        <v>-2416.1989199999998</v>
      </c>
      <c r="L145" s="792">
        <f t="shared" si="157"/>
        <v>0</v>
      </c>
      <c r="M145" s="791">
        <f>M142+M144+M143</f>
        <v>2094.35</v>
      </c>
      <c r="N145" s="791">
        <f>N142+N144+N143</f>
        <v>1650.0890000000002</v>
      </c>
      <c r="O145" s="791">
        <f t="shared" si="147"/>
        <v>-444.26099999999974</v>
      </c>
      <c r="P145" s="792">
        <f>N145/M145</f>
        <v>0.78787642944111547</v>
      </c>
      <c r="Q145" s="791">
        <f>Q142+Q144+Q143</f>
        <v>2381.0040000000004</v>
      </c>
      <c r="R145" s="791">
        <f>R142+R144+R143</f>
        <v>1741.11499</v>
      </c>
      <c r="S145" s="791">
        <f t="shared" si="148"/>
        <v>-639.88901000000033</v>
      </c>
      <c r="T145" s="792">
        <f t="shared" si="149"/>
        <v>0.73125244224705199</v>
      </c>
      <c r="U145" s="791">
        <f>U142+U144+U143</f>
        <v>648.07000000000005</v>
      </c>
      <c r="V145" s="791">
        <f>V142+V144+V143</f>
        <v>406.11351000000002</v>
      </c>
      <c r="W145" s="791">
        <f t="shared" si="150"/>
        <v>-241.95649000000003</v>
      </c>
      <c r="X145" s="792">
        <f t="shared" si="151"/>
        <v>0.62665068588269779</v>
      </c>
      <c r="Y145" s="791">
        <f t="shared" si="152"/>
        <v>0</v>
      </c>
      <c r="Z145" s="791">
        <f t="shared" si="152"/>
        <v>0</v>
      </c>
      <c r="AA145" s="791">
        <f t="shared" si="153"/>
        <v>0</v>
      </c>
      <c r="AB145" s="792" t="e">
        <f>Z145/Y145</f>
        <v>#DIV/0!</v>
      </c>
      <c r="AC145" s="791">
        <f>AC142+AC144+AC143</f>
        <v>0</v>
      </c>
      <c r="AD145" s="791">
        <f>AD142+AD144+AD143</f>
        <v>0</v>
      </c>
      <c r="AE145" s="791">
        <f>AD145-AC145</f>
        <v>0</v>
      </c>
      <c r="AF145" s="792" t="e">
        <f>AD145/AC145</f>
        <v>#DIV/0!</v>
      </c>
      <c r="AG145" s="791">
        <f>AG142+AG144+AG143</f>
        <v>0</v>
      </c>
      <c r="AH145" s="791">
        <f>AH142+AH144+AH143</f>
        <v>0</v>
      </c>
      <c r="AI145" s="791">
        <f>AI5+AI18+AI34+AI79+AI90+AI142+AI143+AI144+AI71</f>
        <v>0</v>
      </c>
      <c r="AJ145" s="791">
        <f>AJ142+AJ144+AJ143</f>
        <v>48.493000000000002</v>
      </c>
      <c r="AK145" s="791">
        <f>AK142+AK144+AK143</f>
        <v>20.9</v>
      </c>
      <c r="AL145" s="791">
        <f t="shared" si="155"/>
        <v>-27.593000000000004</v>
      </c>
      <c r="AM145" s="792">
        <f>AK145/AJ145</f>
        <v>0.43099003979955863</v>
      </c>
      <c r="AN145" s="791">
        <f>AN142+AN144+AN143</f>
        <v>0</v>
      </c>
      <c r="AO145" s="791">
        <f>AO142+AO144+AO143</f>
        <v>13.439</v>
      </c>
      <c r="AP145" s="791">
        <f>AO145-AN145</f>
        <v>13.439</v>
      </c>
      <c r="AQ145" s="792">
        <v>0</v>
      </c>
      <c r="AR145" s="791" t="e">
        <f>AR5+AR18+AR34+AR79+AR90+AR142+AR143+AR144+AR71</f>
        <v>#DIV/0!</v>
      </c>
      <c r="AS145" s="791">
        <f>AS5+AS18+AS34+AS79+AS90+AS142+AS143+AS144+AS71</f>
        <v>0</v>
      </c>
      <c r="AT145" s="791" t="e">
        <f t="shared" si="156"/>
        <v>#DIV/0!</v>
      </c>
      <c r="AU145" s="791" t="e">
        <f>AS145/AR145</f>
        <v>#DIV/0!</v>
      </c>
      <c r="AV145" s="791">
        <f>AV142+AV144+AV143</f>
        <v>111.77373</v>
      </c>
      <c r="AW145" s="791">
        <f>AW142+AW144+AW143</f>
        <v>93.534000000000006</v>
      </c>
      <c r="AX145" s="791">
        <f>AW145-AV145</f>
        <v>-18.239729999999994</v>
      </c>
      <c r="AY145" s="792">
        <f>AW145/AV145</f>
        <v>0.83681559164215069</v>
      </c>
      <c r="AZ145" s="791">
        <f>AZ142+AZ144+AZ143</f>
        <v>0</v>
      </c>
      <c r="BA145" s="791">
        <f>BA142+BA144+BA143</f>
        <v>0</v>
      </c>
      <c r="BB145" s="791">
        <f t="shared" si="144"/>
        <v>0</v>
      </c>
      <c r="BC145" s="792" t="e">
        <f>BA145/AZ145</f>
        <v>#DIV/0!</v>
      </c>
      <c r="BD145" s="791">
        <f>BD142+BD144+BD143</f>
        <v>0</v>
      </c>
      <c r="BE145" s="791">
        <f>BE142+BE144+BE143</f>
        <v>0</v>
      </c>
      <c r="BF145" s="791">
        <f t="shared" si="123"/>
        <v>0</v>
      </c>
      <c r="BG145" s="792" t="e">
        <f>BE145/BD145</f>
        <v>#DIV/0!</v>
      </c>
      <c r="BH145" s="791">
        <f>BH142+BH144+BH143</f>
        <v>0</v>
      </c>
      <c r="BI145" s="791">
        <f>BI142+BI144+BI143</f>
        <v>0</v>
      </c>
      <c r="BJ145" s="791">
        <f t="shared" si="124"/>
        <v>0</v>
      </c>
      <c r="BK145" s="792" t="e">
        <f>BI145/BH145</f>
        <v>#DIV/0!</v>
      </c>
      <c r="BL145" s="791">
        <f>BL142+BL144+BL143</f>
        <v>153.267</v>
      </c>
      <c r="BM145" s="791">
        <f>BM142+BM144+BM143</f>
        <v>71.393599999999992</v>
      </c>
      <c r="BN145" s="791">
        <f>BM145-BL145</f>
        <v>-81.873400000000004</v>
      </c>
      <c r="BO145" s="792">
        <f>BM145/BL145</f>
        <v>0.46581194908232038</v>
      </c>
      <c r="BP145" s="791">
        <f>BP142+BP144+BP143</f>
        <v>2.2330000000000001</v>
      </c>
      <c r="BQ145" s="791">
        <f>BQ142+BQ144+BQ143</f>
        <v>40.786409999999997</v>
      </c>
      <c r="BR145" s="791">
        <f>BQ145-BP145</f>
        <v>38.55341</v>
      </c>
      <c r="BS145" s="792">
        <f>BQ145/BP145</f>
        <v>18.265297805642632</v>
      </c>
      <c r="BT145" s="791">
        <f>BT142+BT144+BT143</f>
        <v>0</v>
      </c>
      <c r="BU145" s="791">
        <f>BU142+BU144+BU143</f>
        <v>0</v>
      </c>
      <c r="BV145" s="791">
        <f>BU145-BT145</f>
        <v>0</v>
      </c>
      <c r="BW145" s="792" t="e">
        <f>BU145/BT145</f>
        <v>#DIV/0!</v>
      </c>
      <c r="BX145" s="791">
        <f>BX142+BX144+BX143</f>
        <v>0</v>
      </c>
      <c r="BY145" s="791">
        <f>BY142+BY144+BY143</f>
        <v>0</v>
      </c>
      <c r="BZ145" s="791">
        <f t="shared" si="128"/>
        <v>0</v>
      </c>
      <c r="CA145" s="792" t="e">
        <f>BY145/BX145</f>
        <v>#DIV/0!</v>
      </c>
      <c r="CB145" s="791">
        <f>CB142+CB144+CB143</f>
        <v>0</v>
      </c>
      <c r="CC145" s="791">
        <f>CC142+CC144+CC143</f>
        <v>0</v>
      </c>
      <c r="CD145" s="791">
        <f>CC145-CB145</f>
        <v>0</v>
      </c>
      <c r="CE145" s="792" t="e">
        <f>CC145/CB145</f>
        <v>#DIV/0!</v>
      </c>
      <c r="CF145" s="791">
        <f>CF142+CF144+CF143</f>
        <v>780.37902999999994</v>
      </c>
      <c r="CG145" s="791">
        <f>CG142+CG144+CG143</f>
        <v>23.659089999999999</v>
      </c>
      <c r="CH145" s="791">
        <f t="shared" si="130"/>
        <v>-756.71993999999995</v>
      </c>
      <c r="CI145" s="792">
        <f>CG145/CF145</f>
        <v>3.0317434337004161E-2</v>
      </c>
      <c r="CJ145" s="791">
        <f>CJ142+CJ144+CJ143</f>
        <v>1.2890000000000001</v>
      </c>
      <c r="CK145" s="791">
        <f>CK142+CK144+CK143</f>
        <v>5.2607900000000001</v>
      </c>
      <c r="CL145" s="791">
        <f t="shared" si="131"/>
        <v>3.9717899999999999</v>
      </c>
      <c r="CM145" s="792">
        <f>CK145/CJ145</f>
        <v>4.081295577967416</v>
      </c>
      <c r="CN145" s="804">
        <f>CN142+CN144+CN143</f>
        <v>231.50971000000001</v>
      </c>
      <c r="CO145" s="804">
        <f>CO142+CO144+CO143</f>
        <v>39.337389999999999</v>
      </c>
      <c r="CP145" s="804">
        <f t="shared" si="146"/>
        <v>-192.17232000000001</v>
      </c>
      <c r="CQ145" s="805">
        <f>CO145/CN145</f>
        <v>0.1699168039215288</v>
      </c>
      <c r="CR145" s="794">
        <f>CR142+CR144+CR143</f>
        <v>0</v>
      </c>
      <c r="CS145" s="794">
        <f>CS142+CS144+CS143</f>
        <v>0</v>
      </c>
      <c r="CT145" s="794">
        <f>CT5+CT18+CT34+CT79+CT90+CT142+CT143+CT144+CT71</f>
        <v>0</v>
      </c>
      <c r="CU145" s="793" t="e">
        <f>CS145/CR145</f>
        <v>#DIV/0!</v>
      </c>
      <c r="CV145" s="806">
        <f>CV142+CV144+CV143</f>
        <v>0</v>
      </c>
      <c r="CW145" s="806">
        <f>CW142+CW144+CW143</f>
        <v>0</v>
      </c>
      <c r="CX145" s="794">
        <f>CX5+CX18+CX34+CX79+CX90+CX142+CX143+CX144+CX71</f>
        <v>0</v>
      </c>
      <c r="CY145" s="793" t="e">
        <f>CW145/CV145</f>
        <v>#DIV/0!</v>
      </c>
      <c r="CZ145" s="806">
        <f>CZ142+CZ144+CZ143</f>
        <v>0</v>
      </c>
      <c r="DA145" s="806">
        <f>DA142+DA144+DA143</f>
        <v>0</v>
      </c>
      <c r="DB145" s="806">
        <f t="shared" si="132"/>
        <v>0</v>
      </c>
      <c r="DC145" s="793" t="e">
        <f>DA145/CZ145</f>
        <v>#DIV/0!</v>
      </c>
      <c r="DG145" s="798"/>
      <c r="DH145" s="804">
        <f>DH142+DH144+DH143</f>
        <v>12.269349999999999</v>
      </c>
      <c r="DI145" s="798"/>
      <c r="DJ145" s="799"/>
      <c r="DK145" s="800"/>
      <c r="DL145" s="800"/>
    </row>
    <row r="146" spans="1:116">
      <c r="AI146" s="718"/>
      <c r="DK146" s="718"/>
      <c r="DL146" s="718"/>
    </row>
    <row r="147" spans="1:116" ht="14.25" customHeight="1">
      <c r="E147" s="812"/>
      <c r="F147" s="813"/>
      <c r="AI147" s="718"/>
      <c r="DK147" s="718"/>
      <c r="DL147" s="718"/>
    </row>
    <row r="148" spans="1:116" s="810" customFormat="1">
      <c r="B148" s="807"/>
      <c r="C148" s="808"/>
      <c r="D148" s="809"/>
      <c r="F148" s="814"/>
      <c r="G148" s="711"/>
      <c r="H148" s="711"/>
      <c r="K148" s="711"/>
      <c r="L148" s="711"/>
      <c r="O148" s="711"/>
      <c r="P148" s="711"/>
      <c r="S148" s="711"/>
      <c r="T148" s="711"/>
      <c r="W148" s="711"/>
      <c r="X148" s="711"/>
      <c r="Y148" s="811"/>
      <c r="Z148" s="811"/>
      <c r="AA148" s="711"/>
      <c r="AB148" s="711"/>
      <c r="AE148" s="711"/>
      <c r="AF148" s="711"/>
      <c r="AG148" s="711"/>
      <c r="AH148" s="711"/>
      <c r="AI148" s="718"/>
      <c r="AL148" s="711"/>
      <c r="AM148" s="711"/>
      <c r="AP148" s="711"/>
      <c r="AQ148" s="711"/>
      <c r="AR148" s="711"/>
      <c r="AS148" s="711"/>
      <c r="AT148" s="711"/>
      <c r="AU148" s="711"/>
      <c r="AX148" s="711"/>
      <c r="AY148" s="711"/>
      <c r="AZ148" s="711"/>
      <c r="BA148" s="711"/>
      <c r="BB148" s="711"/>
      <c r="BC148" s="711"/>
      <c r="BF148" s="711"/>
      <c r="BG148" s="711"/>
      <c r="BJ148" s="711"/>
      <c r="BK148" s="711"/>
      <c r="BL148" s="711"/>
      <c r="BM148" s="711"/>
      <c r="BN148" s="711"/>
      <c r="BO148" s="711"/>
      <c r="BP148" s="711"/>
      <c r="BQ148" s="711"/>
      <c r="BR148" s="711"/>
      <c r="BS148" s="711"/>
      <c r="BT148" s="711"/>
      <c r="BU148" s="711"/>
      <c r="BV148" s="711"/>
      <c r="BW148" s="711"/>
      <c r="BZ148" s="711"/>
      <c r="CA148" s="711"/>
      <c r="CB148" s="711"/>
      <c r="CC148" s="711"/>
      <c r="CD148" s="711"/>
      <c r="CE148" s="711"/>
      <c r="CH148" s="711"/>
      <c r="CI148" s="711"/>
      <c r="CL148" s="711"/>
      <c r="CM148" s="711"/>
      <c r="CN148" s="711"/>
      <c r="CO148" s="711"/>
      <c r="CP148" s="711"/>
      <c r="CQ148" s="711"/>
      <c r="CR148" s="711"/>
      <c r="CS148" s="711"/>
      <c r="CT148" s="711"/>
      <c r="CU148" s="711"/>
      <c r="CX148" s="711"/>
      <c r="CY148" s="711"/>
      <c r="DK148" s="815"/>
      <c r="DL148" s="815"/>
    </row>
    <row r="149" spans="1:116" s="810" customFormat="1">
      <c r="B149" s="807"/>
      <c r="C149" s="808"/>
      <c r="D149" s="809"/>
      <c r="F149" s="813"/>
      <c r="G149" s="711"/>
      <c r="H149" s="711"/>
      <c r="K149" s="711"/>
      <c r="L149" s="711"/>
      <c r="O149" s="711"/>
      <c r="P149" s="711"/>
      <c r="S149" s="711"/>
      <c r="T149" s="711"/>
      <c r="W149" s="711"/>
      <c r="X149" s="711"/>
      <c r="Y149" s="811"/>
      <c r="Z149" s="811"/>
      <c r="AA149" s="711"/>
      <c r="AB149" s="711"/>
      <c r="AE149" s="711"/>
      <c r="AF149" s="711"/>
      <c r="AG149" s="711"/>
      <c r="AH149" s="711"/>
      <c r="AI149" s="718"/>
      <c r="AL149" s="711"/>
      <c r="AM149" s="711"/>
      <c r="AP149" s="711"/>
      <c r="AQ149" s="711"/>
      <c r="AR149" s="711"/>
      <c r="AS149" s="711"/>
      <c r="AT149" s="711"/>
      <c r="AU149" s="711"/>
      <c r="AX149" s="711"/>
      <c r="AY149" s="711"/>
      <c r="AZ149" s="711"/>
      <c r="BA149" s="711"/>
      <c r="BB149" s="711"/>
      <c r="BC149" s="711"/>
      <c r="BF149" s="711"/>
      <c r="BG149" s="711"/>
      <c r="BJ149" s="711"/>
      <c r="BK149" s="711"/>
      <c r="BL149" s="711"/>
      <c r="BM149" s="711"/>
      <c r="BN149" s="711"/>
      <c r="BO149" s="711"/>
      <c r="BP149" s="711"/>
      <c r="BQ149" s="711"/>
      <c r="BR149" s="711"/>
      <c r="BS149" s="711"/>
      <c r="BT149" s="711"/>
      <c r="BU149" s="711"/>
      <c r="BV149" s="711"/>
      <c r="BW149" s="711"/>
      <c r="BZ149" s="711"/>
      <c r="CA149" s="711"/>
      <c r="CB149" s="711"/>
      <c r="CC149" s="711"/>
      <c r="CD149" s="711"/>
      <c r="CE149" s="711"/>
      <c r="CH149" s="711"/>
      <c r="CI149" s="711"/>
      <c r="CL149" s="711"/>
      <c r="CM149" s="711"/>
      <c r="CN149" s="711"/>
      <c r="CO149" s="711"/>
      <c r="CP149" s="711"/>
      <c r="CQ149" s="711"/>
      <c r="CR149" s="711"/>
      <c r="CS149" s="711"/>
      <c r="CT149" s="711"/>
      <c r="CU149" s="711"/>
      <c r="CX149" s="711"/>
      <c r="CY149" s="711"/>
      <c r="DK149" s="815"/>
      <c r="DL149" s="815"/>
    </row>
    <row r="150" spans="1:116" s="810" customFormat="1">
      <c r="B150" s="807"/>
      <c r="C150" s="808"/>
      <c r="D150" s="809"/>
      <c r="G150" s="711"/>
      <c r="H150" s="711"/>
      <c r="K150" s="711"/>
      <c r="L150" s="711"/>
      <c r="O150" s="711"/>
      <c r="P150" s="711"/>
      <c r="S150" s="711"/>
      <c r="T150" s="711"/>
      <c r="W150" s="711"/>
      <c r="X150" s="711"/>
      <c r="Y150" s="811"/>
      <c r="Z150" s="811"/>
      <c r="AA150" s="711"/>
      <c r="AB150" s="711"/>
      <c r="AE150" s="711"/>
      <c r="AF150" s="711"/>
      <c r="AG150" s="711"/>
      <c r="AH150" s="711"/>
      <c r="AI150" s="718"/>
      <c r="AL150" s="711"/>
      <c r="AM150" s="711"/>
      <c r="AP150" s="711"/>
      <c r="AQ150" s="711"/>
      <c r="AR150" s="711"/>
      <c r="AS150" s="711"/>
      <c r="AT150" s="711"/>
      <c r="AU150" s="711"/>
      <c r="AX150" s="711"/>
      <c r="AY150" s="711"/>
      <c r="AZ150" s="711"/>
      <c r="BA150" s="711"/>
      <c r="BB150" s="711"/>
      <c r="BC150" s="711"/>
      <c r="BF150" s="711"/>
      <c r="BG150" s="711"/>
      <c r="BJ150" s="711"/>
      <c r="BK150" s="711"/>
      <c r="BL150" s="711"/>
      <c r="BM150" s="711"/>
      <c r="BN150" s="711"/>
      <c r="BO150" s="711"/>
      <c r="BP150" s="711"/>
      <c r="BQ150" s="711"/>
      <c r="BR150" s="711"/>
      <c r="BS150" s="711"/>
      <c r="BT150" s="711"/>
      <c r="BU150" s="711"/>
      <c r="BV150" s="711"/>
      <c r="BW150" s="711"/>
      <c r="BZ150" s="711"/>
      <c r="CA150" s="711"/>
      <c r="CB150" s="711"/>
      <c r="CC150" s="711"/>
      <c r="CD150" s="711"/>
      <c r="CE150" s="711"/>
      <c r="CH150" s="711"/>
      <c r="CI150" s="711"/>
      <c r="CL150" s="711"/>
      <c r="CM150" s="711"/>
      <c r="CN150" s="711"/>
      <c r="CO150" s="711"/>
      <c r="CP150" s="711"/>
      <c r="CQ150" s="711"/>
      <c r="CR150" s="711"/>
      <c r="CS150" s="711"/>
      <c r="CT150" s="711"/>
      <c r="CU150" s="711"/>
      <c r="CX150" s="711"/>
      <c r="CY150" s="711"/>
    </row>
    <row r="151" spans="1:116" s="810" customFormat="1">
      <c r="B151" s="807"/>
      <c r="C151" s="808"/>
      <c r="D151" s="809"/>
      <c r="G151" s="711"/>
      <c r="H151" s="711"/>
      <c r="K151" s="711"/>
      <c r="L151" s="711"/>
      <c r="O151" s="711"/>
      <c r="P151" s="711"/>
      <c r="S151" s="711"/>
      <c r="T151" s="711"/>
      <c r="W151" s="711"/>
      <c r="X151" s="711"/>
      <c r="Y151" s="811"/>
      <c r="Z151" s="811"/>
      <c r="AA151" s="711"/>
      <c r="AB151" s="711"/>
      <c r="AE151" s="711"/>
      <c r="AF151" s="711"/>
      <c r="AG151" s="711"/>
      <c r="AH151" s="711"/>
      <c r="AI151" s="718"/>
      <c r="AL151" s="711"/>
      <c r="AM151" s="711"/>
      <c r="AP151" s="711"/>
      <c r="AQ151" s="711"/>
      <c r="AR151" s="711"/>
      <c r="AS151" s="711"/>
      <c r="AT151" s="711"/>
      <c r="AU151" s="711"/>
      <c r="AX151" s="711"/>
      <c r="AY151" s="711"/>
      <c r="AZ151" s="711"/>
      <c r="BA151" s="711"/>
      <c r="BB151" s="711"/>
      <c r="BC151" s="711"/>
      <c r="BF151" s="711"/>
      <c r="BG151" s="711"/>
      <c r="BJ151" s="711"/>
      <c r="BK151" s="711"/>
      <c r="BL151" s="711"/>
      <c r="BM151" s="711"/>
      <c r="BN151" s="711"/>
      <c r="BO151" s="711"/>
      <c r="BP151" s="711"/>
      <c r="BQ151" s="711"/>
      <c r="BR151" s="711"/>
      <c r="BS151" s="711"/>
      <c r="BT151" s="711"/>
      <c r="BU151" s="711"/>
      <c r="BV151" s="711"/>
      <c r="BW151" s="711"/>
      <c r="BZ151" s="711"/>
      <c r="CA151" s="711"/>
      <c r="CB151" s="711"/>
      <c r="CC151" s="711"/>
      <c r="CD151" s="711"/>
      <c r="CE151" s="711"/>
      <c r="CH151" s="711"/>
      <c r="CI151" s="711"/>
      <c r="CL151" s="711"/>
      <c r="CM151" s="711"/>
      <c r="CN151" s="711"/>
      <c r="CO151" s="711"/>
      <c r="CP151" s="711"/>
      <c r="CQ151" s="711"/>
      <c r="CR151" s="711"/>
      <c r="CS151" s="711"/>
      <c r="CT151" s="711"/>
      <c r="CU151" s="711"/>
      <c r="CX151" s="711"/>
      <c r="CY151" s="711"/>
    </row>
    <row r="152" spans="1:116" s="810" customFormat="1">
      <c r="B152" s="807"/>
      <c r="C152" s="808"/>
      <c r="D152" s="809"/>
      <c r="G152" s="711"/>
      <c r="H152" s="711"/>
      <c r="K152" s="711"/>
      <c r="L152" s="711"/>
      <c r="O152" s="711"/>
      <c r="P152" s="711"/>
      <c r="S152" s="711"/>
      <c r="T152" s="711"/>
      <c r="W152" s="711"/>
      <c r="X152" s="711"/>
      <c r="Y152" s="811"/>
      <c r="Z152" s="811"/>
      <c r="AA152" s="711"/>
      <c r="AB152" s="711"/>
      <c r="AE152" s="711"/>
      <c r="AF152" s="711"/>
      <c r="AG152" s="711"/>
      <c r="AH152" s="711"/>
      <c r="AI152" s="718"/>
      <c r="AL152" s="711"/>
      <c r="AM152" s="711"/>
      <c r="AP152" s="711"/>
      <c r="AQ152" s="711"/>
      <c r="AR152" s="711"/>
      <c r="AS152" s="711"/>
      <c r="AT152" s="711"/>
      <c r="AU152" s="711"/>
      <c r="AX152" s="711"/>
      <c r="AY152" s="711"/>
      <c r="AZ152" s="711"/>
      <c r="BA152" s="711"/>
      <c r="BB152" s="711"/>
      <c r="BC152" s="711"/>
      <c r="BF152" s="711"/>
      <c r="BG152" s="711"/>
      <c r="BJ152" s="711"/>
      <c r="BK152" s="711"/>
      <c r="BL152" s="711"/>
      <c r="BM152" s="711"/>
      <c r="BN152" s="711"/>
      <c r="BO152" s="711"/>
      <c r="BP152" s="711"/>
      <c r="BQ152" s="711"/>
      <c r="BR152" s="711"/>
      <c r="BS152" s="711"/>
      <c r="BT152" s="711"/>
      <c r="BU152" s="711"/>
      <c r="BV152" s="711"/>
      <c r="BW152" s="711"/>
      <c r="BZ152" s="711"/>
      <c r="CA152" s="711"/>
      <c r="CB152" s="711"/>
      <c r="CC152" s="711"/>
      <c r="CD152" s="711"/>
      <c r="CE152" s="711"/>
      <c r="CH152" s="711"/>
      <c r="CI152" s="711"/>
      <c r="CL152" s="711"/>
      <c r="CM152" s="711"/>
      <c r="CN152" s="711"/>
      <c r="CO152" s="711"/>
      <c r="CP152" s="711"/>
      <c r="CQ152" s="711"/>
      <c r="CR152" s="711"/>
      <c r="CS152" s="711"/>
      <c r="CT152" s="711"/>
      <c r="CU152" s="711"/>
      <c r="CX152" s="711"/>
      <c r="CY152" s="711"/>
    </row>
    <row r="153" spans="1:116" s="810" customFormat="1">
      <c r="B153" s="807"/>
      <c r="C153" s="808"/>
      <c r="D153" s="809"/>
      <c r="G153" s="711"/>
      <c r="H153" s="711"/>
      <c r="K153" s="711"/>
      <c r="L153" s="711"/>
      <c r="O153" s="711"/>
      <c r="P153" s="711"/>
      <c r="S153" s="711"/>
      <c r="T153" s="711"/>
      <c r="W153" s="711"/>
      <c r="X153" s="711"/>
      <c r="Y153" s="811"/>
      <c r="Z153" s="811"/>
      <c r="AA153" s="711"/>
      <c r="AB153" s="711"/>
      <c r="AE153" s="711"/>
      <c r="AF153" s="711"/>
      <c r="AG153" s="711"/>
      <c r="AH153" s="711"/>
      <c r="AI153" s="718"/>
      <c r="AL153" s="711"/>
      <c r="AM153" s="711"/>
      <c r="AP153" s="711"/>
      <c r="AQ153" s="711"/>
      <c r="AR153" s="711"/>
      <c r="AS153" s="711"/>
      <c r="AT153" s="711"/>
      <c r="AU153" s="711"/>
      <c r="AX153" s="711"/>
      <c r="AY153" s="711"/>
      <c r="AZ153" s="711"/>
      <c r="BA153" s="711"/>
      <c r="BB153" s="711"/>
      <c r="BC153" s="711"/>
      <c r="BF153" s="711"/>
      <c r="BG153" s="711"/>
      <c r="BJ153" s="711"/>
      <c r="BK153" s="711"/>
      <c r="BL153" s="711"/>
      <c r="BM153" s="711"/>
      <c r="BN153" s="711"/>
      <c r="BO153" s="711"/>
      <c r="BP153" s="711"/>
      <c r="BQ153" s="711"/>
      <c r="BR153" s="711"/>
      <c r="BS153" s="711"/>
      <c r="BT153" s="711"/>
      <c r="BU153" s="711"/>
      <c r="BV153" s="711"/>
      <c r="BW153" s="711"/>
      <c r="BZ153" s="711"/>
      <c r="CA153" s="711"/>
      <c r="CB153" s="711"/>
      <c r="CC153" s="711"/>
      <c r="CD153" s="711"/>
      <c r="CE153" s="711"/>
      <c r="CH153" s="711"/>
      <c r="CI153" s="711"/>
      <c r="CL153" s="711"/>
      <c r="CM153" s="711"/>
      <c r="CN153" s="711"/>
      <c r="CO153" s="711"/>
      <c r="CP153" s="711"/>
      <c r="CQ153" s="711"/>
      <c r="CR153" s="711"/>
      <c r="CS153" s="711"/>
      <c r="CT153" s="711"/>
      <c r="CU153" s="711"/>
      <c r="CX153" s="711"/>
      <c r="CY153" s="711"/>
    </row>
    <row r="154" spans="1:116" s="810" customFormat="1">
      <c r="B154" s="807"/>
      <c r="C154" s="808"/>
      <c r="D154" s="809"/>
      <c r="G154" s="711"/>
      <c r="H154" s="711"/>
      <c r="K154" s="711"/>
      <c r="L154" s="711"/>
      <c r="O154" s="711"/>
      <c r="P154" s="711"/>
      <c r="S154" s="711"/>
      <c r="T154" s="711"/>
      <c r="W154" s="711"/>
      <c r="X154" s="711"/>
      <c r="Y154" s="811"/>
      <c r="Z154" s="811"/>
      <c r="AA154" s="711"/>
      <c r="AB154" s="711"/>
      <c r="AE154" s="711"/>
      <c r="AF154" s="711"/>
      <c r="AG154" s="711"/>
      <c r="AH154" s="711"/>
      <c r="AI154" s="768"/>
      <c r="AL154" s="711"/>
      <c r="AM154" s="711"/>
      <c r="AP154" s="711"/>
      <c r="AQ154" s="711"/>
      <c r="AR154" s="711"/>
      <c r="AS154" s="711"/>
      <c r="AT154" s="711"/>
      <c r="AU154" s="711"/>
      <c r="AX154" s="711"/>
      <c r="AY154" s="711"/>
      <c r="AZ154" s="711"/>
      <c r="BA154" s="711"/>
      <c r="BB154" s="711"/>
      <c r="BC154" s="711"/>
      <c r="BF154" s="711"/>
      <c r="BG154" s="711"/>
      <c r="BJ154" s="711"/>
      <c r="BK154" s="711"/>
      <c r="BL154" s="711"/>
      <c r="BM154" s="711"/>
      <c r="BN154" s="711"/>
      <c r="BO154" s="711"/>
      <c r="BP154" s="711"/>
      <c r="BQ154" s="711"/>
      <c r="BR154" s="711"/>
      <c r="BS154" s="711"/>
      <c r="BT154" s="711"/>
      <c r="BU154" s="711"/>
      <c r="BV154" s="711"/>
      <c r="BW154" s="711"/>
      <c r="BZ154" s="711"/>
      <c r="CA154" s="711"/>
      <c r="CB154" s="711"/>
      <c r="CC154" s="711"/>
      <c r="CD154" s="711"/>
      <c r="CE154" s="711"/>
      <c r="CH154" s="711"/>
      <c r="CI154" s="711"/>
      <c r="CL154" s="711"/>
      <c r="CM154" s="711"/>
      <c r="CN154" s="711"/>
      <c r="CO154" s="711"/>
      <c r="CP154" s="711"/>
      <c r="CQ154" s="711"/>
      <c r="CR154" s="711"/>
      <c r="CS154" s="711"/>
      <c r="CT154" s="711"/>
      <c r="CU154" s="711"/>
      <c r="CX154" s="711"/>
      <c r="CY154" s="711"/>
    </row>
    <row r="155" spans="1:116" s="810" customFormat="1">
      <c r="B155" s="807"/>
      <c r="C155" s="808"/>
      <c r="D155" s="809"/>
      <c r="G155" s="711"/>
      <c r="H155" s="711"/>
      <c r="K155" s="711"/>
      <c r="L155" s="711"/>
      <c r="O155" s="711"/>
      <c r="P155" s="711"/>
      <c r="S155" s="711"/>
      <c r="T155" s="711"/>
      <c r="W155" s="711"/>
      <c r="X155" s="711"/>
      <c r="Y155" s="811"/>
      <c r="Z155" s="811"/>
      <c r="AA155" s="711"/>
      <c r="AB155" s="711"/>
      <c r="AE155" s="711"/>
      <c r="AF155" s="711"/>
      <c r="AG155" s="711"/>
      <c r="AH155" s="711"/>
      <c r="AI155" s="718"/>
      <c r="AL155" s="711"/>
      <c r="AM155" s="711"/>
      <c r="AP155" s="711"/>
      <c r="AQ155" s="711"/>
      <c r="AR155" s="711"/>
      <c r="AS155" s="711"/>
      <c r="AT155" s="711"/>
      <c r="AU155" s="711"/>
      <c r="AX155" s="711"/>
      <c r="AY155" s="711"/>
      <c r="AZ155" s="711"/>
      <c r="BA155" s="711"/>
      <c r="BB155" s="711"/>
      <c r="BC155" s="711"/>
      <c r="BF155" s="711"/>
      <c r="BG155" s="711"/>
      <c r="BJ155" s="711"/>
      <c r="BK155" s="711"/>
      <c r="BL155" s="711"/>
      <c r="BM155" s="711"/>
      <c r="BN155" s="711"/>
      <c r="BO155" s="711"/>
      <c r="BP155" s="711"/>
      <c r="BQ155" s="711"/>
      <c r="BR155" s="711"/>
      <c r="BS155" s="711"/>
      <c r="BT155" s="711"/>
      <c r="BU155" s="711"/>
      <c r="BV155" s="711"/>
      <c r="BW155" s="711"/>
      <c r="BZ155" s="711"/>
      <c r="CA155" s="711"/>
      <c r="CB155" s="711"/>
      <c r="CC155" s="711"/>
      <c r="CD155" s="711"/>
      <c r="CE155" s="711"/>
      <c r="CH155" s="711"/>
      <c r="CI155" s="711"/>
      <c r="CL155" s="711"/>
      <c r="CM155" s="711"/>
      <c r="CN155" s="711"/>
      <c r="CO155" s="711"/>
      <c r="CP155" s="711"/>
      <c r="CQ155" s="711"/>
      <c r="CR155" s="711"/>
      <c r="CS155" s="711"/>
      <c r="CT155" s="711"/>
      <c r="CU155" s="711"/>
      <c r="CX155" s="711"/>
      <c r="CY155" s="711"/>
    </row>
    <row r="156" spans="1:116" s="810" customFormat="1">
      <c r="B156" s="807"/>
      <c r="C156" s="808"/>
      <c r="D156" s="809"/>
      <c r="G156" s="711"/>
      <c r="H156" s="711"/>
      <c r="K156" s="711"/>
      <c r="L156" s="711"/>
      <c r="O156" s="711"/>
      <c r="P156" s="711"/>
      <c r="S156" s="711"/>
      <c r="T156" s="711"/>
      <c r="W156" s="711"/>
      <c r="X156" s="711"/>
      <c r="Y156" s="811"/>
      <c r="Z156" s="811"/>
      <c r="AA156" s="711"/>
      <c r="AB156" s="711"/>
      <c r="AE156" s="711"/>
      <c r="AF156" s="711"/>
      <c r="AG156" s="711"/>
      <c r="AH156" s="711"/>
      <c r="AI156" s="718"/>
      <c r="AL156" s="711"/>
      <c r="AM156" s="711"/>
      <c r="AP156" s="711"/>
      <c r="AQ156" s="711"/>
      <c r="AR156" s="711"/>
      <c r="AS156" s="711"/>
      <c r="AT156" s="711"/>
      <c r="AU156" s="711"/>
      <c r="AX156" s="711"/>
      <c r="AY156" s="711"/>
      <c r="AZ156" s="711"/>
      <c r="BA156" s="711"/>
      <c r="BB156" s="711"/>
      <c r="BC156" s="711"/>
      <c r="BF156" s="711"/>
      <c r="BG156" s="711"/>
      <c r="BJ156" s="711"/>
      <c r="BK156" s="711"/>
      <c r="BL156" s="711"/>
      <c r="BM156" s="711"/>
      <c r="BN156" s="711"/>
      <c r="BO156" s="711"/>
      <c r="BP156" s="711"/>
      <c r="BQ156" s="711"/>
      <c r="BR156" s="711"/>
      <c r="BS156" s="711"/>
      <c r="BT156" s="711"/>
      <c r="BU156" s="711"/>
      <c r="BV156" s="711"/>
      <c r="BW156" s="711"/>
      <c r="BZ156" s="711"/>
      <c r="CA156" s="711"/>
      <c r="CB156" s="711"/>
      <c r="CC156" s="711"/>
      <c r="CD156" s="711"/>
      <c r="CE156" s="711"/>
      <c r="CH156" s="711"/>
      <c r="CI156" s="711"/>
      <c r="CL156" s="711"/>
      <c r="CM156" s="711"/>
      <c r="CN156" s="711"/>
      <c r="CO156" s="711"/>
      <c r="CP156" s="711"/>
      <c r="CQ156" s="711"/>
      <c r="CR156" s="711"/>
      <c r="CS156" s="711"/>
      <c r="CT156" s="711"/>
      <c r="CU156" s="711"/>
      <c r="CX156" s="711"/>
      <c r="CY156" s="711"/>
    </row>
    <row r="157" spans="1:116" s="810" customFormat="1">
      <c r="B157" s="807"/>
      <c r="C157" s="808"/>
      <c r="D157" s="809"/>
      <c r="G157" s="711"/>
      <c r="H157" s="711"/>
      <c r="K157" s="711"/>
      <c r="L157" s="711"/>
      <c r="O157" s="711"/>
      <c r="P157" s="711"/>
      <c r="S157" s="711"/>
      <c r="T157" s="711"/>
      <c r="W157" s="711"/>
      <c r="X157" s="711"/>
      <c r="Y157" s="811"/>
      <c r="Z157" s="811"/>
      <c r="AA157" s="711"/>
      <c r="AB157" s="711"/>
      <c r="AE157" s="711"/>
      <c r="AF157" s="711"/>
      <c r="AG157" s="711"/>
      <c r="AH157" s="711"/>
      <c r="AI157" s="768"/>
      <c r="AL157" s="711"/>
      <c r="AM157" s="711"/>
      <c r="AP157" s="711"/>
      <c r="AQ157" s="711"/>
      <c r="AR157" s="711"/>
      <c r="AS157" s="711"/>
      <c r="AT157" s="711"/>
      <c r="AU157" s="711"/>
      <c r="AX157" s="711"/>
      <c r="AY157" s="711"/>
      <c r="AZ157" s="711"/>
      <c r="BA157" s="711"/>
      <c r="BB157" s="711"/>
      <c r="BC157" s="711"/>
      <c r="BF157" s="711"/>
      <c r="BG157" s="711"/>
      <c r="BJ157" s="711"/>
      <c r="BK157" s="711"/>
      <c r="BL157" s="711"/>
      <c r="BM157" s="711"/>
      <c r="BN157" s="711"/>
      <c r="BO157" s="711"/>
      <c r="BP157" s="711"/>
      <c r="BQ157" s="711"/>
      <c r="BR157" s="711"/>
      <c r="BS157" s="711"/>
      <c r="BT157" s="711"/>
      <c r="BU157" s="711"/>
      <c r="BV157" s="711"/>
      <c r="BW157" s="711"/>
      <c r="BZ157" s="711"/>
      <c r="CA157" s="711"/>
      <c r="CB157" s="711"/>
      <c r="CC157" s="711"/>
      <c r="CD157" s="711"/>
      <c r="CE157" s="711"/>
      <c r="CH157" s="711"/>
      <c r="CI157" s="711"/>
      <c r="CL157" s="711"/>
      <c r="CM157" s="711"/>
      <c r="CN157" s="711"/>
      <c r="CO157" s="711"/>
      <c r="CP157" s="711"/>
      <c r="CQ157" s="711"/>
      <c r="CR157" s="711"/>
      <c r="CS157" s="711"/>
      <c r="CT157" s="711"/>
      <c r="CU157" s="711"/>
      <c r="CX157" s="711"/>
      <c r="CY157" s="711"/>
    </row>
    <row r="158" spans="1:116" s="810" customFormat="1">
      <c r="B158" s="807"/>
      <c r="C158" s="808"/>
      <c r="D158" s="809"/>
      <c r="G158" s="711"/>
      <c r="H158" s="711"/>
      <c r="K158" s="711"/>
      <c r="L158" s="711"/>
      <c r="O158" s="711"/>
      <c r="P158" s="711"/>
      <c r="S158" s="711"/>
      <c r="T158" s="711"/>
      <c r="W158" s="711"/>
      <c r="X158" s="711"/>
      <c r="Y158" s="811"/>
      <c r="Z158" s="811"/>
      <c r="AA158" s="711"/>
      <c r="AB158" s="711"/>
      <c r="AE158" s="711"/>
      <c r="AF158" s="711"/>
      <c r="AG158" s="711"/>
      <c r="AH158" s="711"/>
      <c r="AI158" s="718"/>
      <c r="AL158" s="711"/>
      <c r="AM158" s="711"/>
      <c r="AP158" s="711"/>
      <c r="AQ158" s="711"/>
      <c r="AR158" s="711"/>
      <c r="AS158" s="711"/>
      <c r="AT158" s="711"/>
      <c r="AU158" s="711"/>
      <c r="AX158" s="711"/>
      <c r="AY158" s="711"/>
      <c r="AZ158" s="711"/>
      <c r="BA158" s="711"/>
      <c r="BB158" s="711"/>
      <c r="BC158" s="711"/>
      <c r="BF158" s="711"/>
      <c r="BG158" s="711"/>
      <c r="BJ158" s="711"/>
      <c r="BK158" s="711"/>
      <c r="BL158" s="711"/>
      <c r="BM158" s="711"/>
      <c r="BN158" s="711"/>
      <c r="BO158" s="711"/>
      <c r="BP158" s="711"/>
      <c r="BQ158" s="711"/>
      <c r="BR158" s="711"/>
      <c r="BS158" s="711"/>
      <c r="BT158" s="711"/>
      <c r="BU158" s="711"/>
      <c r="BV158" s="711"/>
      <c r="BW158" s="711"/>
      <c r="BZ158" s="711"/>
      <c r="CA158" s="711"/>
      <c r="CB158" s="711"/>
      <c r="CC158" s="711"/>
      <c r="CD158" s="711"/>
      <c r="CE158" s="711"/>
      <c r="CH158" s="711"/>
      <c r="CI158" s="711"/>
      <c r="CL158" s="711"/>
      <c r="CM158" s="711"/>
      <c r="CN158" s="711"/>
      <c r="CO158" s="711"/>
      <c r="CP158" s="711"/>
      <c r="CQ158" s="711"/>
      <c r="CR158" s="711"/>
      <c r="CS158" s="711"/>
      <c r="CT158" s="711"/>
      <c r="CU158" s="711"/>
      <c r="CX158" s="711"/>
      <c r="CY158" s="711"/>
    </row>
  </sheetData>
  <mergeCells count="83">
    <mergeCell ref="DJ3:DJ4"/>
    <mergeCell ref="CY3:CY4"/>
    <mergeCell ref="CZ3:DA3"/>
    <mergeCell ref="DB3:DB4"/>
    <mergeCell ref="DC3:DC4"/>
    <mergeCell ref="DG3:DH3"/>
    <mergeCell ref="DI3:DI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85" orientation="portrait" r:id="rId1"/>
  <colBreaks count="1" manualBreakCount="1">
    <brk id="37" max="14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Q160"/>
  <sheetViews>
    <sheetView view="pageBreakPreview" zoomScale="84" zoomScaleSheetLayoutView="84" workbookViewId="0">
      <pane xSplit="3" ySplit="6" topLeftCell="F27" activePane="bottomRight" state="frozen"/>
      <selection pane="topRight" activeCell="C1" sqref="C1"/>
      <selection pane="bottomLeft" activeCell="A7" sqref="A7"/>
      <selection pane="bottomRight" activeCell="G77" sqref="G77"/>
    </sheetView>
  </sheetViews>
  <sheetFormatPr defaultRowHeight="12.75"/>
  <cols>
    <col min="1" max="1" width="4.7109375" style="389" customWidth="1"/>
    <col min="2" max="2" width="15.42578125" style="389" hidden="1" customWidth="1"/>
    <col min="3" max="3" width="39.42578125" style="389" customWidth="1"/>
    <col min="4" max="4" width="9.7109375" style="389" hidden="1" customWidth="1"/>
    <col min="5" max="5" width="10" style="389" hidden="1" customWidth="1"/>
    <col min="6" max="6" width="11.42578125" style="389" customWidth="1"/>
    <col min="7" max="7" width="12.42578125" style="389" customWidth="1"/>
    <col min="8" max="9" width="11.28515625" style="389" customWidth="1"/>
    <col min="10" max="10" width="9.28515625" style="389" hidden="1" customWidth="1"/>
    <col min="11" max="11" width="12.42578125" style="389" customWidth="1"/>
    <col min="12" max="12" width="12" style="389" customWidth="1"/>
    <col min="13" max="16384" width="9.140625" style="389"/>
  </cols>
  <sheetData>
    <row r="1" spans="1:12">
      <c r="J1" s="508" t="s">
        <v>578</v>
      </c>
    </row>
    <row r="2" spans="1:12" ht="37.5" customHeight="1">
      <c r="A2" s="388"/>
      <c r="B2" s="388" t="s">
        <v>816</v>
      </c>
      <c r="C2" s="828" t="s">
        <v>964</v>
      </c>
      <c r="D2" s="828"/>
      <c r="E2" s="828"/>
      <c r="F2" s="828"/>
      <c r="G2" s="828"/>
      <c r="H2" s="828"/>
      <c r="I2" s="828"/>
      <c r="J2" s="828"/>
      <c r="K2" s="828"/>
      <c r="L2" s="828"/>
    </row>
    <row r="3" spans="1:12" ht="5.25" customHeight="1">
      <c r="A3" s="829" t="s">
        <v>303</v>
      </c>
      <c r="B3" s="822"/>
      <c r="C3" s="832" t="s">
        <v>304</v>
      </c>
      <c r="D3" s="835" t="s">
        <v>305</v>
      </c>
      <c r="E3" s="836"/>
      <c r="F3" s="836"/>
      <c r="G3" s="836"/>
      <c r="H3" s="836"/>
      <c r="I3" s="837"/>
      <c r="J3" s="841" t="s">
        <v>648</v>
      </c>
      <c r="K3" s="844" t="s">
        <v>813</v>
      </c>
      <c r="L3" s="844" t="s">
        <v>969</v>
      </c>
    </row>
    <row r="4" spans="1:12" ht="9" customHeight="1">
      <c r="A4" s="830"/>
      <c r="B4" s="823"/>
      <c r="C4" s="833"/>
      <c r="D4" s="838"/>
      <c r="E4" s="839"/>
      <c r="F4" s="839"/>
      <c r="G4" s="839"/>
      <c r="H4" s="839"/>
      <c r="I4" s="840"/>
      <c r="J4" s="842"/>
      <c r="K4" s="845"/>
      <c r="L4" s="845"/>
    </row>
    <row r="5" spans="1:12" ht="39" customHeight="1">
      <c r="A5" s="831"/>
      <c r="B5" s="824"/>
      <c r="C5" s="834"/>
      <c r="D5" s="509" t="s">
        <v>579</v>
      </c>
      <c r="E5" s="510" t="s">
        <v>642</v>
      </c>
      <c r="F5" s="509" t="s">
        <v>643</v>
      </c>
      <c r="G5" s="509" t="s">
        <v>965</v>
      </c>
      <c r="H5" s="509" t="s">
        <v>771</v>
      </c>
      <c r="I5" s="509" t="s">
        <v>966</v>
      </c>
      <c r="J5" s="843"/>
      <c r="K5" s="846"/>
      <c r="L5" s="846"/>
    </row>
    <row r="6" spans="1:12" ht="12.75" customHeight="1">
      <c r="A6" s="511" t="s">
        <v>306</v>
      </c>
      <c r="B6" s="511"/>
      <c r="C6" s="512" t="s">
        <v>307</v>
      </c>
      <c r="D6" s="513">
        <f t="shared" ref="D6" si="0">SUM(D8:D21)</f>
        <v>0</v>
      </c>
      <c r="E6" s="513">
        <f t="shared" ref="E6:G6" si="1">SUM(E8:E21)</f>
        <v>0</v>
      </c>
      <c r="F6" s="513">
        <f t="shared" si="1"/>
        <v>0</v>
      </c>
      <c r="G6" s="513">
        <f t="shared" si="1"/>
        <v>301.60000000000002</v>
      </c>
      <c r="H6" s="513">
        <f>SUM(H7:H21)</f>
        <v>0</v>
      </c>
      <c r="I6" s="513">
        <f>SUM(I7:I21)</f>
        <v>0.73399999999999999</v>
      </c>
      <c r="J6" s="514">
        <f>H6-F6</f>
        <v>0</v>
      </c>
      <c r="K6" s="515">
        <v>0</v>
      </c>
      <c r="L6" s="515">
        <f>I6-H6</f>
        <v>0.73399999999999999</v>
      </c>
    </row>
    <row r="7" spans="1:12" ht="12.75" customHeight="1">
      <c r="A7" s="530"/>
      <c r="B7" s="531" t="s">
        <v>817</v>
      </c>
      <c r="C7" s="516" t="s">
        <v>818</v>
      </c>
      <c r="D7" s="532"/>
      <c r="E7" s="532"/>
      <c r="F7" s="532">
        <v>0</v>
      </c>
      <c r="G7" s="532">
        <v>0</v>
      </c>
      <c r="H7" s="532">
        <v>0</v>
      </c>
      <c r="I7" s="383"/>
      <c r="J7" s="386"/>
      <c r="K7" s="525">
        <v>0</v>
      </c>
      <c r="L7" s="525">
        <f>I7-H7</f>
        <v>0</v>
      </c>
    </row>
    <row r="8" spans="1:12" hidden="1">
      <c r="A8" s="380"/>
      <c r="B8" s="380"/>
      <c r="C8" s="380" t="s">
        <v>308</v>
      </c>
      <c r="D8" s="385"/>
      <c r="E8" s="383"/>
      <c r="F8" s="385"/>
      <c r="G8" s="385"/>
      <c r="H8" s="385"/>
      <c r="I8" s="385"/>
      <c r="J8" s="514">
        <f t="shared" ref="J8:J76" si="2">H8-F8</f>
        <v>0</v>
      </c>
      <c r="K8" s="525" t="e">
        <f t="shared" ref="K8:K74" si="3">I8/G8</f>
        <v>#DIV/0!</v>
      </c>
      <c r="L8" s="525">
        <f t="shared" ref="L8:L14" si="4">I8-H8</f>
        <v>0</v>
      </c>
    </row>
    <row r="9" spans="1:12" ht="14.25" hidden="1" customHeight="1">
      <c r="A9" s="380"/>
      <c r="B9" s="380"/>
      <c r="C9" s="380" t="s">
        <v>309</v>
      </c>
      <c r="D9" s="377"/>
      <c r="E9" s="376"/>
      <c r="F9" s="377"/>
      <c r="G9" s="377"/>
      <c r="H9" s="377"/>
      <c r="I9" s="377"/>
      <c r="J9" s="514">
        <f t="shared" si="2"/>
        <v>0</v>
      </c>
      <c r="K9" s="525" t="e">
        <f t="shared" si="3"/>
        <v>#DIV/0!</v>
      </c>
      <c r="L9" s="525">
        <f t="shared" si="4"/>
        <v>0</v>
      </c>
    </row>
    <row r="10" spans="1:12" ht="14.25" hidden="1" customHeight="1">
      <c r="A10" s="380"/>
      <c r="B10" s="380"/>
      <c r="C10" s="516" t="s">
        <v>535</v>
      </c>
      <c r="D10" s="377"/>
      <c r="E10" s="376"/>
      <c r="F10" s="377"/>
      <c r="G10" s="377"/>
      <c r="H10" s="377"/>
      <c r="I10" s="377"/>
      <c r="J10" s="514">
        <f t="shared" si="2"/>
        <v>0</v>
      </c>
      <c r="K10" s="525" t="e">
        <f t="shared" si="3"/>
        <v>#DIV/0!</v>
      </c>
      <c r="L10" s="525">
        <f t="shared" si="4"/>
        <v>0</v>
      </c>
    </row>
    <row r="11" spans="1:12" ht="14.25" hidden="1" customHeight="1">
      <c r="A11" s="380"/>
      <c r="B11" s="380"/>
      <c r="C11" s="516" t="s">
        <v>310</v>
      </c>
      <c r="D11" s="377"/>
      <c r="E11" s="376"/>
      <c r="F11" s="377"/>
      <c r="G11" s="377"/>
      <c r="H11" s="377"/>
      <c r="I11" s="377"/>
      <c r="J11" s="514">
        <f t="shared" si="2"/>
        <v>0</v>
      </c>
      <c r="K11" s="525" t="e">
        <f t="shared" si="3"/>
        <v>#DIV/0!</v>
      </c>
      <c r="L11" s="525">
        <f t="shared" si="4"/>
        <v>0</v>
      </c>
    </row>
    <row r="12" spans="1:12" ht="14.25" hidden="1" customHeight="1">
      <c r="A12" s="380"/>
      <c r="B12" s="380"/>
      <c r="C12" s="516" t="s">
        <v>581</v>
      </c>
      <c r="D12" s="377"/>
      <c r="E12" s="376"/>
      <c r="F12" s="377"/>
      <c r="G12" s="377"/>
      <c r="H12" s="377"/>
      <c r="I12" s="377"/>
      <c r="J12" s="514">
        <f t="shared" si="2"/>
        <v>0</v>
      </c>
      <c r="K12" s="525" t="e">
        <f t="shared" si="3"/>
        <v>#DIV/0!</v>
      </c>
      <c r="L12" s="525">
        <f t="shared" si="4"/>
        <v>0</v>
      </c>
    </row>
    <row r="13" spans="1:12" ht="14.25" customHeight="1">
      <c r="A13" s="380"/>
      <c r="B13" s="380"/>
      <c r="C13" s="516" t="s">
        <v>693</v>
      </c>
      <c r="D13" s="377"/>
      <c r="E13" s="376"/>
      <c r="F13" s="377"/>
      <c r="G13" s="377">
        <v>301.10000000000002</v>
      </c>
      <c r="H13" s="377"/>
      <c r="I13" s="377"/>
      <c r="J13" s="514"/>
      <c r="K13" s="525">
        <f t="shared" si="3"/>
        <v>0</v>
      </c>
      <c r="L13" s="525">
        <f t="shared" si="4"/>
        <v>0</v>
      </c>
    </row>
    <row r="14" spans="1:12" ht="14.25" customHeight="1">
      <c r="A14" s="380"/>
      <c r="B14" s="380"/>
      <c r="C14" s="516" t="s">
        <v>538</v>
      </c>
      <c r="D14" s="377"/>
      <c r="E14" s="376"/>
      <c r="F14" s="377"/>
      <c r="G14" s="377">
        <v>0.5</v>
      </c>
      <c r="H14" s="377"/>
      <c r="I14" s="377"/>
      <c r="J14" s="514"/>
      <c r="K14" s="525">
        <f t="shared" si="3"/>
        <v>0</v>
      </c>
      <c r="L14" s="525">
        <f t="shared" si="4"/>
        <v>0</v>
      </c>
    </row>
    <row r="15" spans="1:12" ht="14.25" customHeight="1">
      <c r="A15" s="380"/>
      <c r="B15" s="380"/>
      <c r="C15" s="516" t="s">
        <v>815</v>
      </c>
      <c r="D15" s="377"/>
      <c r="E15" s="376"/>
      <c r="F15" s="377"/>
      <c r="G15" s="377"/>
      <c r="H15" s="377"/>
      <c r="I15" s="377">
        <v>0.73399999999999999</v>
      </c>
      <c r="J15" s="514">
        <f t="shared" si="2"/>
        <v>0</v>
      </c>
      <c r="K15" s="525">
        <v>0</v>
      </c>
      <c r="L15" s="525">
        <f t="shared" ref="L15:L74" si="5">I15-H15</f>
        <v>0.73399999999999999</v>
      </c>
    </row>
    <row r="16" spans="1:12" ht="14.25" hidden="1" customHeight="1">
      <c r="A16" s="380"/>
      <c r="B16" s="380"/>
      <c r="C16" s="516" t="s">
        <v>537</v>
      </c>
      <c r="D16" s="377"/>
      <c r="E16" s="376"/>
      <c r="F16" s="377"/>
      <c r="G16" s="377"/>
      <c r="H16" s="377"/>
      <c r="I16" s="377"/>
      <c r="J16" s="514">
        <f t="shared" si="2"/>
        <v>0</v>
      </c>
      <c r="K16" s="515" t="e">
        <f t="shared" si="3"/>
        <v>#DIV/0!</v>
      </c>
      <c r="L16" s="515">
        <f t="shared" si="5"/>
        <v>0</v>
      </c>
    </row>
    <row r="17" spans="1:17" ht="14.25" hidden="1" customHeight="1">
      <c r="A17" s="380"/>
      <c r="B17" s="380"/>
      <c r="C17" s="517" t="s">
        <v>800</v>
      </c>
      <c r="D17" s="377"/>
      <c r="E17" s="376"/>
      <c r="F17" s="377"/>
      <c r="G17" s="377"/>
      <c r="H17" s="377"/>
      <c r="I17" s="377"/>
      <c r="J17" s="514">
        <f t="shared" si="2"/>
        <v>0</v>
      </c>
      <c r="K17" s="515" t="e">
        <f t="shared" si="3"/>
        <v>#DIV/0!</v>
      </c>
      <c r="L17" s="515">
        <f t="shared" si="5"/>
        <v>0</v>
      </c>
    </row>
    <row r="18" spans="1:17" ht="14.25" hidden="1" customHeight="1">
      <c r="A18" s="380"/>
      <c r="B18" s="380"/>
      <c r="C18" s="516" t="s">
        <v>311</v>
      </c>
      <c r="D18" s="377"/>
      <c r="E18" s="376"/>
      <c r="F18" s="377"/>
      <c r="G18" s="377"/>
      <c r="H18" s="377"/>
      <c r="I18" s="377"/>
      <c r="J18" s="514">
        <f t="shared" si="2"/>
        <v>0</v>
      </c>
      <c r="K18" s="515" t="e">
        <f t="shared" si="3"/>
        <v>#DIV/0!</v>
      </c>
      <c r="L18" s="515">
        <f t="shared" si="5"/>
        <v>0</v>
      </c>
    </row>
    <row r="19" spans="1:17" ht="14.25" hidden="1" customHeight="1">
      <c r="A19" s="380"/>
      <c r="B19" s="380"/>
      <c r="C19" s="516" t="s">
        <v>312</v>
      </c>
      <c r="D19" s="377"/>
      <c r="E19" s="376"/>
      <c r="F19" s="377"/>
      <c r="G19" s="377"/>
      <c r="H19" s="377"/>
      <c r="I19" s="377"/>
      <c r="J19" s="514">
        <f t="shared" si="2"/>
        <v>0</v>
      </c>
      <c r="K19" s="515" t="e">
        <f t="shared" si="3"/>
        <v>#DIV/0!</v>
      </c>
      <c r="L19" s="515">
        <f t="shared" si="5"/>
        <v>0</v>
      </c>
    </row>
    <row r="20" spans="1:17" ht="14.25" hidden="1" customHeight="1">
      <c r="A20" s="380"/>
      <c r="B20" s="380"/>
      <c r="C20" s="516" t="s">
        <v>313</v>
      </c>
      <c r="D20" s="377"/>
      <c r="E20" s="376"/>
      <c r="F20" s="377"/>
      <c r="G20" s="377"/>
      <c r="H20" s="377"/>
      <c r="I20" s="377"/>
      <c r="J20" s="514">
        <f t="shared" si="2"/>
        <v>0</v>
      </c>
      <c r="K20" s="515" t="e">
        <f t="shared" si="3"/>
        <v>#DIV/0!</v>
      </c>
      <c r="L20" s="515">
        <f t="shared" si="5"/>
        <v>0</v>
      </c>
    </row>
    <row r="21" spans="1:17" ht="14.25" hidden="1" customHeight="1">
      <c r="A21" s="380"/>
      <c r="B21" s="380"/>
      <c r="C21" s="516" t="s">
        <v>538</v>
      </c>
      <c r="D21" s="384"/>
      <c r="E21" s="376"/>
      <c r="F21" s="384"/>
      <c r="G21" s="384"/>
      <c r="H21" s="384"/>
      <c r="I21" s="384"/>
      <c r="J21" s="514">
        <f t="shared" si="2"/>
        <v>0</v>
      </c>
      <c r="K21" s="515" t="e">
        <f t="shared" si="3"/>
        <v>#DIV/0!</v>
      </c>
      <c r="L21" s="515">
        <f t="shared" si="5"/>
        <v>0</v>
      </c>
    </row>
    <row r="22" spans="1:17" ht="14.25" customHeight="1">
      <c r="A22" s="511" t="s">
        <v>314</v>
      </c>
      <c r="B22" s="511"/>
      <c r="C22" s="512" t="s">
        <v>315</v>
      </c>
      <c r="D22" s="518">
        <f t="shared" ref="D22:I22" si="6">SUM(D23:D39)</f>
        <v>0.6</v>
      </c>
      <c r="E22" s="518">
        <f t="shared" si="6"/>
        <v>10.52</v>
      </c>
      <c r="F22" s="518">
        <f t="shared" si="6"/>
        <v>0</v>
      </c>
      <c r="G22" s="518">
        <f t="shared" si="6"/>
        <v>1.2000000000000002</v>
      </c>
      <c r="H22" s="518">
        <f t="shared" si="6"/>
        <v>7.4</v>
      </c>
      <c r="I22" s="518">
        <f t="shared" si="6"/>
        <v>0</v>
      </c>
      <c r="J22" s="514">
        <f t="shared" si="2"/>
        <v>7.4</v>
      </c>
      <c r="K22" s="515">
        <f t="shared" si="3"/>
        <v>0</v>
      </c>
      <c r="L22" s="515">
        <f t="shared" si="5"/>
        <v>-7.4</v>
      </c>
    </row>
    <row r="23" spans="1:17" ht="14.25" customHeight="1">
      <c r="A23" s="380"/>
      <c r="B23" s="529" t="s">
        <v>831</v>
      </c>
      <c r="C23" s="380" t="s">
        <v>316</v>
      </c>
      <c r="D23" s="377"/>
      <c r="E23" s="377"/>
      <c r="F23" s="377"/>
      <c r="G23" s="377">
        <v>0.4</v>
      </c>
      <c r="H23" s="377"/>
      <c r="I23" s="377"/>
      <c r="J23" s="514">
        <f t="shared" si="2"/>
        <v>0</v>
      </c>
      <c r="K23" s="525">
        <v>0</v>
      </c>
      <c r="L23" s="525">
        <f t="shared" si="5"/>
        <v>0</v>
      </c>
      <c r="Q23" s="529" t="s">
        <v>817</v>
      </c>
    </row>
    <row r="24" spans="1:17" ht="14.25" customHeight="1">
      <c r="A24" s="380"/>
      <c r="B24" s="380"/>
      <c r="C24" s="516" t="s">
        <v>317</v>
      </c>
      <c r="D24" s="377"/>
      <c r="E24" s="377"/>
      <c r="F24" s="377"/>
      <c r="G24" s="377"/>
      <c r="H24" s="377"/>
      <c r="I24" s="377"/>
      <c r="J24" s="514">
        <f t="shared" si="2"/>
        <v>0</v>
      </c>
      <c r="K24" s="525">
        <v>0</v>
      </c>
      <c r="L24" s="525">
        <f t="shared" si="5"/>
        <v>0</v>
      </c>
    </row>
    <row r="25" spans="1:17" ht="14.25" customHeight="1">
      <c r="A25" s="380"/>
      <c r="B25" s="380"/>
      <c r="C25" s="516" t="s">
        <v>582</v>
      </c>
      <c r="D25" s="377"/>
      <c r="E25" s="377"/>
      <c r="F25" s="377"/>
      <c r="G25" s="377"/>
      <c r="H25" s="377"/>
      <c r="I25" s="377"/>
      <c r="J25" s="514">
        <f t="shared" si="2"/>
        <v>0</v>
      </c>
      <c r="K25" s="525">
        <v>0</v>
      </c>
      <c r="L25" s="525">
        <f t="shared" si="5"/>
        <v>0</v>
      </c>
    </row>
    <row r="26" spans="1:17" ht="14.25" hidden="1" customHeight="1">
      <c r="A26" s="380"/>
      <c r="B26" s="380"/>
      <c r="C26" s="519" t="s">
        <v>318</v>
      </c>
      <c r="D26" s="377">
        <v>0</v>
      </c>
      <c r="E26" s="377">
        <v>10.52</v>
      </c>
      <c r="F26" s="377"/>
      <c r="G26" s="377"/>
      <c r="H26" s="377"/>
      <c r="I26" s="377"/>
      <c r="J26" s="514">
        <f t="shared" si="2"/>
        <v>0</v>
      </c>
      <c r="K26" s="525" t="e">
        <f t="shared" si="3"/>
        <v>#DIV/0!</v>
      </c>
      <c r="L26" s="525">
        <f t="shared" si="5"/>
        <v>0</v>
      </c>
    </row>
    <row r="27" spans="1:17" ht="14.25" customHeight="1">
      <c r="A27" s="380"/>
      <c r="B27" s="380"/>
      <c r="C27" s="380" t="s">
        <v>583</v>
      </c>
      <c r="D27" s="377"/>
      <c r="E27" s="377"/>
      <c r="F27" s="377"/>
      <c r="G27" s="377"/>
      <c r="H27" s="377"/>
      <c r="I27" s="377"/>
      <c r="J27" s="514">
        <f t="shared" si="2"/>
        <v>0</v>
      </c>
      <c r="K27" s="525">
        <v>0</v>
      </c>
      <c r="L27" s="525">
        <f t="shared" si="5"/>
        <v>0</v>
      </c>
    </row>
    <row r="28" spans="1:17" ht="14.25" customHeight="1">
      <c r="A28" s="380"/>
      <c r="B28" s="529" t="s">
        <v>834</v>
      </c>
      <c r="C28" s="516" t="s">
        <v>539</v>
      </c>
      <c r="D28" s="377"/>
      <c r="E28" s="377"/>
      <c r="F28" s="377"/>
      <c r="G28" s="377"/>
      <c r="H28" s="377"/>
      <c r="I28" s="377"/>
      <c r="J28" s="514">
        <f t="shared" si="2"/>
        <v>0</v>
      </c>
      <c r="K28" s="525">
        <v>0</v>
      </c>
      <c r="L28" s="525">
        <f t="shared" si="5"/>
        <v>0</v>
      </c>
    </row>
    <row r="29" spans="1:17" ht="14.25" customHeight="1">
      <c r="A29" s="380"/>
      <c r="B29" s="380"/>
      <c r="C29" s="380" t="s">
        <v>616</v>
      </c>
      <c r="D29" s="377"/>
      <c r="E29" s="377"/>
      <c r="F29" s="377"/>
      <c r="G29" s="377"/>
      <c r="H29" s="377"/>
      <c r="I29" s="377"/>
      <c r="J29" s="514">
        <f t="shared" si="2"/>
        <v>0</v>
      </c>
      <c r="K29" s="525">
        <v>0</v>
      </c>
      <c r="L29" s="525">
        <f t="shared" si="5"/>
        <v>0</v>
      </c>
    </row>
    <row r="30" spans="1:17" ht="14.25" customHeight="1">
      <c r="A30" s="380"/>
      <c r="B30" s="380"/>
      <c r="C30" s="516" t="s">
        <v>540</v>
      </c>
      <c r="D30" s="377"/>
      <c r="E30" s="377"/>
      <c r="F30" s="377"/>
      <c r="G30" s="377">
        <v>0.8</v>
      </c>
      <c r="H30" s="377">
        <v>7.4</v>
      </c>
      <c r="I30" s="377"/>
      <c r="J30" s="514">
        <f t="shared" si="2"/>
        <v>7.4</v>
      </c>
      <c r="K30" s="525">
        <v>0</v>
      </c>
      <c r="L30" s="525">
        <f t="shared" si="5"/>
        <v>-7.4</v>
      </c>
    </row>
    <row r="31" spans="1:17" ht="14.25" hidden="1" customHeight="1">
      <c r="A31" s="380"/>
      <c r="B31" s="380"/>
      <c r="C31" s="516" t="s">
        <v>584</v>
      </c>
      <c r="D31" s="377"/>
      <c r="E31" s="377"/>
      <c r="F31" s="377"/>
      <c r="G31" s="377"/>
      <c r="H31" s="377"/>
      <c r="I31" s="377"/>
      <c r="J31" s="514">
        <f t="shared" si="2"/>
        <v>0</v>
      </c>
      <c r="K31" s="525" t="e">
        <f t="shared" si="3"/>
        <v>#DIV/0!</v>
      </c>
      <c r="L31" s="525">
        <f t="shared" si="5"/>
        <v>0</v>
      </c>
    </row>
    <row r="32" spans="1:17" ht="14.25" hidden="1" customHeight="1">
      <c r="A32" s="380"/>
      <c r="B32" s="380"/>
      <c r="C32" s="516" t="s">
        <v>319</v>
      </c>
      <c r="D32" s="377"/>
      <c r="E32" s="377"/>
      <c r="F32" s="377"/>
      <c r="G32" s="377"/>
      <c r="H32" s="377"/>
      <c r="I32" s="377"/>
      <c r="J32" s="514">
        <f t="shared" si="2"/>
        <v>0</v>
      </c>
      <c r="K32" s="525" t="e">
        <f t="shared" si="3"/>
        <v>#DIV/0!</v>
      </c>
      <c r="L32" s="525">
        <f t="shared" si="5"/>
        <v>0</v>
      </c>
    </row>
    <row r="33" spans="1:12" ht="14.25" hidden="1" customHeight="1">
      <c r="A33" s="380"/>
      <c r="B33" s="380"/>
      <c r="C33" s="516" t="s">
        <v>320</v>
      </c>
      <c r="D33" s="377"/>
      <c r="E33" s="377"/>
      <c r="F33" s="377"/>
      <c r="G33" s="377"/>
      <c r="H33" s="377"/>
      <c r="I33" s="377"/>
      <c r="J33" s="514">
        <f t="shared" si="2"/>
        <v>0</v>
      </c>
      <c r="K33" s="525" t="e">
        <f t="shared" si="3"/>
        <v>#DIV/0!</v>
      </c>
      <c r="L33" s="525">
        <f t="shared" si="5"/>
        <v>0</v>
      </c>
    </row>
    <row r="34" spans="1:12" ht="14.25" hidden="1" customHeight="1">
      <c r="A34" s="380"/>
      <c r="B34" s="380"/>
      <c r="C34" s="516" t="s">
        <v>321</v>
      </c>
      <c r="D34" s="377"/>
      <c r="E34" s="377"/>
      <c r="F34" s="377"/>
      <c r="G34" s="377"/>
      <c r="H34" s="377"/>
      <c r="I34" s="377"/>
      <c r="J34" s="514">
        <f t="shared" si="2"/>
        <v>0</v>
      </c>
      <c r="K34" s="525" t="e">
        <f t="shared" si="3"/>
        <v>#DIV/0!</v>
      </c>
      <c r="L34" s="525">
        <f t="shared" si="5"/>
        <v>0</v>
      </c>
    </row>
    <row r="35" spans="1:12" ht="14.25" hidden="1" customHeight="1">
      <c r="A35" s="380"/>
      <c r="B35" s="380"/>
      <c r="C35" s="516" t="s">
        <v>322</v>
      </c>
      <c r="D35" s="377"/>
      <c r="E35" s="377"/>
      <c r="F35" s="377"/>
      <c r="G35" s="377"/>
      <c r="H35" s="377"/>
      <c r="I35" s="377"/>
      <c r="J35" s="514">
        <f t="shared" si="2"/>
        <v>0</v>
      </c>
      <c r="K35" s="525" t="e">
        <f t="shared" si="3"/>
        <v>#DIV/0!</v>
      </c>
      <c r="L35" s="525">
        <f t="shared" si="5"/>
        <v>0</v>
      </c>
    </row>
    <row r="36" spans="1:12" ht="14.25" hidden="1" customHeight="1">
      <c r="A36" s="380"/>
      <c r="B36" s="380"/>
      <c r="C36" s="516" t="s">
        <v>585</v>
      </c>
      <c r="D36" s="377"/>
      <c r="E36" s="377"/>
      <c r="F36" s="377"/>
      <c r="G36" s="377"/>
      <c r="H36" s="377"/>
      <c r="I36" s="377"/>
      <c r="J36" s="514">
        <f t="shared" si="2"/>
        <v>0</v>
      </c>
      <c r="K36" s="525" t="e">
        <f t="shared" si="3"/>
        <v>#DIV/0!</v>
      </c>
      <c r="L36" s="525">
        <f t="shared" si="5"/>
        <v>0</v>
      </c>
    </row>
    <row r="37" spans="1:12" ht="14.25" hidden="1" customHeight="1">
      <c r="A37" s="380"/>
      <c r="B37" s="380"/>
      <c r="C37" s="380" t="s">
        <v>541</v>
      </c>
      <c r="D37" s="377"/>
      <c r="E37" s="377"/>
      <c r="F37" s="377"/>
      <c r="G37" s="377"/>
      <c r="H37" s="377"/>
      <c r="I37" s="377"/>
      <c r="J37" s="514">
        <f t="shared" si="2"/>
        <v>0</v>
      </c>
      <c r="K37" s="515" t="e">
        <f t="shared" si="3"/>
        <v>#DIV/0!</v>
      </c>
      <c r="L37" s="515">
        <f t="shared" si="5"/>
        <v>0</v>
      </c>
    </row>
    <row r="38" spans="1:12" ht="14.25" hidden="1" customHeight="1">
      <c r="A38" s="380"/>
      <c r="B38" s="380"/>
      <c r="C38" s="380" t="s">
        <v>323</v>
      </c>
      <c r="D38" s="377"/>
      <c r="E38" s="377"/>
      <c r="F38" s="377"/>
      <c r="G38" s="377"/>
      <c r="H38" s="377"/>
      <c r="I38" s="377"/>
      <c r="J38" s="514">
        <f t="shared" si="2"/>
        <v>0</v>
      </c>
      <c r="K38" s="515" t="e">
        <f t="shared" si="3"/>
        <v>#DIV/0!</v>
      </c>
      <c r="L38" s="515">
        <f t="shared" si="5"/>
        <v>0</v>
      </c>
    </row>
    <row r="39" spans="1:12" ht="14.25" hidden="1" customHeight="1">
      <c r="A39" s="380"/>
      <c r="B39" s="380"/>
      <c r="C39" s="380" t="s">
        <v>542</v>
      </c>
      <c r="D39" s="384">
        <v>0.6</v>
      </c>
      <c r="E39" s="377"/>
      <c r="F39" s="384"/>
      <c r="G39" s="384"/>
      <c r="H39" s="384"/>
      <c r="I39" s="384"/>
      <c r="J39" s="514">
        <f t="shared" si="2"/>
        <v>0</v>
      </c>
      <c r="K39" s="515" t="e">
        <f t="shared" si="3"/>
        <v>#DIV/0!</v>
      </c>
      <c r="L39" s="515">
        <f t="shared" si="5"/>
        <v>0</v>
      </c>
    </row>
    <row r="40" spans="1:12" ht="14.25" customHeight="1">
      <c r="A40" s="511" t="s">
        <v>324</v>
      </c>
      <c r="B40" s="511"/>
      <c r="C40" s="512" t="s">
        <v>325</v>
      </c>
      <c r="D40" s="518">
        <f>SUM(D42:D78)</f>
        <v>34.4</v>
      </c>
      <c r="E40" s="518">
        <f>SUM(E42:E78)</f>
        <v>79.360000000000014</v>
      </c>
      <c r="F40" s="518">
        <f t="shared" ref="F40:I40" si="7">SUM(F42:F78)</f>
        <v>147.92000000000002</v>
      </c>
      <c r="G40" s="518">
        <f>SUM(G42:G78)+0.18</f>
        <v>205.38</v>
      </c>
      <c r="H40" s="518">
        <f t="shared" si="7"/>
        <v>468.5</v>
      </c>
      <c r="I40" s="518">
        <f t="shared" si="7"/>
        <v>65.329000000000008</v>
      </c>
      <c r="J40" s="514">
        <f t="shared" si="2"/>
        <v>320.58</v>
      </c>
      <c r="K40" s="515">
        <f t="shared" si="3"/>
        <v>0.31808842146265465</v>
      </c>
      <c r="L40" s="515">
        <f t="shared" si="5"/>
        <v>-403.17099999999999</v>
      </c>
    </row>
    <row r="41" spans="1:12" ht="14.25" customHeight="1">
      <c r="A41" s="511"/>
      <c r="B41" s="511"/>
      <c r="C41" s="512" t="s">
        <v>326</v>
      </c>
      <c r="D41" s="520">
        <f t="shared" ref="D41:I41" si="8">SUM(D42:D64)</f>
        <v>0</v>
      </c>
      <c r="E41" s="518">
        <f t="shared" si="8"/>
        <v>3.09</v>
      </c>
      <c r="F41" s="518">
        <f t="shared" si="8"/>
        <v>7.98</v>
      </c>
      <c r="G41" s="518">
        <f t="shared" si="8"/>
        <v>0.3</v>
      </c>
      <c r="H41" s="518">
        <f t="shared" si="8"/>
        <v>0</v>
      </c>
      <c r="I41" s="518">
        <f t="shared" si="8"/>
        <v>0</v>
      </c>
      <c r="J41" s="514">
        <f t="shared" si="2"/>
        <v>-7.98</v>
      </c>
      <c r="K41" s="515">
        <f t="shared" si="3"/>
        <v>0</v>
      </c>
      <c r="L41" s="515">
        <f t="shared" si="5"/>
        <v>0</v>
      </c>
    </row>
    <row r="42" spans="1:12" ht="14.25" customHeight="1">
      <c r="A42" s="380"/>
      <c r="B42" s="380"/>
      <c r="C42" s="516" t="s">
        <v>327</v>
      </c>
      <c r="D42" s="521"/>
      <c r="E42" s="377">
        <v>1.46</v>
      </c>
      <c r="F42" s="521">
        <v>0</v>
      </c>
      <c r="G42" s="521"/>
      <c r="H42" s="521">
        <v>0</v>
      </c>
      <c r="I42" s="521"/>
      <c r="J42" s="514">
        <f t="shared" si="2"/>
        <v>0</v>
      </c>
      <c r="K42" s="525">
        <v>0</v>
      </c>
      <c r="L42" s="525">
        <f t="shared" si="5"/>
        <v>0</v>
      </c>
    </row>
    <row r="43" spans="1:12" ht="14.25" hidden="1" customHeight="1">
      <c r="A43" s="380"/>
      <c r="B43" s="380"/>
      <c r="C43" s="516" t="s">
        <v>328</v>
      </c>
      <c r="D43" s="521"/>
      <c r="E43" s="377"/>
      <c r="F43" s="521"/>
      <c r="G43" s="521"/>
      <c r="H43" s="521"/>
      <c r="I43" s="521"/>
      <c r="J43" s="514">
        <f t="shared" si="2"/>
        <v>0</v>
      </c>
      <c r="K43" s="525" t="e">
        <f t="shared" si="3"/>
        <v>#DIV/0!</v>
      </c>
      <c r="L43" s="525">
        <f t="shared" si="5"/>
        <v>0</v>
      </c>
    </row>
    <row r="44" spans="1:12" ht="14.25" hidden="1" customHeight="1">
      <c r="A44" s="380"/>
      <c r="B44" s="380"/>
      <c r="C44" s="516" t="s">
        <v>329</v>
      </c>
      <c r="D44" s="521"/>
      <c r="E44" s="377"/>
      <c r="F44" s="521"/>
      <c r="G44" s="521"/>
      <c r="H44" s="521"/>
      <c r="I44" s="521"/>
      <c r="J44" s="514">
        <f t="shared" si="2"/>
        <v>0</v>
      </c>
      <c r="K44" s="525" t="e">
        <f t="shared" si="3"/>
        <v>#DIV/0!</v>
      </c>
      <c r="L44" s="525">
        <f t="shared" si="5"/>
        <v>0</v>
      </c>
    </row>
    <row r="45" spans="1:12" ht="14.25" hidden="1" customHeight="1">
      <c r="A45" s="380"/>
      <c r="B45" s="380"/>
      <c r="C45" s="380" t="s">
        <v>330</v>
      </c>
      <c r="D45" s="521"/>
      <c r="E45" s="377"/>
      <c r="F45" s="521"/>
      <c r="G45" s="521"/>
      <c r="H45" s="521"/>
      <c r="I45" s="521"/>
      <c r="J45" s="514">
        <f t="shared" si="2"/>
        <v>0</v>
      </c>
      <c r="K45" s="525" t="e">
        <f t="shared" si="3"/>
        <v>#DIV/0!</v>
      </c>
      <c r="L45" s="525">
        <f t="shared" si="5"/>
        <v>0</v>
      </c>
    </row>
    <row r="46" spans="1:12" ht="14.25" hidden="1" customHeight="1">
      <c r="A46" s="380"/>
      <c r="B46" s="380"/>
      <c r="C46" s="380" t="s">
        <v>331</v>
      </c>
      <c r="D46" s="521"/>
      <c r="E46" s="377"/>
      <c r="F46" s="521"/>
      <c r="G46" s="521"/>
      <c r="H46" s="521"/>
      <c r="I46" s="521"/>
      <c r="J46" s="514">
        <f t="shared" si="2"/>
        <v>0</v>
      </c>
      <c r="K46" s="525" t="e">
        <f t="shared" si="3"/>
        <v>#DIV/0!</v>
      </c>
      <c r="L46" s="525">
        <f t="shared" si="5"/>
        <v>0</v>
      </c>
    </row>
    <row r="47" spans="1:12" ht="14.25" hidden="1" customHeight="1">
      <c r="A47" s="380"/>
      <c r="B47" s="380"/>
      <c r="C47" s="380" t="s">
        <v>332</v>
      </c>
      <c r="D47" s="521"/>
      <c r="E47" s="377"/>
      <c r="F47" s="521"/>
      <c r="G47" s="521"/>
      <c r="H47" s="521"/>
      <c r="I47" s="521"/>
      <c r="J47" s="514">
        <f t="shared" si="2"/>
        <v>0</v>
      </c>
      <c r="K47" s="525" t="e">
        <f t="shared" si="3"/>
        <v>#DIV/0!</v>
      </c>
      <c r="L47" s="525">
        <f t="shared" si="5"/>
        <v>0</v>
      </c>
    </row>
    <row r="48" spans="1:12" ht="14.25" customHeight="1">
      <c r="A48" s="380"/>
      <c r="B48" s="380"/>
      <c r="C48" s="380" t="s">
        <v>333</v>
      </c>
      <c r="D48" s="521"/>
      <c r="E48" s="377"/>
      <c r="F48" s="521">
        <v>5.7</v>
      </c>
      <c r="G48" s="521"/>
      <c r="H48" s="521">
        <v>0</v>
      </c>
      <c r="I48" s="521"/>
      <c r="J48" s="514">
        <f t="shared" si="2"/>
        <v>-5.7</v>
      </c>
      <c r="K48" s="525">
        <v>0</v>
      </c>
      <c r="L48" s="525">
        <f t="shared" si="5"/>
        <v>0</v>
      </c>
    </row>
    <row r="49" spans="1:12" ht="14.25" customHeight="1">
      <c r="A49" s="380"/>
      <c r="B49" s="529" t="s">
        <v>821</v>
      </c>
      <c r="C49" s="380" t="s">
        <v>334</v>
      </c>
      <c r="D49" s="521"/>
      <c r="E49" s="377"/>
      <c r="F49" s="521">
        <v>0</v>
      </c>
      <c r="G49" s="521"/>
      <c r="H49" s="521">
        <v>0</v>
      </c>
      <c r="I49" s="521"/>
      <c r="J49" s="514">
        <f t="shared" si="2"/>
        <v>0</v>
      </c>
      <c r="K49" s="525">
        <v>0</v>
      </c>
      <c r="L49" s="525">
        <f t="shared" si="5"/>
        <v>0</v>
      </c>
    </row>
    <row r="50" spans="1:12" ht="14.25" hidden="1" customHeight="1">
      <c r="A50" s="380"/>
      <c r="B50" s="380"/>
      <c r="C50" s="380" t="s">
        <v>335</v>
      </c>
      <c r="D50" s="521"/>
      <c r="E50" s="377"/>
      <c r="F50" s="521"/>
      <c r="G50" s="521"/>
      <c r="H50" s="521"/>
      <c r="I50" s="521"/>
      <c r="J50" s="514">
        <f t="shared" si="2"/>
        <v>0</v>
      </c>
      <c r="K50" s="525" t="e">
        <f t="shared" si="3"/>
        <v>#DIV/0!</v>
      </c>
      <c r="L50" s="525">
        <f t="shared" si="5"/>
        <v>0</v>
      </c>
    </row>
    <row r="51" spans="1:12" ht="14.25" customHeight="1">
      <c r="A51" s="380"/>
      <c r="B51" s="380"/>
      <c r="C51" s="380" t="s">
        <v>336</v>
      </c>
      <c r="D51" s="521"/>
      <c r="E51" s="377"/>
      <c r="F51" s="521">
        <v>0.3</v>
      </c>
      <c r="G51" s="521"/>
      <c r="H51" s="521">
        <v>0</v>
      </c>
      <c r="I51" s="521"/>
      <c r="J51" s="514">
        <f t="shared" si="2"/>
        <v>-0.3</v>
      </c>
      <c r="K51" s="525">
        <v>0</v>
      </c>
      <c r="L51" s="525">
        <f t="shared" si="5"/>
        <v>0</v>
      </c>
    </row>
    <row r="52" spans="1:12" ht="14.25" hidden="1" customHeight="1">
      <c r="A52" s="380"/>
      <c r="B52" s="380"/>
      <c r="C52" s="380" t="s">
        <v>337</v>
      </c>
      <c r="D52" s="521"/>
      <c r="E52" s="377"/>
      <c r="F52" s="521"/>
      <c r="G52" s="521"/>
      <c r="H52" s="521"/>
      <c r="I52" s="521"/>
      <c r="J52" s="514">
        <f t="shared" si="2"/>
        <v>0</v>
      </c>
      <c r="K52" s="525" t="e">
        <f t="shared" si="3"/>
        <v>#DIV/0!</v>
      </c>
      <c r="L52" s="525">
        <f t="shared" si="5"/>
        <v>0</v>
      </c>
    </row>
    <row r="53" spans="1:12" ht="14.25" hidden="1" customHeight="1">
      <c r="A53" s="380"/>
      <c r="B53" s="380"/>
      <c r="C53" s="522" t="s">
        <v>338</v>
      </c>
      <c r="D53" s="521"/>
      <c r="E53" s="377"/>
      <c r="F53" s="521"/>
      <c r="G53" s="521"/>
      <c r="H53" s="521"/>
      <c r="I53" s="521"/>
      <c r="J53" s="514">
        <f t="shared" si="2"/>
        <v>0</v>
      </c>
      <c r="K53" s="525" t="e">
        <f t="shared" si="3"/>
        <v>#DIV/0!</v>
      </c>
      <c r="L53" s="525">
        <f t="shared" si="5"/>
        <v>0</v>
      </c>
    </row>
    <row r="54" spans="1:12" ht="14.25" hidden="1" customHeight="1">
      <c r="A54" s="380"/>
      <c r="B54" s="380"/>
      <c r="C54" s="380" t="s">
        <v>543</v>
      </c>
      <c r="D54" s="384"/>
      <c r="E54" s="377"/>
      <c r="F54" s="384"/>
      <c r="G54" s="384"/>
      <c r="H54" s="384"/>
      <c r="I54" s="384"/>
      <c r="J54" s="514">
        <f t="shared" si="2"/>
        <v>0</v>
      </c>
      <c r="K54" s="525" t="e">
        <f t="shared" si="3"/>
        <v>#DIV/0!</v>
      </c>
      <c r="L54" s="525">
        <f t="shared" si="5"/>
        <v>0</v>
      </c>
    </row>
    <row r="55" spans="1:12" ht="14.25" customHeight="1">
      <c r="A55" s="380"/>
      <c r="B55" s="380"/>
      <c r="C55" s="380" t="s">
        <v>339</v>
      </c>
      <c r="D55" s="521"/>
      <c r="E55" s="377"/>
      <c r="F55" s="521">
        <v>1.98</v>
      </c>
      <c r="G55" s="521">
        <v>0.3</v>
      </c>
      <c r="H55" s="521">
        <v>0</v>
      </c>
      <c r="I55" s="521"/>
      <c r="J55" s="514">
        <f t="shared" si="2"/>
        <v>-1.98</v>
      </c>
      <c r="K55" s="525">
        <v>0</v>
      </c>
      <c r="L55" s="525">
        <f t="shared" si="5"/>
        <v>0</v>
      </c>
    </row>
    <row r="56" spans="1:12" ht="14.25" customHeight="1">
      <c r="A56" s="380"/>
      <c r="B56" s="380"/>
      <c r="C56" s="380" t="s">
        <v>696</v>
      </c>
      <c r="D56" s="521"/>
      <c r="E56" s="377"/>
      <c r="F56" s="521">
        <v>0</v>
      </c>
      <c r="G56" s="521"/>
      <c r="H56" s="521">
        <v>0</v>
      </c>
      <c r="I56" s="521"/>
      <c r="J56" s="514"/>
      <c r="K56" s="525">
        <v>0</v>
      </c>
      <c r="L56" s="525">
        <f t="shared" si="5"/>
        <v>0</v>
      </c>
    </row>
    <row r="57" spans="1:12" ht="14.25" hidden="1" customHeight="1">
      <c r="A57" s="380"/>
      <c r="B57" s="380"/>
      <c r="C57" s="380" t="s">
        <v>340</v>
      </c>
      <c r="D57" s="521"/>
      <c r="E57" s="377"/>
      <c r="F57" s="521"/>
      <c r="G57" s="521"/>
      <c r="H57" s="521"/>
      <c r="I57" s="521"/>
      <c r="J57" s="514">
        <f t="shared" si="2"/>
        <v>0</v>
      </c>
      <c r="K57" s="525" t="e">
        <f t="shared" si="3"/>
        <v>#DIV/0!</v>
      </c>
      <c r="L57" s="525">
        <f t="shared" si="5"/>
        <v>0</v>
      </c>
    </row>
    <row r="58" spans="1:12" ht="14.25" hidden="1" customHeight="1">
      <c r="A58" s="380"/>
      <c r="B58" s="380"/>
      <c r="C58" s="380" t="s">
        <v>801</v>
      </c>
      <c r="D58" s="521"/>
      <c r="E58" s="377"/>
      <c r="F58" s="521"/>
      <c r="G58" s="521"/>
      <c r="H58" s="521"/>
      <c r="I58" s="521"/>
      <c r="J58" s="514">
        <f t="shared" si="2"/>
        <v>0</v>
      </c>
      <c r="K58" s="525" t="e">
        <f t="shared" si="3"/>
        <v>#DIV/0!</v>
      </c>
      <c r="L58" s="525">
        <f t="shared" si="5"/>
        <v>0</v>
      </c>
    </row>
    <row r="59" spans="1:12" ht="14.25" hidden="1" customHeight="1">
      <c r="A59" s="380"/>
      <c r="B59" s="380"/>
      <c r="C59" s="380" t="s">
        <v>802</v>
      </c>
      <c r="D59" s="521"/>
      <c r="E59" s="377"/>
      <c r="F59" s="521"/>
      <c r="G59" s="521"/>
      <c r="H59" s="521"/>
      <c r="I59" s="521"/>
      <c r="J59" s="514">
        <f t="shared" si="2"/>
        <v>0</v>
      </c>
      <c r="K59" s="525" t="e">
        <f t="shared" si="3"/>
        <v>#DIV/0!</v>
      </c>
      <c r="L59" s="525">
        <f t="shared" si="5"/>
        <v>0</v>
      </c>
    </row>
    <row r="60" spans="1:12" ht="14.25" hidden="1" customHeight="1">
      <c r="A60" s="380"/>
      <c r="B60" s="380"/>
      <c r="C60" s="522" t="s">
        <v>341</v>
      </c>
      <c r="D60" s="521"/>
      <c r="E60" s="377"/>
      <c r="F60" s="521"/>
      <c r="G60" s="521"/>
      <c r="H60" s="521"/>
      <c r="I60" s="521"/>
      <c r="J60" s="514">
        <f t="shared" si="2"/>
        <v>0</v>
      </c>
      <c r="K60" s="525" t="e">
        <f t="shared" si="3"/>
        <v>#DIV/0!</v>
      </c>
      <c r="L60" s="525">
        <f t="shared" si="5"/>
        <v>0</v>
      </c>
    </row>
    <row r="61" spans="1:12" ht="14.25" hidden="1" customHeight="1">
      <c r="A61" s="380"/>
      <c r="B61" s="380"/>
      <c r="C61" s="380" t="s">
        <v>342</v>
      </c>
      <c r="D61" s="521"/>
      <c r="E61" s="377">
        <v>1.63</v>
      </c>
      <c r="F61" s="521"/>
      <c r="G61" s="521"/>
      <c r="H61" s="521"/>
      <c r="I61" s="521"/>
      <c r="J61" s="514">
        <f t="shared" si="2"/>
        <v>0</v>
      </c>
      <c r="K61" s="525" t="e">
        <f t="shared" si="3"/>
        <v>#DIV/0!</v>
      </c>
      <c r="L61" s="525">
        <f t="shared" si="5"/>
        <v>0</v>
      </c>
    </row>
    <row r="62" spans="1:12" ht="14.25" hidden="1" customHeight="1">
      <c r="A62" s="380"/>
      <c r="B62" s="380"/>
      <c r="C62" s="380" t="s">
        <v>343</v>
      </c>
      <c r="D62" s="521"/>
      <c r="E62" s="377"/>
      <c r="F62" s="521"/>
      <c r="G62" s="521"/>
      <c r="H62" s="521"/>
      <c r="I62" s="521"/>
      <c r="J62" s="514">
        <f t="shared" si="2"/>
        <v>0</v>
      </c>
      <c r="K62" s="525" t="e">
        <f t="shared" si="3"/>
        <v>#DIV/0!</v>
      </c>
      <c r="L62" s="525">
        <f t="shared" si="5"/>
        <v>0</v>
      </c>
    </row>
    <row r="63" spans="1:12" ht="14.25" hidden="1" customHeight="1">
      <c r="A63" s="380"/>
      <c r="B63" s="380"/>
      <c r="C63" s="522" t="s">
        <v>344</v>
      </c>
      <c r="D63" s="521"/>
      <c r="E63" s="377"/>
      <c r="F63" s="521"/>
      <c r="G63" s="521"/>
      <c r="H63" s="521"/>
      <c r="I63" s="521"/>
      <c r="J63" s="514">
        <f t="shared" si="2"/>
        <v>0</v>
      </c>
      <c r="K63" s="525" t="e">
        <f t="shared" si="3"/>
        <v>#DIV/0!</v>
      </c>
      <c r="L63" s="525">
        <f t="shared" si="5"/>
        <v>0</v>
      </c>
    </row>
    <row r="64" spans="1:12" ht="14.25" hidden="1" customHeight="1">
      <c r="A64" s="380"/>
      <c r="B64" s="380"/>
      <c r="C64" s="380" t="s">
        <v>72</v>
      </c>
      <c r="D64" s="521"/>
      <c r="E64" s="377"/>
      <c r="F64" s="521"/>
      <c r="G64" s="521"/>
      <c r="H64" s="521"/>
      <c r="I64" s="521"/>
      <c r="J64" s="514">
        <f t="shared" si="2"/>
        <v>0</v>
      </c>
      <c r="K64" s="525" t="e">
        <f t="shared" si="3"/>
        <v>#DIV/0!</v>
      </c>
      <c r="L64" s="525">
        <f t="shared" si="5"/>
        <v>0</v>
      </c>
    </row>
    <row r="65" spans="1:12" ht="14.25" customHeight="1">
      <c r="A65" s="380"/>
      <c r="B65" s="380"/>
      <c r="C65" s="380" t="s">
        <v>586</v>
      </c>
      <c r="D65" s="377"/>
      <c r="E65" s="377"/>
      <c r="F65" s="377">
        <v>9.43</v>
      </c>
      <c r="G65" s="377">
        <v>9.4</v>
      </c>
      <c r="H65" s="377">
        <v>45.6</v>
      </c>
      <c r="I65" s="377">
        <v>9.4090000000000007</v>
      </c>
      <c r="J65" s="514">
        <f t="shared" si="2"/>
        <v>36.17</v>
      </c>
      <c r="K65" s="525">
        <f t="shared" si="3"/>
        <v>1.0009574468085107</v>
      </c>
      <c r="L65" s="525">
        <f t="shared" si="5"/>
        <v>-36.191000000000003</v>
      </c>
    </row>
    <row r="66" spans="1:12" ht="14.25" customHeight="1">
      <c r="A66" s="380"/>
      <c r="B66" s="380"/>
      <c r="C66" s="380" t="s">
        <v>587</v>
      </c>
      <c r="D66" s="377"/>
      <c r="E66" s="377">
        <v>4.0599999999999996</v>
      </c>
      <c r="F66" s="377">
        <v>0</v>
      </c>
      <c r="G66" s="377">
        <v>24.8</v>
      </c>
      <c r="H66" s="377">
        <v>262.89999999999998</v>
      </c>
      <c r="I66" s="377">
        <v>3.456</v>
      </c>
      <c r="J66" s="514">
        <f t="shared" si="2"/>
        <v>262.89999999999998</v>
      </c>
      <c r="K66" s="525">
        <f t="shared" si="3"/>
        <v>0.13935483870967741</v>
      </c>
      <c r="L66" s="525">
        <f t="shared" si="5"/>
        <v>-259.44399999999996</v>
      </c>
    </row>
    <row r="67" spans="1:12" ht="14.25" customHeight="1">
      <c r="A67" s="380"/>
      <c r="B67" s="380"/>
      <c r="C67" s="380" t="s">
        <v>588</v>
      </c>
      <c r="D67" s="377"/>
      <c r="E67" s="377"/>
      <c r="F67" s="377">
        <v>0</v>
      </c>
      <c r="G67" s="377"/>
      <c r="H67" s="377">
        <v>0</v>
      </c>
      <c r="I67" s="377"/>
      <c r="J67" s="514">
        <f t="shared" si="2"/>
        <v>0</v>
      </c>
      <c r="K67" s="525">
        <v>0</v>
      </c>
      <c r="L67" s="525">
        <f t="shared" si="5"/>
        <v>0</v>
      </c>
    </row>
    <row r="68" spans="1:12" ht="14.25" customHeight="1">
      <c r="A68" s="380"/>
      <c r="B68" s="529" t="s">
        <v>836</v>
      </c>
      <c r="C68" s="380" t="s">
        <v>589</v>
      </c>
      <c r="D68" s="377"/>
      <c r="E68" s="377">
        <v>9.86</v>
      </c>
      <c r="F68" s="377">
        <v>19.3</v>
      </c>
      <c r="G68" s="377">
        <v>32</v>
      </c>
      <c r="H68" s="377">
        <v>40</v>
      </c>
      <c r="I68" s="377"/>
      <c r="J68" s="514">
        <f t="shared" si="2"/>
        <v>20.7</v>
      </c>
      <c r="K68" s="525">
        <f t="shared" si="3"/>
        <v>0</v>
      </c>
      <c r="L68" s="525">
        <f t="shared" si="5"/>
        <v>-40</v>
      </c>
    </row>
    <row r="69" spans="1:12" ht="14.25" customHeight="1">
      <c r="A69" s="380"/>
      <c r="B69" s="380"/>
      <c r="C69" s="380" t="s">
        <v>807</v>
      </c>
      <c r="D69" s="377"/>
      <c r="E69" s="377"/>
      <c r="F69" s="377"/>
      <c r="G69" s="377">
        <v>0.25</v>
      </c>
      <c r="H69" s="377">
        <v>1</v>
      </c>
      <c r="I69" s="377">
        <v>7.0739999999999998</v>
      </c>
      <c r="J69" s="514"/>
      <c r="K69" s="525">
        <v>0</v>
      </c>
      <c r="L69" s="525">
        <f t="shared" si="5"/>
        <v>6.0739999999999998</v>
      </c>
    </row>
    <row r="70" spans="1:12" ht="14.25" customHeight="1">
      <c r="A70" s="380"/>
      <c r="B70" s="529" t="s">
        <v>828</v>
      </c>
      <c r="C70" s="380" t="s">
        <v>546</v>
      </c>
      <c r="D70" s="521"/>
      <c r="E70" s="377"/>
      <c r="F70" s="521">
        <v>23.4</v>
      </c>
      <c r="G70" s="521">
        <v>43.8</v>
      </c>
      <c r="H70" s="521">
        <v>22.8</v>
      </c>
      <c r="I70" s="521">
        <v>31.576000000000001</v>
      </c>
      <c r="J70" s="514">
        <f t="shared" si="2"/>
        <v>-0.59999999999999787</v>
      </c>
      <c r="K70" s="525">
        <f t="shared" si="3"/>
        <v>0.72091324200913243</v>
      </c>
      <c r="L70" s="525">
        <f t="shared" si="5"/>
        <v>8.7759999999999998</v>
      </c>
    </row>
    <row r="71" spans="1:12" ht="14.25" customHeight="1">
      <c r="A71" s="380"/>
      <c r="B71" s="529" t="s">
        <v>822</v>
      </c>
      <c r="C71" s="516" t="s">
        <v>590</v>
      </c>
      <c r="D71" s="377"/>
      <c r="E71" s="377">
        <v>9.86</v>
      </c>
      <c r="F71" s="377">
        <v>5.73</v>
      </c>
      <c r="G71" s="377">
        <v>5.74</v>
      </c>
      <c r="H71" s="377">
        <v>42.9</v>
      </c>
      <c r="I71" s="377">
        <v>5.7290000000000001</v>
      </c>
      <c r="J71" s="514">
        <f t="shared" si="2"/>
        <v>37.17</v>
      </c>
      <c r="K71" s="525">
        <f t="shared" si="3"/>
        <v>0.99808362369337977</v>
      </c>
      <c r="L71" s="525">
        <f t="shared" si="5"/>
        <v>-37.170999999999999</v>
      </c>
    </row>
    <row r="72" spans="1:12" ht="14.25" customHeight="1">
      <c r="A72" s="380"/>
      <c r="B72" s="529" t="s">
        <v>823</v>
      </c>
      <c r="C72" s="516" t="s">
        <v>345</v>
      </c>
      <c r="D72" s="377">
        <v>3.7</v>
      </c>
      <c r="E72" s="377">
        <v>7.6</v>
      </c>
      <c r="F72" s="377">
        <v>30.93</v>
      </c>
      <c r="G72" s="377">
        <v>33.700000000000003</v>
      </c>
      <c r="H72" s="377">
        <v>14</v>
      </c>
      <c r="I72" s="377"/>
      <c r="J72" s="514">
        <f t="shared" si="2"/>
        <v>-16.93</v>
      </c>
      <c r="K72" s="525">
        <f t="shared" si="3"/>
        <v>0</v>
      </c>
      <c r="L72" s="525">
        <f t="shared" si="5"/>
        <v>-14</v>
      </c>
    </row>
    <row r="73" spans="1:12" ht="14.25" customHeight="1">
      <c r="A73" s="380"/>
      <c r="B73" s="380"/>
      <c r="C73" s="516" t="s">
        <v>591</v>
      </c>
      <c r="D73" s="521"/>
      <c r="E73" s="377">
        <v>2.4900000000000002</v>
      </c>
      <c r="F73" s="521">
        <v>4.1500000000000004</v>
      </c>
      <c r="G73" s="521"/>
      <c r="H73" s="521">
        <v>0</v>
      </c>
      <c r="I73" s="521"/>
      <c r="J73" s="514">
        <f t="shared" si="2"/>
        <v>-4.1500000000000004</v>
      </c>
      <c r="K73" s="525">
        <v>0</v>
      </c>
      <c r="L73" s="525">
        <f t="shared" si="5"/>
        <v>0</v>
      </c>
    </row>
    <row r="74" spans="1:12" ht="14.25" hidden="1" customHeight="1">
      <c r="A74" s="380"/>
      <c r="B74" s="380"/>
      <c r="C74" s="516" t="s">
        <v>592</v>
      </c>
      <c r="D74" s="521"/>
      <c r="E74" s="377"/>
      <c r="F74" s="521"/>
      <c r="G74" s="521"/>
      <c r="H74" s="521"/>
      <c r="I74" s="521"/>
      <c r="J74" s="514">
        <f t="shared" si="2"/>
        <v>0</v>
      </c>
      <c r="K74" s="525" t="e">
        <f t="shared" si="3"/>
        <v>#DIV/0!</v>
      </c>
      <c r="L74" s="525">
        <f t="shared" si="5"/>
        <v>0</v>
      </c>
    </row>
    <row r="75" spans="1:12" ht="14.25" hidden="1" customHeight="1">
      <c r="A75" s="380"/>
      <c r="B75" s="380"/>
      <c r="C75" s="516" t="s">
        <v>346</v>
      </c>
      <c r="D75" s="377">
        <v>3.7</v>
      </c>
      <c r="E75" s="377"/>
      <c r="F75" s="521"/>
      <c r="G75" s="521"/>
      <c r="H75" s="521"/>
      <c r="I75" s="521"/>
      <c r="J75" s="514">
        <f t="shared" si="2"/>
        <v>0</v>
      </c>
      <c r="K75" s="525" t="e">
        <f t="shared" ref="K75:K142" si="9">I75/G75</f>
        <v>#DIV/0!</v>
      </c>
      <c r="L75" s="525">
        <f t="shared" ref="L75:L142" si="10">I75-H75</f>
        <v>0</v>
      </c>
    </row>
    <row r="76" spans="1:12" ht="14.25" hidden="1" customHeight="1">
      <c r="A76" s="380"/>
      <c r="B76" s="380"/>
      <c r="C76" s="516" t="s">
        <v>549</v>
      </c>
      <c r="D76" s="521"/>
      <c r="E76" s="377"/>
      <c r="F76" s="521"/>
      <c r="G76" s="521"/>
      <c r="H76" s="521"/>
      <c r="I76" s="521"/>
      <c r="J76" s="514">
        <f t="shared" si="2"/>
        <v>0</v>
      </c>
      <c r="K76" s="525" t="e">
        <f t="shared" si="9"/>
        <v>#DIV/0!</v>
      </c>
      <c r="L76" s="525">
        <f t="shared" si="10"/>
        <v>0</v>
      </c>
    </row>
    <row r="77" spans="1:12" ht="14.25" customHeight="1">
      <c r="A77" s="380"/>
      <c r="B77" s="529" t="s">
        <v>827</v>
      </c>
      <c r="C77" s="516" t="s">
        <v>390</v>
      </c>
      <c r="D77" s="521">
        <v>27</v>
      </c>
      <c r="E77" s="377">
        <v>28.5</v>
      </c>
      <c r="F77" s="521">
        <v>38.9</v>
      </c>
      <c r="G77" s="521">
        <v>47.14</v>
      </c>
      <c r="H77" s="521">
        <v>39.299999999999997</v>
      </c>
      <c r="I77" s="521"/>
      <c r="J77" s="514">
        <f t="shared" ref="J77:J147" si="11">H77-F77</f>
        <v>0.39999999999999858</v>
      </c>
      <c r="K77" s="525">
        <f t="shared" si="9"/>
        <v>0</v>
      </c>
      <c r="L77" s="525">
        <f t="shared" si="10"/>
        <v>-39.299999999999997</v>
      </c>
    </row>
    <row r="78" spans="1:12" ht="14.25" customHeight="1">
      <c r="A78" s="380"/>
      <c r="B78" s="529" t="s">
        <v>826</v>
      </c>
      <c r="C78" s="516" t="s">
        <v>347</v>
      </c>
      <c r="D78" s="521"/>
      <c r="E78" s="377">
        <v>13.9</v>
      </c>
      <c r="F78" s="521">
        <v>8.1</v>
      </c>
      <c r="G78" s="521">
        <v>8.07</v>
      </c>
      <c r="H78" s="521"/>
      <c r="I78" s="521">
        <v>8.0850000000000009</v>
      </c>
      <c r="J78" s="514">
        <f t="shared" si="11"/>
        <v>-8.1</v>
      </c>
      <c r="K78" s="525">
        <f t="shared" si="9"/>
        <v>1.0018587360594797</v>
      </c>
      <c r="L78" s="525">
        <f t="shared" si="10"/>
        <v>8.0850000000000009</v>
      </c>
    </row>
    <row r="79" spans="1:12" ht="14.25" hidden="1" customHeight="1">
      <c r="A79" s="523"/>
      <c r="B79" s="523"/>
      <c r="C79" s="524" t="s">
        <v>348</v>
      </c>
      <c r="D79" s="520">
        <f>SUM(D80:D86)</f>
        <v>0</v>
      </c>
      <c r="E79" s="520">
        <f>SUM(E80:E86)</f>
        <v>0</v>
      </c>
      <c r="F79" s="520">
        <f>SUM(F80:F86)</f>
        <v>0</v>
      </c>
      <c r="G79" s="520"/>
      <c r="H79" s="520">
        <f>SUM(H80:H86)</f>
        <v>0</v>
      </c>
      <c r="I79" s="520"/>
      <c r="J79" s="514">
        <f t="shared" si="11"/>
        <v>0</v>
      </c>
      <c r="K79" s="515" t="e">
        <f t="shared" si="9"/>
        <v>#DIV/0!</v>
      </c>
      <c r="L79" s="515">
        <f t="shared" si="10"/>
        <v>0</v>
      </c>
    </row>
    <row r="80" spans="1:12" ht="14.25" hidden="1" customHeight="1">
      <c r="A80" s="380"/>
      <c r="B80" s="380"/>
      <c r="C80" s="380" t="s">
        <v>349</v>
      </c>
      <c r="D80" s="384"/>
      <c r="E80" s="376"/>
      <c r="F80" s="384">
        <f>L80+P80+T80+X80+AB80+AM80+AQ80+AU80+AY80+BG80+BK80+CA80+CI80+CM80+CQ80+CU80+CY80+DC80+BC80+BO80+BW80</f>
        <v>0</v>
      </c>
      <c r="G80" s="384"/>
      <c r="H80" s="384">
        <f>N80+R80+V80+Z80+AD80+AO80+AS80+AW80+BA80+BI80+BM80+CC80+CK80+CO80+CS80+CW80+DA80+DE80+BE80+BQ80+BY80</f>
        <v>0</v>
      </c>
      <c r="I80" s="384"/>
      <c r="J80" s="514">
        <f t="shared" si="11"/>
        <v>0</v>
      </c>
      <c r="K80" s="515" t="e">
        <f t="shared" si="9"/>
        <v>#DIV/0!</v>
      </c>
      <c r="L80" s="515">
        <f t="shared" si="10"/>
        <v>0</v>
      </c>
    </row>
    <row r="81" spans="1:12" ht="14.25" hidden="1" customHeight="1">
      <c r="A81" s="380"/>
      <c r="B81" s="380"/>
      <c r="C81" s="380" t="s">
        <v>593</v>
      </c>
      <c r="D81" s="384"/>
      <c r="E81" s="376"/>
      <c r="F81" s="384">
        <f t="shared" ref="F81:H86" si="12">L81+P81+T81+X81+AB81+AM81+AQ81+AU81+AY81+BG81+BK81+CA81+CI81+CM81+CQ81+CU81+CY81+DC81+BO81+BW81</f>
        <v>0</v>
      </c>
      <c r="G81" s="384"/>
      <c r="H81" s="384">
        <f t="shared" si="12"/>
        <v>0</v>
      </c>
      <c r="I81" s="384"/>
      <c r="J81" s="514">
        <f t="shared" si="11"/>
        <v>0</v>
      </c>
      <c r="K81" s="515" t="e">
        <f t="shared" si="9"/>
        <v>#DIV/0!</v>
      </c>
      <c r="L81" s="515">
        <f t="shared" si="10"/>
        <v>0</v>
      </c>
    </row>
    <row r="82" spans="1:12" ht="14.25" hidden="1" customHeight="1">
      <c r="A82" s="380"/>
      <c r="B82" s="380"/>
      <c r="C82" s="380" t="s">
        <v>350</v>
      </c>
      <c r="D82" s="384"/>
      <c r="E82" s="376"/>
      <c r="F82" s="384">
        <f t="shared" si="12"/>
        <v>0</v>
      </c>
      <c r="G82" s="384"/>
      <c r="H82" s="384">
        <f t="shared" si="12"/>
        <v>0</v>
      </c>
      <c r="I82" s="384"/>
      <c r="J82" s="514">
        <f t="shared" si="11"/>
        <v>0</v>
      </c>
      <c r="K82" s="515" t="e">
        <f t="shared" si="9"/>
        <v>#DIV/0!</v>
      </c>
      <c r="L82" s="515">
        <f t="shared" si="10"/>
        <v>0</v>
      </c>
    </row>
    <row r="83" spans="1:12" ht="14.25" hidden="1" customHeight="1">
      <c r="A83" s="380"/>
      <c r="B83" s="380"/>
      <c r="C83" s="380" t="s">
        <v>351</v>
      </c>
      <c r="D83" s="384"/>
      <c r="E83" s="376"/>
      <c r="F83" s="384">
        <f t="shared" si="12"/>
        <v>0</v>
      </c>
      <c r="G83" s="384"/>
      <c r="H83" s="384">
        <f t="shared" si="12"/>
        <v>0</v>
      </c>
      <c r="I83" s="384"/>
      <c r="J83" s="514">
        <f t="shared" si="11"/>
        <v>0</v>
      </c>
      <c r="K83" s="515" t="e">
        <f t="shared" si="9"/>
        <v>#DIV/0!</v>
      </c>
      <c r="L83" s="515">
        <f t="shared" si="10"/>
        <v>0</v>
      </c>
    </row>
    <row r="84" spans="1:12" ht="14.25" hidden="1" customHeight="1">
      <c r="A84" s="380"/>
      <c r="B84" s="380"/>
      <c r="C84" s="380" t="s">
        <v>352</v>
      </c>
      <c r="D84" s="384"/>
      <c r="E84" s="376"/>
      <c r="F84" s="384">
        <f t="shared" si="12"/>
        <v>0</v>
      </c>
      <c r="G84" s="384"/>
      <c r="H84" s="384">
        <f t="shared" si="12"/>
        <v>0</v>
      </c>
      <c r="I84" s="384"/>
      <c r="J84" s="514">
        <f t="shared" si="11"/>
        <v>0</v>
      </c>
      <c r="K84" s="515" t="e">
        <f t="shared" si="9"/>
        <v>#DIV/0!</v>
      </c>
      <c r="L84" s="515">
        <f t="shared" si="10"/>
        <v>0</v>
      </c>
    </row>
    <row r="85" spans="1:12" ht="14.25" hidden="1" customHeight="1">
      <c r="A85" s="380"/>
      <c r="B85" s="380"/>
      <c r="C85" s="380" t="s">
        <v>353</v>
      </c>
      <c r="D85" s="384"/>
      <c r="E85" s="376"/>
      <c r="F85" s="384">
        <f t="shared" si="12"/>
        <v>0</v>
      </c>
      <c r="G85" s="384"/>
      <c r="H85" s="384">
        <f t="shared" si="12"/>
        <v>0</v>
      </c>
      <c r="I85" s="384"/>
      <c r="J85" s="514">
        <f t="shared" si="11"/>
        <v>0</v>
      </c>
      <c r="K85" s="515" t="e">
        <f t="shared" si="9"/>
        <v>#DIV/0!</v>
      </c>
      <c r="L85" s="515">
        <f t="shared" si="10"/>
        <v>0</v>
      </c>
    </row>
    <row r="86" spans="1:12" ht="14.25" hidden="1" customHeight="1">
      <c r="A86" s="380"/>
      <c r="B86" s="380"/>
      <c r="C86" s="380" t="s">
        <v>354</v>
      </c>
      <c r="D86" s="384"/>
      <c r="E86" s="376"/>
      <c r="F86" s="384">
        <f t="shared" si="12"/>
        <v>0</v>
      </c>
      <c r="G86" s="384"/>
      <c r="H86" s="384">
        <f t="shared" si="12"/>
        <v>0</v>
      </c>
      <c r="I86" s="384"/>
      <c r="J86" s="514">
        <f t="shared" si="11"/>
        <v>0</v>
      </c>
      <c r="K86" s="515" t="e">
        <f t="shared" si="9"/>
        <v>#DIV/0!</v>
      </c>
      <c r="L86" s="515">
        <f t="shared" si="10"/>
        <v>0</v>
      </c>
    </row>
    <row r="87" spans="1:12" ht="14.25" customHeight="1">
      <c r="A87" s="511" t="s">
        <v>355</v>
      </c>
      <c r="B87" s="511"/>
      <c r="C87" s="512" t="s">
        <v>356</v>
      </c>
      <c r="D87" s="520">
        <f>SUM(D88:D97)</f>
        <v>2687.25</v>
      </c>
      <c r="E87" s="518">
        <f>SUM(E88:E97)</f>
        <v>3676.66</v>
      </c>
      <c r="F87" s="518">
        <f t="shared" ref="F87:G87" si="13">SUM(F88:F97)</f>
        <v>2632.8</v>
      </c>
      <c r="G87" s="518">
        <f t="shared" si="13"/>
        <v>3784.8500000000004</v>
      </c>
      <c r="H87" s="518">
        <f>SUM(H88:H97)</f>
        <v>181.64000000000001</v>
      </c>
      <c r="I87" s="518">
        <f>SUM(I88:I97)</f>
        <v>13.439</v>
      </c>
      <c r="J87" s="514">
        <f t="shared" si="11"/>
        <v>-2451.1600000000003</v>
      </c>
      <c r="K87" s="515">
        <f t="shared" si="9"/>
        <v>3.5507351678402046E-3</v>
      </c>
      <c r="L87" s="515">
        <f t="shared" si="10"/>
        <v>-168.20100000000002</v>
      </c>
    </row>
    <row r="88" spans="1:12" ht="14.25" hidden="1" customHeight="1">
      <c r="A88" s="380"/>
      <c r="B88" s="380"/>
      <c r="C88" s="380" t="s">
        <v>357</v>
      </c>
      <c r="D88" s="384"/>
      <c r="E88" s="376"/>
      <c r="F88" s="377"/>
      <c r="G88" s="384"/>
      <c r="H88" s="377"/>
      <c r="I88" s="384"/>
      <c r="J88" s="514">
        <f t="shared" si="11"/>
        <v>0</v>
      </c>
      <c r="K88" s="515" t="e">
        <f t="shared" si="9"/>
        <v>#DIV/0!</v>
      </c>
      <c r="L88" s="515">
        <f t="shared" si="10"/>
        <v>0</v>
      </c>
    </row>
    <row r="89" spans="1:12" ht="14.25" hidden="1" customHeight="1">
      <c r="A89" s="380"/>
      <c r="B89" s="380"/>
      <c r="C89" s="380" t="s">
        <v>358</v>
      </c>
      <c r="D89" s="384">
        <v>0.25</v>
      </c>
      <c r="E89" s="384"/>
      <c r="F89" s="377"/>
      <c r="G89" s="384"/>
      <c r="H89" s="377"/>
      <c r="I89" s="384"/>
      <c r="J89" s="514">
        <f t="shared" si="11"/>
        <v>0</v>
      </c>
      <c r="K89" s="515" t="e">
        <f t="shared" si="9"/>
        <v>#DIV/0!</v>
      </c>
      <c r="L89" s="515">
        <f t="shared" si="10"/>
        <v>0</v>
      </c>
    </row>
    <row r="90" spans="1:12" ht="14.25" customHeight="1">
      <c r="A90" s="380"/>
      <c r="B90" s="380"/>
      <c r="C90" s="380" t="s">
        <v>594</v>
      </c>
      <c r="D90" s="521">
        <v>2687</v>
      </c>
      <c r="E90" s="377">
        <v>2703.33</v>
      </c>
      <c r="F90" s="377">
        <v>2439</v>
      </c>
      <c r="G90" s="377">
        <v>1684.7</v>
      </c>
      <c r="H90" s="377">
        <v>0</v>
      </c>
      <c r="I90" s="377">
        <v>13.439</v>
      </c>
      <c r="J90" s="514">
        <f t="shared" si="11"/>
        <v>-2439</v>
      </c>
      <c r="K90" s="525">
        <f t="shared" si="9"/>
        <v>7.9770879088264975E-3</v>
      </c>
      <c r="L90" s="525">
        <f t="shared" si="10"/>
        <v>13.439</v>
      </c>
    </row>
    <row r="91" spans="1:12" ht="14.25" hidden="1" customHeight="1">
      <c r="A91" s="380"/>
      <c r="B91" s="380"/>
      <c r="C91" s="516" t="s">
        <v>359</v>
      </c>
      <c r="D91" s="384"/>
      <c r="E91" s="377"/>
      <c r="F91" s="377"/>
      <c r="G91" s="377"/>
      <c r="H91" s="377"/>
      <c r="I91" s="377"/>
      <c r="J91" s="514">
        <f t="shared" si="11"/>
        <v>0</v>
      </c>
      <c r="K91" s="525" t="e">
        <f t="shared" si="9"/>
        <v>#DIV/0!</v>
      </c>
      <c r="L91" s="525">
        <f t="shared" si="10"/>
        <v>0</v>
      </c>
    </row>
    <row r="92" spans="1:12" ht="14.25" customHeight="1">
      <c r="A92" s="380"/>
      <c r="B92" s="380"/>
      <c r="C92" s="516" t="s">
        <v>552</v>
      </c>
      <c r="D92" s="377"/>
      <c r="E92" s="377"/>
      <c r="F92" s="377">
        <v>54.7</v>
      </c>
      <c r="G92" s="377">
        <v>1606.1</v>
      </c>
      <c r="H92" s="377">
        <v>0.01</v>
      </c>
      <c r="I92" s="377"/>
      <c r="J92" s="514">
        <f t="shared" si="11"/>
        <v>-54.690000000000005</v>
      </c>
      <c r="K92" s="525">
        <v>0</v>
      </c>
      <c r="L92" s="525">
        <f t="shared" si="10"/>
        <v>-0.01</v>
      </c>
    </row>
    <row r="93" spans="1:12" ht="14.25" customHeight="1">
      <c r="A93" s="380"/>
      <c r="B93" s="529" t="s">
        <v>820</v>
      </c>
      <c r="C93" s="516" t="s">
        <v>360</v>
      </c>
      <c r="D93" s="377"/>
      <c r="E93" s="377"/>
      <c r="F93" s="377">
        <v>21.07</v>
      </c>
      <c r="G93" s="377">
        <v>21.07</v>
      </c>
      <c r="H93" s="377">
        <v>10.9</v>
      </c>
      <c r="I93" s="377"/>
      <c r="J93" s="514">
        <f t="shared" si="11"/>
        <v>-10.17</v>
      </c>
      <c r="K93" s="525">
        <f t="shared" si="9"/>
        <v>0</v>
      </c>
      <c r="L93" s="525">
        <f t="shared" si="10"/>
        <v>-10.9</v>
      </c>
    </row>
    <row r="94" spans="1:12" ht="14.25" hidden="1" customHeight="1">
      <c r="A94" s="380"/>
      <c r="B94" s="380"/>
      <c r="C94" s="380" t="s">
        <v>553</v>
      </c>
      <c r="D94" s="377"/>
      <c r="E94" s="377"/>
      <c r="F94" s="377"/>
      <c r="G94" s="377"/>
      <c r="H94" s="377"/>
      <c r="I94" s="377"/>
      <c r="J94" s="514">
        <f t="shared" si="11"/>
        <v>0</v>
      </c>
      <c r="K94" s="525" t="e">
        <f t="shared" si="9"/>
        <v>#DIV/0!</v>
      </c>
      <c r="L94" s="525">
        <f t="shared" si="10"/>
        <v>0</v>
      </c>
    </row>
    <row r="95" spans="1:12" ht="14.25" customHeight="1">
      <c r="A95" s="380"/>
      <c r="B95" s="380"/>
      <c r="C95" s="380" t="s">
        <v>808</v>
      </c>
      <c r="D95" s="377"/>
      <c r="E95" s="377"/>
      <c r="F95" s="377">
        <v>0</v>
      </c>
      <c r="G95" s="377"/>
      <c r="H95" s="377">
        <v>168</v>
      </c>
      <c r="I95" s="377"/>
      <c r="J95" s="514"/>
      <c r="K95" s="525">
        <v>0</v>
      </c>
      <c r="L95" s="525">
        <f t="shared" si="10"/>
        <v>-168</v>
      </c>
    </row>
    <row r="96" spans="1:12" ht="14.25" customHeight="1">
      <c r="A96" s="380"/>
      <c r="B96" s="380"/>
      <c r="C96" s="380" t="s">
        <v>595</v>
      </c>
      <c r="D96" s="377"/>
      <c r="E96" s="377"/>
      <c r="F96" s="377">
        <v>115.15</v>
      </c>
      <c r="G96" s="377">
        <v>101.8</v>
      </c>
      <c r="H96" s="377">
        <v>0.11</v>
      </c>
      <c r="I96" s="377"/>
      <c r="J96" s="514">
        <f t="shared" si="11"/>
        <v>-115.04</v>
      </c>
      <c r="K96" s="525">
        <f t="shared" si="9"/>
        <v>0</v>
      </c>
      <c r="L96" s="525">
        <f t="shared" si="10"/>
        <v>-0.11</v>
      </c>
    </row>
    <row r="97" spans="1:12" ht="14.25" customHeight="1">
      <c r="A97" s="380"/>
      <c r="B97" s="380"/>
      <c r="C97" s="380" t="s">
        <v>361</v>
      </c>
      <c r="D97" s="377">
        <v>0</v>
      </c>
      <c r="E97" s="377">
        <v>973.33</v>
      </c>
      <c r="F97" s="377">
        <v>2.88</v>
      </c>
      <c r="G97" s="377">
        <v>371.18</v>
      </c>
      <c r="H97" s="377">
        <v>2.62</v>
      </c>
      <c r="I97" s="377"/>
      <c r="J97" s="514">
        <f t="shared" si="11"/>
        <v>-0.25999999999999979</v>
      </c>
      <c r="K97" s="525">
        <v>0</v>
      </c>
      <c r="L97" s="525">
        <f t="shared" si="10"/>
        <v>-2.62</v>
      </c>
    </row>
    <row r="98" spans="1:12" ht="14.25" customHeight="1">
      <c r="A98" s="511" t="s">
        <v>362</v>
      </c>
      <c r="B98" s="511"/>
      <c r="C98" s="512" t="s">
        <v>363</v>
      </c>
      <c r="D98" s="520">
        <f>SUM(D101:D156)</f>
        <v>3125.0399999999995</v>
      </c>
      <c r="E98" s="518">
        <f>SUM(E101:E156)</f>
        <v>5973.329999999999</v>
      </c>
      <c r="F98" s="518">
        <f>SUM(F99:F156)</f>
        <v>6251.03</v>
      </c>
      <c r="G98" s="518">
        <f>SUM(G101:G155)</f>
        <v>4140.3100000000004</v>
      </c>
      <c r="H98" s="518">
        <f>SUM(H99:H155)</f>
        <v>2854.9999999999995</v>
      </c>
      <c r="I98" s="518">
        <f>SUM(I99:I156)</f>
        <v>167.42699999999999</v>
      </c>
      <c r="J98" s="514">
        <f t="shared" si="11"/>
        <v>-3396.03</v>
      </c>
      <c r="K98" s="515">
        <f t="shared" si="9"/>
        <v>4.0438276360948815E-2</v>
      </c>
      <c r="L98" s="515">
        <f t="shared" si="10"/>
        <v>-2687.5729999999994</v>
      </c>
    </row>
    <row r="99" spans="1:12" ht="14.25" hidden="1" customHeight="1">
      <c r="A99" s="379"/>
      <c r="B99" s="379"/>
      <c r="C99" s="516" t="s">
        <v>364</v>
      </c>
      <c r="D99" s="384"/>
      <c r="E99" s="376"/>
      <c r="F99" s="384"/>
      <c r="G99" s="384"/>
      <c r="H99" s="384"/>
      <c r="I99" s="384"/>
      <c r="J99" s="514">
        <f t="shared" si="11"/>
        <v>0</v>
      </c>
      <c r="K99" s="515" t="e">
        <f t="shared" si="9"/>
        <v>#DIV/0!</v>
      </c>
      <c r="L99" s="515">
        <f t="shared" si="10"/>
        <v>0</v>
      </c>
    </row>
    <row r="100" spans="1:12" ht="14.25" hidden="1" customHeight="1">
      <c r="A100" s="379"/>
      <c r="B100" s="379"/>
      <c r="C100" s="516" t="s">
        <v>596</v>
      </c>
      <c r="D100" s="384"/>
      <c r="E100" s="376"/>
      <c r="F100" s="384"/>
      <c r="G100" s="384"/>
      <c r="H100" s="384"/>
      <c r="I100" s="384"/>
      <c r="J100" s="514">
        <f t="shared" si="11"/>
        <v>0</v>
      </c>
      <c r="K100" s="515" t="e">
        <f t="shared" si="9"/>
        <v>#DIV/0!</v>
      </c>
      <c r="L100" s="515">
        <f t="shared" si="10"/>
        <v>0</v>
      </c>
    </row>
    <row r="101" spans="1:12" ht="14.25" customHeight="1">
      <c r="A101" s="379"/>
      <c r="B101" s="379"/>
      <c r="C101" s="516" t="s">
        <v>809</v>
      </c>
      <c r="D101" s="384"/>
      <c r="E101" s="377"/>
      <c r="F101" s="384">
        <v>778.19</v>
      </c>
      <c r="G101" s="384">
        <v>780.4</v>
      </c>
      <c r="H101" s="384">
        <v>1.6</v>
      </c>
      <c r="I101" s="384">
        <v>30.734000000000002</v>
      </c>
      <c r="J101" s="514">
        <f t="shared" si="11"/>
        <v>-776.59</v>
      </c>
      <c r="K101" s="525">
        <f t="shared" si="9"/>
        <v>3.9382368016401846E-2</v>
      </c>
      <c r="L101" s="525">
        <f t="shared" si="10"/>
        <v>29.134</v>
      </c>
    </row>
    <row r="102" spans="1:12" ht="14.25" hidden="1" customHeight="1">
      <c r="A102" s="380"/>
      <c r="B102" s="380"/>
      <c r="C102" s="380" t="s">
        <v>365</v>
      </c>
      <c r="D102" s="384"/>
      <c r="E102" s="377"/>
      <c r="F102" s="384"/>
      <c r="G102" s="384"/>
      <c r="H102" s="384"/>
      <c r="I102" s="384"/>
      <c r="J102" s="514">
        <f t="shared" si="11"/>
        <v>0</v>
      </c>
      <c r="K102" s="525" t="e">
        <f t="shared" si="9"/>
        <v>#DIV/0!</v>
      </c>
      <c r="L102" s="525">
        <f t="shared" si="10"/>
        <v>0</v>
      </c>
    </row>
    <row r="103" spans="1:12" ht="14.25" customHeight="1">
      <c r="A103" s="380"/>
      <c r="B103" s="529" t="s">
        <v>829</v>
      </c>
      <c r="C103" s="380" t="s">
        <v>366</v>
      </c>
      <c r="D103" s="384"/>
      <c r="E103" s="377">
        <v>29.35</v>
      </c>
      <c r="F103" s="384"/>
      <c r="G103" s="384">
        <v>44.71</v>
      </c>
      <c r="H103" s="384">
        <v>2.7</v>
      </c>
      <c r="I103" s="384">
        <v>37.353000000000002</v>
      </c>
      <c r="J103" s="514">
        <f t="shared" si="11"/>
        <v>2.7</v>
      </c>
      <c r="K103" s="525">
        <f t="shared" si="9"/>
        <v>0.83545068217401031</v>
      </c>
      <c r="L103" s="525">
        <f t="shared" si="10"/>
        <v>34.652999999999999</v>
      </c>
    </row>
    <row r="104" spans="1:12" ht="14.25" customHeight="1">
      <c r="A104" s="380"/>
      <c r="B104" s="529" t="s">
        <v>830</v>
      </c>
      <c r="C104" s="380" t="s">
        <v>367</v>
      </c>
      <c r="D104" s="377">
        <v>9.1999999999999993</v>
      </c>
      <c r="E104" s="377">
        <v>42.1</v>
      </c>
      <c r="F104" s="377">
        <v>73.06</v>
      </c>
      <c r="G104" s="377">
        <v>90.9</v>
      </c>
      <c r="H104" s="377">
        <v>766.3</v>
      </c>
      <c r="I104" s="377">
        <v>58.530999999999999</v>
      </c>
      <c r="J104" s="514">
        <f t="shared" si="11"/>
        <v>693.24</v>
      </c>
      <c r="K104" s="525">
        <f t="shared" si="9"/>
        <v>0.64390539053905382</v>
      </c>
      <c r="L104" s="525">
        <f t="shared" si="10"/>
        <v>-707.76900000000001</v>
      </c>
    </row>
    <row r="105" spans="1:12" ht="14.25" customHeight="1">
      <c r="A105" s="380"/>
      <c r="B105" s="529" t="s">
        <v>825</v>
      </c>
      <c r="C105" s="380" t="s">
        <v>373</v>
      </c>
      <c r="D105" s="377"/>
      <c r="E105" s="377"/>
      <c r="F105" s="377">
        <v>0</v>
      </c>
      <c r="G105" s="377"/>
      <c r="H105" s="377">
        <v>0.9</v>
      </c>
      <c r="I105" s="377"/>
      <c r="J105" s="514">
        <f t="shared" si="11"/>
        <v>0.9</v>
      </c>
      <c r="K105" s="525">
        <v>0</v>
      </c>
      <c r="L105" s="525">
        <f t="shared" si="10"/>
        <v>-0.9</v>
      </c>
    </row>
    <row r="106" spans="1:12" ht="14.25" customHeight="1">
      <c r="A106" s="380"/>
      <c r="B106" s="380"/>
      <c r="C106" s="380" t="s">
        <v>368</v>
      </c>
      <c r="D106" s="377">
        <v>2918.9</v>
      </c>
      <c r="E106" s="377">
        <v>2742.87</v>
      </c>
      <c r="F106" s="377">
        <v>2925.43</v>
      </c>
      <c r="G106" s="377">
        <v>1105.5999999999999</v>
      </c>
      <c r="H106" s="377">
        <v>0.5</v>
      </c>
      <c r="I106" s="377"/>
      <c r="J106" s="514">
        <f t="shared" si="11"/>
        <v>-2924.93</v>
      </c>
      <c r="K106" s="525">
        <f t="shared" si="9"/>
        <v>0</v>
      </c>
      <c r="L106" s="525">
        <f t="shared" si="10"/>
        <v>-0.5</v>
      </c>
    </row>
    <row r="107" spans="1:12" ht="14.25" customHeight="1">
      <c r="A107" s="380"/>
      <c r="B107" s="380"/>
      <c r="C107" s="380" t="s">
        <v>598</v>
      </c>
      <c r="D107" s="384"/>
      <c r="E107" s="377"/>
      <c r="F107" s="384">
        <v>1.96</v>
      </c>
      <c r="G107" s="384"/>
      <c r="H107" s="384">
        <v>0</v>
      </c>
      <c r="I107" s="384"/>
      <c r="J107" s="514">
        <f t="shared" si="11"/>
        <v>-1.96</v>
      </c>
      <c r="K107" s="525">
        <v>0</v>
      </c>
      <c r="L107" s="525">
        <f t="shared" si="10"/>
        <v>0</v>
      </c>
    </row>
    <row r="108" spans="1:12" ht="14.25" hidden="1" customHeight="1">
      <c r="A108" s="380"/>
      <c r="B108" s="380"/>
      <c r="C108" s="380" t="s">
        <v>803</v>
      </c>
      <c r="D108" s="384"/>
      <c r="E108" s="377"/>
      <c r="F108" s="384"/>
      <c r="G108" s="384"/>
      <c r="H108" s="384"/>
      <c r="I108" s="384"/>
      <c r="J108" s="514">
        <f t="shared" si="11"/>
        <v>0</v>
      </c>
      <c r="K108" s="525" t="e">
        <f t="shared" si="9"/>
        <v>#DIV/0!</v>
      </c>
      <c r="L108" s="525">
        <f t="shared" si="10"/>
        <v>0</v>
      </c>
    </row>
    <row r="109" spans="1:12" ht="14.25" hidden="1" customHeight="1">
      <c r="A109" s="380"/>
      <c r="B109" s="380"/>
      <c r="C109" s="380" t="s">
        <v>369</v>
      </c>
      <c r="D109" s="384"/>
      <c r="E109" s="377"/>
      <c r="F109" s="384"/>
      <c r="G109" s="384"/>
      <c r="H109" s="384"/>
      <c r="I109" s="384"/>
      <c r="J109" s="514">
        <f t="shared" si="11"/>
        <v>0</v>
      </c>
      <c r="K109" s="525" t="e">
        <f t="shared" si="9"/>
        <v>#DIV/0!</v>
      </c>
      <c r="L109" s="525">
        <f t="shared" si="10"/>
        <v>0</v>
      </c>
    </row>
    <row r="110" spans="1:12" ht="14.25" hidden="1" customHeight="1">
      <c r="A110" s="380"/>
      <c r="B110" s="380"/>
      <c r="C110" s="380" t="s">
        <v>370</v>
      </c>
      <c r="D110" s="384"/>
      <c r="E110" s="377"/>
      <c r="F110" s="384"/>
      <c r="G110" s="384"/>
      <c r="H110" s="384"/>
      <c r="I110" s="384"/>
      <c r="J110" s="514">
        <f t="shared" si="11"/>
        <v>0</v>
      </c>
      <c r="K110" s="525" t="e">
        <f t="shared" si="9"/>
        <v>#DIV/0!</v>
      </c>
      <c r="L110" s="525">
        <f t="shared" si="10"/>
        <v>0</v>
      </c>
    </row>
    <row r="111" spans="1:12" ht="14.25" hidden="1" customHeight="1">
      <c r="A111" s="380"/>
      <c r="B111" s="380"/>
      <c r="C111" s="380" t="s">
        <v>371</v>
      </c>
      <c r="D111" s="384"/>
      <c r="E111" s="377"/>
      <c r="F111" s="384"/>
      <c r="G111" s="384"/>
      <c r="H111" s="384"/>
      <c r="I111" s="384"/>
      <c r="J111" s="514">
        <f t="shared" si="11"/>
        <v>0</v>
      </c>
      <c r="K111" s="525" t="e">
        <f t="shared" si="9"/>
        <v>#DIV/0!</v>
      </c>
      <c r="L111" s="525">
        <f t="shared" si="10"/>
        <v>0</v>
      </c>
    </row>
    <row r="112" spans="1:12" ht="14.25" hidden="1" customHeight="1">
      <c r="A112" s="380"/>
      <c r="B112" s="380"/>
      <c r="C112" s="380" t="s">
        <v>372</v>
      </c>
      <c r="D112" s="384"/>
      <c r="E112" s="377"/>
      <c r="F112" s="384"/>
      <c r="G112" s="384"/>
      <c r="H112" s="384"/>
      <c r="I112" s="384"/>
      <c r="J112" s="514">
        <f t="shared" si="11"/>
        <v>0</v>
      </c>
      <c r="K112" s="525" t="e">
        <f t="shared" si="9"/>
        <v>#DIV/0!</v>
      </c>
      <c r="L112" s="525">
        <f t="shared" si="10"/>
        <v>0</v>
      </c>
    </row>
    <row r="113" spans="1:12" ht="14.25" hidden="1" customHeight="1">
      <c r="A113" s="380"/>
      <c r="B113" s="380"/>
      <c r="C113" s="380" t="s">
        <v>373</v>
      </c>
      <c r="D113" s="384"/>
      <c r="E113" s="377"/>
      <c r="F113" s="384"/>
      <c r="G113" s="384"/>
      <c r="H113" s="384"/>
      <c r="I113" s="384"/>
      <c r="J113" s="514">
        <f t="shared" si="11"/>
        <v>0</v>
      </c>
      <c r="K113" s="525" t="e">
        <f t="shared" si="9"/>
        <v>#DIV/0!</v>
      </c>
      <c r="L113" s="525">
        <f t="shared" si="10"/>
        <v>0</v>
      </c>
    </row>
    <row r="114" spans="1:12" ht="14.25" customHeight="1">
      <c r="A114" s="380"/>
      <c r="B114" s="380"/>
      <c r="C114" s="380" t="s">
        <v>599</v>
      </c>
      <c r="D114" s="377">
        <v>57</v>
      </c>
      <c r="E114" s="377"/>
      <c r="F114" s="377">
        <v>123.7</v>
      </c>
      <c r="G114" s="377">
        <v>128.65</v>
      </c>
      <c r="H114" s="377">
        <v>298</v>
      </c>
      <c r="I114" s="377">
        <v>4.3419999999999996</v>
      </c>
      <c r="J114" s="514">
        <f t="shared" si="11"/>
        <v>174.3</v>
      </c>
      <c r="K114" s="525">
        <f t="shared" si="9"/>
        <v>3.3750485814224636E-2</v>
      </c>
      <c r="L114" s="525">
        <f t="shared" si="10"/>
        <v>-293.65800000000002</v>
      </c>
    </row>
    <row r="115" spans="1:12" ht="14.25" customHeight="1">
      <c r="A115" s="380"/>
      <c r="B115" s="529" t="s">
        <v>835</v>
      </c>
      <c r="C115" s="380" t="s">
        <v>557</v>
      </c>
      <c r="D115" s="384"/>
      <c r="E115" s="377">
        <v>3.01</v>
      </c>
      <c r="F115" s="384">
        <v>3</v>
      </c>
      <c r="G115" s="384">
        <v>3</v>
      </c>
      <c r="H115" s="384">
        <v>727.6</v>
      </c>
      <c r="I115" s="384">
        <v>3.0059999999999998</v>
      </c>
      <c r="J115" s="514">
        <f t="shared" si="11"/>
        <v>724.6</v>
      </c>
      <c r="K115" s="525">
        <f t="shared" si="9"/>
        <v>1.002</v>
      </c>
      <c r="L115" s="525">
        <f t="shared" si="10"/>
        <v>-724.59400000000005</v>
      </c>
    </row>
    <row r="116" spans="1:12" ht="14.25" customHeight="1">
      <c r="A116" s="380"/>
      <c r="B116" s="380"/>
      <c r="C116" s="380" t="s">
        <v>647</v>
      </c>
      <c r="D116" s="377"/>
      <c r="E116" s="377"/>
      <c r="F116" s="377"/>
      <c r="G116" s="377"/>
      <c r="H116" s="377"/>
      <c r="I116" s="377"/>
      <c r="J116" s="514">
        <f t="shared" si="11"/>
        <v>0</v>
      </c>
      <c r="K116" s="525">
        <v>0</v>
      </c>
      <c r="L116" s="525">
        <f t="shared" si="10"/>
        <v>0</v>
      </c>
    </row>
    <row r="117" spans="1:12" ht="14.25" hidden="1" customHeight="1">
      <c r="A117" s="380"/>
      <c r="B117" s="380"/>
      <c r="C117" s="380" t="s">
        <v>374</v>
      </c>
      <c r="D117" s="384"/>
      <c r="E117" s="377"/>
      <c r="F117" s="384"/>
      <c r="G117" s="384"/>
      <c r="H117" s="384"/>
      <c r="I117" s="384"/>
      <c r="J117" s="514">
        <f t="shared" si="11"/>
        <v>0</v>
      </c>
      <c r="K117" s="525" t="e">
        <f t="shared" si="9"/>
        <v>#DIV/0!</v>
      </c>
      <c r="L117" s="525">
        <f t="shared" si="10"/>
        <v>0</v>
      </c>
    </row>
    <row r="118" spans="1:12" ht="14.25" customHeight="1">
      <c r="A118" s="380"/>
      <c r="B118" s="380"/>
      <c r="C118" s="380" t="s">
        <v>375</v>
      </c>
      <c r="D118" s="384"/>
      <c r="E118" s="377"/>
      <c r="F118" s="384">
        <v>1.68</v>
      </c>
      <c r="G118" s="384">
        <v>3.3</v>
      </c>
      <c r="H118" s="384">
        <v>835</v>
      </c>
      <c r="I118" s="384"/>
      <c r="J118" s="514">
        <f t="shared" si="11"/>
        <v>833.32</v>
      </c>
      <c r="K118" s="525">
        <f t="shared" si="9"/>
        <v>0</v>
      </c>
      <c r="L118" s="525">
        <f t="shared" si="10"/>
        <v>-835</v>
      </c>
    </row>
    <row r="119" spans="1:12" ht="15.75" hidden="1" customHeight="1">
      <c r="A119" s="380"/>
      <c r="B119" s="380"/>
      <c r="C119" s="380" t="s">
        <v>376</v>
      </c>
      <c r="D119" s="384">
        <v>9.0399999999999991</v>
      </c>
      <c r="E119" s="384">
        <v>9.0399999999999991</v>
      </c>
      <c r="F119" s="384"/>
      <c r="G119" s="384"/>
      <c r="H119" s="384"/>
      <c r="I119" s="384"/>
      <c r="J119" s="514">
        <f t="shared" si="11"/>
        <v>0</v>
      </c>
      <c r="K119" s="525" t="e">
        <f t="shared" si="9"/>
        <v>#DIV/0!</v>
      </c>
      <c r="L119" s="525">
        <f t="shared" si="10"/>
        <v>0</v>
      </c>
    </row>
    <row r="120" spans="1:12" ht="14.25" hidden="1" customHeight="1">
      <c r="A120" s="380"/>
      <c r="B120" s="380"/>
      <c r="C120" s="380" t="s">
        <v>377</v>
      </c>
      <c r="D120" s="377"/>
      <c r="E120" s="377"/>
      <c r="F120" s="377"/>
      <c r="G120" s="377"/>
      <c r="H120" s="377"/>
      <c r="I120" s="377"/>
      <c r="J120" s="514">
        <f t="shared" si="11"/>
        <v>0</v>
      </c>
      <c r="K120" s="525" t="e">
        <f t="shared" si="9"/>
        <v>#DIV/0!</v>
      </c>
      <c r="L120" s="525">
        <f t="shared" si="10"/>
        <v>0</v>
      </c>
    </row>
    <row r="121" spans="1:12" ht="14.25" hidden="1" customHeight="1">
      <c r="A121" s="380"/>
      <c r="B121" s="380"/>
      <c r="C121" s="380" t="s">
        <v>644</v>
      </c>
      <c r="D121" s="384"/>
      <c r="E121" s="377">
        <v>12.2</v>
      </c>
      <c r="F121" s="384"/>
      <c r="G121" s="384"/>
      <c r="H121" s="384"/>
      <c r="I121" s="384"/>
      <c r="J121" s="514">
        <f t="shared" si="11"/>
        <v>0</v>
      </c>
      <c r="K121" s="525" t="e">
        <f t="shared" si="9"/>
        <v>#DIV/0!</v>
      </c>
      <c r="L121" s="525">
        <f t="shared" si="10"/>
        <v>0</v>
      </c>
    </row>
    <row r="122" spans="1:12" ht="14.25" customHeight="1">
      <c r="A122" s="380"/>
      <c r="B122" s="380"/>
      <c r="C122" s="380" t="s">
        <v>646</v>
      </c>
      <c r="D122" s="384"/>
      <c r="E122" s="377"/>
      <c r="F122" s="384"/>
      <c r="G122" s="384"/>
      <c r="H122" s="384">
        <v>0</v>
      </c>
      <c r="I122" s="384"/>
      <c r="J122" s="514">
        <f t="shared" si="11"/>
        <v>0</v>
      </c>
      <c r="K122" s="525">
        <v>0</v>
      </c>
      <c r="L122" s="525">
        <f t="shared" si="10"/>
        <v>0</v>
      </c>
    </row>
    <row r="123" spans="1:12" ht="14.25" customHeight="1">
      <c r="A123" s="380"/>
      <c r="B123" s="380"/>
      <c r="C123" s="380" t="s">
        <v>562</v>
      </c>
      <c r="D123" s="384"/>
      <c r="E123" s="377">
        <v>1.1399999999999999</v>
      </c>
      <c r="F123" s="384">
        <v>9.6</v>
      </c>
      <c r="G123" s="377">
        <v>72.8</v>
      </c>
      <c r="H123" s="384">
        <v>53</v>
      </c>
      <c r="I123" s="377"/>
      <c r="J123" s="514">
        <f t="shared" si="11"/>
        <v>43.4</v>
      </c>
      <c r="K123" s="525">
        <f t="shared" si="9"/>
        <v>0</v>
      </c>
      <c r="L123" s="525">
        <f t="shared" si="10"/>
        <v>-53</v>
      </c>
    </row>
    <row r="124" spans="1:12" ht="14.25" customHeight="1">
      <c r="A124" s="380"/>
      <c r="B124" s="380"/>
      <c r="C124" s="380" t="s">
        <v>600</v>
      </c>
      <c r="D124" s="384"/>
      <c r="E124" s="377"/>
      <c r="F124" s="384">
        <v>0</v>
      </c>
      <c r="G124" s="521"/>
      <c r="H124" s="384">
        <v>10.5</v>
      </c>
      <c r="I124" s="521"/>
      <c r="J124" s="514">
        <f t="shared" si="11"/>
        <v>10.5</v>
      </c>
      <c r="K124" s="525">
        <v>0</v>
      </c>
      <c r="L124" s="525">
        <f t="shared" si="10"/>
        <v>-10.5</v>
      </c>
    </row>
    <row r="125" spans="1:12" ht="14.25" customHeight="1">
      <c r="A125" s="380"/>
      <c r="B125" s="529" t="s">
        <v>832</v>
      </c>
      <c r="C125" s="380" t="s">
        <v>561</v>
      </c>
      <c r="D125" s="521"/>
      <c r="E125" s="377">
        <v>2.59</v>
      </c>
      <c r="F125" s="521">
        <v>0</v>
      </c>
      <c r="G125" s="521">
        <v>151.9</v>
      </c>
      <c r="H125" s="521">
        <v>44.6</v>
      </c>
      <c r="I125" s="521"/>
      <c r="J125" s="514">
        <f t="shared" si="11"/>
        <v>44.6</v>
      </c>
      <c r="K125" s="525">
        <f t="shared" si="9"/>
        <v>0</v>
      </c>
      <c r="L125" s="525">
        <f t="shared" si="10"/>
        <v>-44.6</v>
      </c>
    </row>
    <row r="126" spans="1:12" ht="14.25" customHeight="1">
      <c r="A126" s="380"/>
      <c r="B126" s="380"/>
      <c r="C126" s="380" t="s">
        <v>601</v>
      </c>
      <c r="D126" s="377"/>
      <c r="E126" s="377">
        <v>107.4</v>
      </c>
      <c r="F126" s="377">
        <v>0</v>
      </c>
      <c r="G126" s="377"/>
      <c r="H126" s="377">
        <v>0</v>
      </c>
      <c r="I126" s="377"/>
      <c r="J126" s="514">
        <f t="shared" si="11"/>
        <v>0</v>
      </c>
      <c r="K126" s="525">
        <v>0</v>
      </c>
      <c r="L126" s="525">
        <f t="shared" si="10"/>
        <v>0</v>
      </c>
    </row>
    <row r="127" spans="1:12" ht="14.25" customHeight="1">
      <c r="A127" s="380"/>
      <c r="B127" s="380"/>
      <c r="C127" s="380" t="s">
        <v>645</v>
      </c>
      <c r="D127" s="384"/>
      <c r="E127" s="377"/>
      <c r="F127" s="384">
        <v>0</v>
      </c>
      <c r="G127" s="384">
        <v>0.12</v>
      </c>
      <c r="H127" s="384">
        <v>0</v>
      </c>
      <c r="I127" s="384"/>
      <c r="J127" s="514">
        <f t="shared" si="11"/>
        <v>0</v>
      </c>
      <c r="K127" s="525">
        <f t="shared" si="9"/>
        <v>0</v>
      </c>
      <c r="L127" s="525">
        <f t="shared" si="10"/>
        <v>0</v>
      </c>
    </row>
    <row r="128" spans="1:12" ht="14.25" customHeight="1">
      <c r="A128" s="380"/>
      <c r="B128" s="529" t="s">
        <v>819</v>
      </c>
      <c r="C128" s="380" t="s">
        <v>810</v>
      </c>
      <c r="D128" s="384"/>
      <c r="E128" s="377"/>
      <c r="F128" s="384">
        <v>0</v>
      </c>
      <c r="G128" s="384">
        <v>2.5299999999999998</v>
      </c>
      <c r="H128" s="384">
        <v>0.2</v>
      </c>
      <c r="I128" s="384"/>
      <c r="J128" s="514"/>
      <c r="K128" s="525">
        <f t="shared" si="9"/>
        <v>0</v>
      </c>
      <c r="L128" s="525">
        <f t="shared" si="10"/>
        <v>-0.2</v>
      </c>
    </row>
    <row r="129" spans="1:12" ht="14.25" customHeight="1">
      <c r="A129" s="380"/>
      <c r="B129" s="380"/>
      <c r="C129" s="380" t="s">
        <v>602</v>
      </c>
      <c r="D129" s="384"/>
      <c r="E129" s="377"/>
      <c r="F129" s="384">
        <v>0</v>
      </c>
      <c r="G129" s="384"/>
      <c r="H129" s="384">
        <v>0</v>
      </c>
      <c r="I129" s="384"/>
      <c r="J129" s="514">
        <f t="shared" si="11"/>
        <v>0</v>
      </c>
      <c r="K129" s="525">
        <v>0</v>
      </c>
      <c r="L129" s="525">
        <f t="shared" si="10"/>
        <v>0</v>
      </c>
    </row>
    <row r="130" spans="1:12" ht="14.25" hidden="1" customHeight="1">
      <c r="A130" s="380"/>
      <c r="B130" s="380"/>
      <c r="C130" s="380" t="s">
        <v>564</v>
      </c>
      <c r="D130" s="384"/>
      <c r="E130" s="377"/>
      <c r="F130" s="384"/>
      <c r="G130" s="384"/>
      <c r="H130" s="384"/>
      <c r="I130" s="384"/>
      <c r="J130" s="514">
        <f t="shared" si="11"/>
        <v>0</v>
      </c>
      <c r="K130" s="525" t="e">
        <f t="shared" si="9"/>
        <v>#DIV/0!</v>
      </c>
      <c r="L130" s="525">
        <f t="shared" si="10"/>
        <v>0</v>
      </c>
    </row>
    <row r="131" spans="1:12" ht="14.25" customHeight="1">
      <c r="A131" s="380"/>
      <c r="B131" s="380"/>
      <c r="C131" s="380" t="s">
        <v>967</v>
      </c>
      <c r="D131" s="384"/>
      <c r="E131" s="377"/>
      <c r="F131" s="384">
        <v>0</v>
      </c>
      <c r="G131" s="384"/>
      <c r="H131" s="384">
        <v>0</v>
      </c>
      <c r="I131" s="384">
        <v>19.297000000000001</v>
      </c>
      <c r="J131" s="514"/>
      <c r="K131" s="525">
        <v>0</v>
      </c>
      <c r="L131" s="525"/>
    </row>
    <row r="132" spans="1:12" ht="14.25" customHeight="1">
      <c r="A132" s="380"/>
      <c r="B132" s="380"/>
      <c r="C132" s="380" t="s">
        <v>838</v>
      </c>
      <c r="D132" s="384"/>
      <c r="E132" s="377"/>
      <c r="F132" s="384">
        <v>0</v>
      </c>
      <c r="G132" s="384">
        <v>6.44</v>
      </c>
      <c r="H132" s="384">
        <v>0</v>
      </c>
      <c r="I132" s="384"/>
      <c r="J132" s="514"/>
      <c r="K132" s="525">
        <f t="shared" si="9"/>
        <v>0</v>
      </c>
      <c r="L132" s="525">
        <f t="shared" si="10"/>
        <v>0</v>
      </c>
    </row>
    <row r="133" spans="1:12" ht="14.25" hidden="1" customHeight="1">
      <c r="A133" s="380"/>
      <c r="B133" s="380"/>
      <c r="C133" s="380" t="s">
        <v>378</v>
      </c>
      <c r="D133" s="377">
        <v>79.2</v>
      </c>
      <c r="E133" s="377">
        <v>82.3</v>
      </c>
      <c r="F133" s="377"/>
      <c r="G133" s="377"/>
      <c r="H133" s="377">
        <v>0</v>
      </c>
      <c r="I133" s="377"/>
      <c r="J133" s="514">
        <f t="shared" si="11"/>
        <v>0</v>
      </c>
      <c r="K133" s="525" t="e">
        <f t="shared" si="9"/>
        <v>#DIV/0!</v>
      </c>
      <c r="L133" s="525">
        <f t="shared" si="10"/>
        <v>0</v>
      </c>
    </row>
    <row r="134" spans="1:12" ht="14.25" customHeight="1">
      <c r="A134" s="380"/>
      <c r="B134" s="380"/>
      <c r="C134" s="380" t="s">
        <v>603</v>
      </c>
      <c r="D134" s="384"/>
      <c r="E134" s="377"/>
      <c r="F134" s="384">
        <v>0</v>
      </c>
      <c r="G134" s="521"/>
      <c r="H134" s="384">
        <v>1</v>
      </c>
      <c r="I134" s="521"/>
      <c r="J134" s="514">
        <f t="shared" si="11"/>
        <v>1</v>
      </c>
      <c r="K134" s="525">
        <v>0</v>
      </c>
      <c r="L134" s="525">
        <f t="shared" si="10"/>
        <v>-1</v>
      </c>
    </row>
    <row r="135" spans="1:12" ht="14.25" hidden="1" customHeight="1">
      <c r="A135" s="380"/>
      <c r="B135" s="380"/>
      <c r="C135" s="380" t="s">
        <v>804</v>
      </c>
      <c r="D135" s="384"/>
      <c r="E135" s="377"/>
      <c r="F135" s="384"/>
      <c r="G135" s="384"/>
      <c r="H135" s="384"/>
      <c r="I135" s="384"/>
      <c r="J135" s="514">
        <f t="shared" si="11"/>
        <v>0</v>
      </c>
      <c r="K135" s="525" t="e">
        <f t="shared" si="9"/>
        <v>#DIV/0!</v>
      </c>
      <c r="L135" s="525">
        <f t="shared" si="10"/>
        <v>0</v>
      </c>
    </row>
    <row r="136" spans="1:12" ht="14.25" hidden="1" customHeight="1">
      <c r="A136" s="380"/>
      <c r="B136" s="380"/>
      <c r="C136" s="380" t="s">
        <v>379</v>
      </c>
      <c r="D136" s="384"/>
      <c r="E136" s="377"/>
      <c r="F136" s="384"/>
      <c r="G136" s="384"/>
      <c r="H136" s="384"/>
      <c r="I136" s="384"/>
      <c r="J136" s="514">
        <f t="shared" si="11"/>
        <v>0</v>
      </c>
      <c r="K136" s="525" t="e">
        <f t="shared" si="9"/>
        <v>#DIV/0!</v>
      </c>
      <c r="L136" s="525">
        <f t="shared" si="10"/>
        <v>0</v>
      </c>
    </row>
    <row r="137" spans="1:12" ht="14.25" customHeight="1">
      <c r="A137" s="380"/>
      <c r="B137" s="380"/>
      <c r="C137" s="380" t="s">
        <v>839</v>
      </c>
      <c r="D137" s="384"/>
      <c r="E137" s="377"/>
      <c r="F137" s="384">
        <v>0</v>
      </c>
      <c r="G137" s="384"/>
      <c r="H137" s="384">
        <v>0</v>
      </c>
      <c r="I137" s="384">
        <v>5.2610000000000001</v>
      </c>
      <c r="J137" s="514"/>
      <c r="K137" s="525">
        <v>0</v>
      </c>
      <c r="L137" s="525">
        <f t="shared" si="10"/>
        <v>5.2610000000000001</v>
      </c>
    </row>
    <row r="138" spans="1:12" ht="14.25" customHeight="1">
      <c r="A138" s="380"/>
      <c r="B138" s="380"/>
      <c r="C138" s="380" t="s">
        <v>959</v>
      </c>
      <c r="D138" s="384"/>
      <c r="E138" s="377"/>
      <c r="F138" s="384">
        <v>0</v>
      </c>
      <c r="G138" s="384"/>
      <c r="H138" s="384">
        <v>0</v>
      </c>
      <c r="I138" s="384">
        <v>4.5119999999999996</v>
      </c>
      <c r="J138" s="514"/>
      <c r="K138" s="525">
        <v>0</v>
      </c>
      <c r="L138" s="525">
        <f t="shared" si="10"/>
        <v>4.5119999999999996</v>
      </c>
    </row>
    <row r="139" spans="1:12" ht="14.25" customHeight="1">
      <c r="A139" s="380"/>
      <c r="B139" s="529" t="s">
        <v>824</v>
      </c>
      <c r="C139" s="380" t="s">
        <v>380</v>
      </c>
      <c r="D139" s="384">
        <v>24.4</v>
      </c>
      <c r="E139" s="377">
        <v>2237.08</v>
      </c>
      <c r="F139" s="384">
        <v>1197.24</v>
      </c>
      <c r="G139" s="377">
        <v>499.9</v>
      </c>
      <c r="H139" s="384">
        <v>66.099999999999994</v>
      </c>
      <c r="I139" s="377"/>
      <c r="J139" s="514">
        <f t="shared" si="11"/>
        <v>-1131.1400000000001</v>
      </c>
      <c r="K139" s="525">
        <f t="shared" si="9"/>
        <v>0</v>
      </c>
      <c r="L139" s="525">
        <f t="shared" si="10"/>
        <v>-66.099999999999994</v>
      </c>
    </row>
    <row r="140" spans="1:12" ht="14.25" hidden="1" customHeight="1">
      <c r="A140" s="380"/>
      <c r="B140" s="380"/>
      <c r="C140" s="374" t="s">
        <v>381</v>
      </c>
      <c r="D140" s="384">
        <v>12.2</v>
      </c>
      <c r="E140" s="377">
        <v>0.11</v>
      </c>
      <c r="F140" s="384"/>
      <c r="G140" s="384"/>
      <c r="H140" s="384"/>
      <c r="I140" s="384"/>
      <c r="J140" s="514">
        <f t="shared" si="11"/>
        <v>0</v>
      </c>
      <c r="K140" s="525" t="e">
        <f t="shared" si="9"/>
        <v>#DIV/0!</v>
      </c>
      <c r="L140" s="525">
        <f t="shared" si="10"/>
        <v>0</v>
      </c>
    </row>
    <row r="141" spans="1:12" ht="14.25" customHeight="1">
      <c r="A141" s="380"/>
      <c r="B141" s="380"/>
      <c r="C141" s="374" t="s">
        <v>565</v>
      </c>
      <c r="D141" s="384"/>
      <c r="E141" s="377"/>
      <c r="F141" s="384">
        <v>0</v>
      </c>
      <c r="G141" s="384"/>
      <c r="H141" s="384">
        <v>0</v>
      </c>
      <c r="I141" s="384"/>
      <c r="J141" s="514">
        <f t="shared" si="11"/>
        <v>0</v>
      </c>
      <c r="K141" s="525">
        <v>0</v>
      </c>
      <c r="L141" s="525">
        <f t="shared" si="10"/>
        <v>0</v>
      </c>
    </row>
    <row r="142" spans="1:12" ht="14.25" customHeight="1">
      <c r="A142" s="380"/>
      <c r="B142" s="529" t="s">
        <v>833</v>
      </c>
      <c r="C142" s="374" t="s">
        <v>566</v>
      </c>
      <c r="D142" s="377"/>
      <c r="E142" s="377">
        <v>46</v>
      </c>
      <c r="F142" s="377">
        <v>0</v>
      </c>
      <c r="G142" s="377">
        <v>43.16</v>
      </c>
      <c r="H142" s="377">
        <v>0</v>
      </c>
      <c r="I142" s="377">
        <v>3.3079999999999998</v>
      </c>
      <c r="J142" s="514">
        <f t="shared" si="11"/>
        <v>0</v>
      </c>
      <c r="K142" s="525">
        <f t="shared" si="9"/>
        <v>7.6645041705282677E-2</v>
      </c>
      <c r="L142" s="525">
        <f t="shared" si="10"/>
        <v>3.3079999999999998</v>
      </c>
    </row>
    <row r="143" spans="1:12" ht="14.25" hidden="1" customHeight="1">
      <c r="A143" s="380"/>
      <c r="B143" s="380"/>
      <c r="C143" s="374" t="s">
        <v>382</v>
      </c>
      <c r="D143" s="384"/>
      <c r="E143" s="377"/>
      <c r="F143" s="384"/>
      <c r="G143" s="384"/>
      <c r="H143" s="384"/>
      <c r="I143" s="384"/>
      <c r="J143" s="514">
        <f t="shared" si="11"/>
        <v>0</v>
      </c>
      <c r="K143" s="525" t="e">
        <f t="shared" ref="K143:K160" si="14">I143/G143</f>
        <v>#DIV/0!</v>
      </c>
      <c r="L143" s="525">
        <f t="shared" ref="L143:L160" si="15">I143-H143</f>
        <v>0</v>
      </c>
    </row>
    <row r="144" spans="1:12" ht="14.25" hidden="1" customHeight="1">
      <c r="A144" s="380"/>
      <c r="B144" s="380"/>
      <c r="C144" s="374" t="s">
        <v>567</v>
      </c>
      <c r="D144" s="384"/>
      <c r="E144" s="377"/>
      <c r="F144" s="384"/>
      <c r="G144" s="384"/>
      <c r="H144" s="384"/>
      <c r="I144" s="384"/>
      <c r="J144" s="514">
        <f t="shared" si="11"/>
        <v>0</v>
      </c>
      <c r="K144" s="525" t="e">
        <f t="shared" si="14"/>
        <v>#DIV/0!</v>
      </c>
      <c r="L144" s="525">
        <f t="shared" si="15"/>
        <v>0</v>
      </c>
    </row>
    <row r="145" spans="1:12" ht="14.25" customHeight="1">
      <c r="A145" s="380"/>
      <c r="B145" s="380"/>
      <c r="C145" s="380" t="s">
        <v>604</v>
      </c>
      <c r="D145" s="384"/>
      <c r="E145" s="377">
        <v>7.29</v>
      </c>
      <c r="F145" s="384">
        <v>2.2000000000000002</v>
      </c>
      <c r="G145" s="384"/>
      <c r="H145" s="384">
        <v>0</v>
      </c>
      <c r="I145" s="384"/>
      <c r="J145" s="514">
        <f t="shared" si="11"/>
        <v>-2.2000000000000002</v>
      </c>
      <c r="K145" s="525">
        <v>0</v>
      </c>
      <c r="L145" s="525">
        <f t="shared" si="15"/>
        <v>0</v>
      </c>
    </row>
    <row r="146" spans="1:12" ht="14.25" hidden="1" customHeight="1">
      <c r="A146" s="380"/>
      <c r="B146" s="380"/>
      <c r="C146" s="380" t="s">
        <v>568</v>
      </c>
      <c r="D146" s="384"/>
      <c r="E146" s="377"/>
      <c r="F146" s="384"/>
      <c r="G146" s="384"/>
      <c r="H146" s="384"/>
      <c r="I146" s="384"/>
      <c r="J146" s="514">
        <f t="shared" si="11"/>
        <v>0</v>
      </c>
      <c r="K146" s="525" t="e">
        <f t="shared" si="14"/>
        <v>#DIV/0!</v>
      </c>
      <c r="L146" s="525">
        <f t="shared" si="15"/>
        <v>0</v>
      </c>
    </row>
    <row r="147" spans="1:12" hidden="1">
      <c r="A147" s="380"/>
      <c r="B147" s="380"/>
      <c r="C147" s="380" t="s">
        <v>605</v>
      </c>
      <c r="D147" s="384"/>
      <c r="E147" s="377"/>
      <c r="F147" s="384"/>
      <c r="G147" s="384"/>
      <c r="H147" s="384"/>
      <c r="I147" s="384"/>
      <c r="J147" s="514">
        <f t="shared" si="11"/>
        <v>0</v>
      </c>
      <c r="K147" s="525" t="e">
        <f t="shared" si="14"/>
        <v>#DIV/0!</v>
      </c>
      <c r="L147" s="525">
        <f t="shared" si="15"/>
        <v>0</v>
      </c>
    </row>
    <row r="148" spans="1:12" ht="14.25" hidden="1" customHeight="1">
      <c r="A148" s="380"/>
      <c r="B148" s="380"/>
      <c r="C148" s="380" t="s">
        <v>383</v>
      </c>
      <c r="D148" s="384"/>
      <c r="E148" s="377">
        <v>29.19</v>
      </c>
      <c r="F148" s="384"/>
      <c r="G148" s="384"/>
      <c r="H148" s="384"/>
      <c r="I148" s="384"/>
      <c r="J148" s="514">
        <f t="shared" ref="J148:J160" si="16">H148-F148</f>
        <v>0</v>
      </c>
      <c r="K148" s="525" t="e">
        <f t="shared" si="14"/>
        <v>#DIV/0!</v>
      </c>
      <c r="L148" s="525">
        <f t="shared" si="15"/>
        <v>0</v>
      </c>
    </row>
    <row r="149" spans="1:12" ht="14.25" customHeight="1">
      <c r="A149" s="380"/>
      <c r="B149" s="380"/>
      <c r="C149" s="380" t="s">
        <v>556</v>
      </c>
      <c r="D149" s="384"/>
      <c r="E149" s="377">
        <v>606.52</v>
      </c>
      <c r="F149" s="384">
        <v>1131.67</v>
      </c>
      <c r="G149" s="377">
        <v>1203.5999999999999</v>
      </c>
      <c r="H149" s="384">
        <v>41.1</v>
      </c>
      <c r="I149" s="377">
        <v>0.38100000000000001</v>
      </c>
      <c r="J149" s="514">
        <f t="shared" si="16"/>
        <v>-1090.5700000000002</v>
      </c>
      <c r="K149" s="525">
        <f t="shared" si="14"/>
        <v>3.165503489531406E-4</v>
      </c>
      <c r="L149" s="525">
        <f t="shared" si="15"/>
        <v>-40.719000000000001</v>
      </c>
    </row>
    <row r="150" spans="1:12" ht="14.25" customHeight="1">
      <c r="A150" s="380"/>
      <c r="B150" s="380"/>
      <c r="C150" s="380" t="s">
        <v>811</v>
      </c>
      <c r="D150" s="384"/>
      <c r="E150" s="377"/>
      <c r="F150" s="384">
        <v>0</v>
      </c>
      <c r="G150" s="377"/>
      <c r="H150" s="384">
        <v>0.2</v>
      </c>
      <c r="I150" s="377"/>
      <c r="J150" s="514"/>
      <c r="K150" s="525">
        <v>0</v>
      </c>
      <c r="L150" s="525">
        <f t="shared" si="15"/>
        <v>-0.2</v>
      </c>
    </row>
    <row r="151" spans="1:12" ht="14.25" customHeight="1">
      <c r="A151" s="380"/>
      <c r="B151" s="380"/>
      <c r="C151" s="533" t="s">
        <v>841</v>
      </c>
      <c r="D151" s="384"/>
      <c r="E151" s="377"/>
      <c r="F151" s="384">
        <v>0</v>
      </c>
      <c r="G151" s="377"/>
      <c r="H151" s="384">
        <v>0</v>
      </c>
      <c r="I151" s="377"/>
      <c r="J151" s="514"/>
      <c r="K151" s="525">
        <v>0</v>
      </c>
      <c r="L151" s="525">
        <f t="shared" si="15"/>
        <v>0</v>
      </c>
    </row>
    <row r="152" spans="1:12" ht="14.25" customHeight="1">
      <c r="A152" s="380"/>
      <c r="B152" s="380"/>
      <c r="C152" s="380" t="s">
        <v>840</v>
      </c>
      <c r="D152" s="384"/>
      <c r="E152" s="377"/>
      <c r="F152" s="384">
        <v>0</v>
      </c>
      <c r="G152" s="377"/>
      <c r="H152" s="384">
        <v>0</v>
      </c>
      <c r="I152" s="377"/>
      <c r="J152" s="514"/>
      <c r="K152" s="525">
        <v>0</v>
      </c>
      <c r="L152" s="525">
        <f t="shared" si="15"/>
        <v>0</v>
      </c>
    </row>
    <row r="153" spans="1:12" ht="14.25" customHeight="1">
      <c r="A153" s="380"/>
      <c r="B153" s="380"/>
      <c r="C153" s="380" t="s">
        <v>968</v>
      </c>
      <c r="D153" s="384"/>
      <c r="E153" s="377"/>
      <c r="F153" s="384">
        <v>0</v>
      </c>
      <c r="G153" s="377"/>
      <c r="H153" s="384">
        <v>0</v>
      </c>
      <c r="I153" s="377">
        <v>0.70199999999999996</v>
      </c>
      <c r="J153" s="514"/>
      <c r="K153" s="525">
        <v>0</v>
      </c>
      <c r="L153" s="525">
        <f t="shared" si="15"/>
        <v>0.70199999999999996</v>
      </c>
    </row>
    <row r="154" spans="1:12" ht="14.25" customHeight="1">
      <c r="A154" s="380"/>
      <c r="B154" s="380"/>
      <c r="C154" s="380" t="s">
        <v>812</v>
      </c>
      <c r="D154" s="384"/>
      <c r="E154" s="377"/>
      <c r="F154" s="384">
        <v>0</v>
      </c>
      <c r="G154" s="377"/>
      <c r="H154" s="384">
        <v>3.3</v>
      </c>
      <c r="I154" s="377"/>
      <c r="J154" s="514"/>
      <c r="K154" s="525">
        <v>0</v>
      </c>
      <c r="L154" s="525">
        <f t="shared" si="15"/>
        <v>-3.3</v>
      </c>
    </row>
    <row r="155" spans="1:12" ht="14.25" customHeight="1">
      <c r="A155" s="380"/>
      <c r="B155" s="529" t="s">
        <v>837</v>
      </c>
      <c r="C155" s="380" t="s">
        <v>570</v>
      </c>
      <c r="D155" s="377">
        <v>4.0999999999999996</v>
      </c>
      <c r="E155" s="377">
        <v>4.0999999999999996</v>
      </c>
      <c r="F155" s="377">
        <v>3.3</v>
      </c>
      <c r="G155" s="377">
        <v>3.3</v>
      </c>
      <c r="H155" s="377">
        <f>2.7-0.3</f>
        <v>2.4000000000000004</v>
      </c>
      <c r="I155" s="377"/>
      <c r="J155" s="514">
        <f t="shared" si="16"/>
        <v>-0.89999999999999947</v>
      </c>
      <c r="K155" s="525">
        <f t="shared" si="14"/>
        <v>0</v>
      </c>
      <c r="L155" s="525">
        <f t="shared" si="15"/>
        <v>-2.4000000000000004</v>
      </c>
    </row>
    <row r="156" spans="1:12" ht="14.25" hidden="1" customHeight="1">
      <c r="A156" s="380"/>
      <c r="B156" s="380"/>
      <c r="C156" s="380" t="s">
        <v>410</v>
      </c>
      <c r="D156" s="377">
        <v>11</v>
      </c>
      <c r="E156" s="377">
        <v>11.04</v>
      </c>
      <c r="F156" s="384"/>
      <c r="G156" s="384"/>
      <c r="H156" s="384"/>
      <c r="I156" s="384"/>
      <c r="J156" s="514">
        <f t="shared" si="16"/>
        <v>0</v>
      </c>
      <c r="K156" s="515" t="e">
        <f t="shared" si="14"/>
        <v>#DIV/0!</v>
      </c>
      <c r="L156" s="515">
        <f t="shared" si="15"/>
        <v>0</v>
      </c>
    </row>
    <row r="157" spans="1:12" ht="14.25" customHeight="1">
      <c r="A157" s="523"/>
      <c r="B157" s="523"/>
      <c r="C157" s="524" t="s">
        <v>384</v>
      </c>
      <c r="D157" s="520">
        <f>D6+D22+D40+D79+D87+D98</f>
        <v>5847.2899999999991</v>
      </c>
      <c r="E157" s="520">
        <f>E6+E22+E40+E79+E87+E98</f>
        <v>9739.869999999999</v>
      </c>
      <c r="F157" s="518">
        <f t="shared" ref="F157:G157" si="17">F6+F22+F40+F79+F87+F98</f>
        <v>9031.75</v>
      </c>
      <c r="G157" s="518">
        <f t="shared" si="17"/>
        <v>8433.34</v>
      </c>
      <c r="H157" s="518">
        <f>H6+H22+H40+H79+H87+H98</f>
        <v>3512.5399999999995</v>
      </c>
      <c r="I157" s="518">
        <f>I6+I22+I40+I79+I87+I98</f>
        <v>246.929</v>
      </c>
      <c r="J157" s="514">
        <f t="shared" si="16"/>
        <v>-5519.2100000000009</v>
      </c>
      <c r="K157" s="515">
        <f t="shared" si="14"/>
        <v>2.9280095430754601E-2</v>
      </c>
      <c r="L157" s="515">
        <f t="shared" si="15"/>
        <v>-3265.6109999999994</v>
      </c>
    </row>
    <row r="158" spans="1:12" ht="14.25" customHeight="1">
      <c r="A158" s="379" t="s">
        <v>385</v>
      </c>
      <c r="B158" s="379"/>
      <c r="C158" s="378" t="s">
        <v>386</v>
      </c>
      <c r="D158" s="376">
        <v>359.5</v>
      </c>
      <c r="E158" s="376">
        <v>722.74</v>
      </c>
      <c r="F158" s="376">
        <v>4013.8</v>
      </c>
      <c r="G158" s="376">
        <v>950.6</v>
      </c>
      <c r="H158" s="376">
        <v>373.4</v>
      </c>
      <c r="I158" s="376">
        <v>178.21899999999999</v>
      </c>
      <c r="J158" s="514">
        <f t="shared" si="16"/>
        <v>-3640.4</v>
      </c>
      <c r="K158" s="525">
        <f t="shared" si="14"/>
        <v>0.18748053860719543</v>
      </c>
      <c r="L158" s="525">
        <f t="shared" si="15"/>
        <v>-195.18099999999998</v>
      </c>
    </row>
    <row r="159" spans="1:12" ht="14.25" customHeight="1">
      <c r="A159" s="379" t="s">
        <v>387</v>
      </c>
      <c r="B159" s="379"/>
      <c r="C159" s="378" t="s">
        <v>388</v>
      </c>
      <c r="D159" s="376">
        <v>3647.7</v>
      </c>
      <c r="E159" s="376">
        <v>3730.44</v>
      </c>
      <c r="F159" s="376">
        <v>4676.6000000000004</v>
      </c>
      <c r="G159" s="376">
        <v>3475.8</v>
      </c>
      <c r="H159" s="376">
        <v>4986.2</v>
      </c>
      <c r="I159" s="376">
        <v>3692.741</v>
      </c>
      <c r="J159" s="514">
        <f t="shared" si="16"/>
        <v>309.59999999999945</v>
      </c>
      <c r="K159" s="525">
        <f t="shared" si="14"/>
        <v>1.0624146958973473</v>
      </c>
      <c r="L159" s="525">
        <f t="shared" si="15"/>
        <v>-1293.4589999999998</v>
      </c>
    </row>
    <row r="160" spans="1:12" ht="14.25" customHeight="1">
      <c r="A160" s="511"/>
      <c r="B160" s="511"/>
      <c r="C160" s="512" t="s">
        <v>389</v>
      </c>
      <c r="D160" s="520">
        <f>D157+D159+D158</f>
        <v>9854.489999999998</v>
      </c>
      <c r="E160" s="518">
        <f>E159+E158+E157</f>
        <v>14193.05</v>
      </c>
      <c r="F160" s="518">
        <f>F157+F159+F158</f>
        <v>17722.150000000001</v>
      </c>
      <c r="G160" s="518">
        <f>G157+G159+G158</f>
        <v>12859.74</v>
      </c>
      <c r="H160" s="518">
        <f>H157+H159+H158</f>
        <v>8872.14</v>
      </c>
      <c r="I160" s="518">
        <f>I157+I159+I158</f>
        <v>4117.8890000000001</v>
      </c>
      <c r="J160" s="514">
        <f t="shared" si="16"/>
        <v>-8850.010000000002</v>
      </c>
      <c r="K160" s="515">
        <f t="shared" si="14"/>
        <v>0.32021557201000955</v>
      </c>
      <c r="L160" s="515">
        <f t="shared" si="15"/>
        <v>-4754.2509999999993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68" orientation="portrait" verticalDpi="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9пр (2)</vt:lpstr>
      <vt:lpstr>2.</vt:lpstr>
      <vt:lpstr>5</vt:lpstr>
      <vt:lpstr>6</vt:lpstr>
      <vt:lpstr>9пр</vt:lpstr>
      <vt:lpstr>9</vt:lpstr>
      <vt:lpstr>7</vt:lpstr>
      <vt:lpstr>2.2</vt:lpstr>
      <vt:lpstr>2</vt:lpstr>
      <vt:lpstr>пр7</vt:lpstr>
      <vt:lpstr>6 (3)</vt:lpstr>
      <vt:lpstr>пр6</vt:lpstr>
      <vt:lpstr>9 корр</vt:lpstr>
      <vt:lpstr>прил9 ундурбес</vt:lpstr>
      <vt:lpstr>9 пр</vt:lpstr>
      <vt:lpstr>'2'!Область_печати</vt:lpstr>
      <vt:lpstr>'2.'!Область_печати</vt:lpstr>
      <vt:lpstr>'2.2'!Область_печати</vt:lpstr>
      <vt:lpstr>'5'!Область_печати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'9 корр'!Область_печати</vt:lpstr>
      <vt:lpstr>пр6!Область_печати</vt:lpstr>
      <vt:lpstr>пр7!Область_печати</vt:lpstr>
      <vt:lpstr>'прил9 ундурбес'!Область_печати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2020-10-19T09:31:45Z</cp:lastPrinted>
  <dcterms:created xsi:type="dcterms:W3CDTF">1996-10-08T23:32:33Z</dcterms:created>
  <dcterms:modified xsi:type="dcterms:W3CDTF">2020-10-19T10:06:59Z</dcterms:modified>
</cp:coreProperties>
</file>