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5_" sheetId="30" r:id="rId1"/>
    <sheet name="пр7" sheetId="29" r:id="rId2"/>
    <sheet name="9_" sheetId="28" r:id="rId3"/>
    <sheet name="2.2." sheetId="26" r:id="rId4"/>
    <sheet name="2." sheetId="22" r:id="rId5"/>
    <sheet name="6" sheetId="11" state="hidden" r:id="rId6"/>
    <sheet name="9пр" sheetId="17" state="hidden" r:id="rId7"/>
    <sheet name="9" sheetId="13" state="hidden" r:id="rId8"/>
    <sheet name="7" sheetId="8" state="hidden" r:id="rId9"/>
    <sheet name="2.2" sheetId="14" state="hidden" r:id="rId10"/>
    <sheet name="2" sheetId="15" state="hidden" r:id="rId11"/>
    <sheet name="6 (3)" sheetId="19" state="hidden" r:id="rId12"/>
    <sheet name="пр6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10">'2'!$A$1:$H$95</definedName>
    <definedName name="_xlnm.Print_Area" localSheetId="4">'2.'!$A$1:$H$99</definedName>
    <definedName name="_xlnm.Print_Area" localSheetId="9">'2.2'!$A$1:$O$38</definedName>
    <definedName name="_xlnm.Print_Area" localSheetId="3">'2.2.'!$A$1:$M$40</definedName>
    <definedName name="_xlnm.Print_Area" localSheetId="0">'5_'!$A$1:$J$25</definedName>
    <definedName name="_xlnm.Print_Area" localSheetId="5">'6'!$A$1:$CF$66</definedName>
    <definedName name="_xlnm.Print_Area" localSheetId="11">'6 (3)'!$A$1:$CJ$66</definedName>
    <definedName name="_xlnm.Print_Area" localSheetId="8">'7'!$A$1:$S$245</definedName>
    <definedName name="_xlnm.Print_Area" localSheetId="7">'9'!$A$1:$CQ$140</definedName>
    <definedName name="_xlnm.Print_Area" localSheetId="2">'9_'!$A$1:$K$123</definedName>
    <definedName name="_xlnm.Print_Area" localSheetId="12">пр6!$A$1:$CN$76</definedName>
    <definedName name="_xlnm.Print_Area" localSheetId="1">пр7!$A$1:$R$147</definedName>
  </definedNames>
  <calcPr calcId="124519"/>
  <fileRecoveryPr autoRecover="0"/>
</workbook>
</file>

<file path=xl/calcChain.xml><?xml version="1.0" encoding="utf-8"?>
<calcChain xmlns="http://schemas.openxmlformats.org/spreadsheetml/2006/main">
  <c r="R147" i="29"/>
  <c r="C67" i="22" l="1"/>
  <c r="CM60" i="18"/>
  <c r="CC12"/>
  <c r="BY16"/>
  <c r="AE37" l="1"/>
  <c r="AE42"/>
  <c r="AA16"/>
  <c r="AA42"/>
  <c r="AA57"/>
  <c r="AA64"/>
  <c r="AA74"/>
  <c r="W43"/>
  <c r="W42"/>
  <c r="S37"/>
  <c r="S42"/>
  <c r="O74"/>
  <c r="O42"/>
  <c r="K57"/>
  <c r="K42"/>
  <c r="K37"/>
  <c r="BA22"/>
  <c r="BA23"/>
  <c r="BA53"/>
  <c r="BA54"/>
  <c r="BA55"/>
  <c r="AG57"/>
  <c r="E65" l="1"/>
  <c r="CL57"/>
  <c r="BF57"/>
  <c r="BB53"/>
  <c r="BB54"/>
  <c r="BB55"/>
  <c r="BB64"/>
  <c r="AH48"/>
  <c r="AH53"/>
  <c r="AH54"/>
  <c r="AH55"/>
  <c r="N27"/>
  <c r="N10" s="1"/>
  <c r="N5" s="1"/>
  <c r="N48"/>
  <c r="M48"/>
  <c r="AH49"/>
  <c r="N42"/>
  <c r="J23" i="30"/>
  <c r="I23" l="1"/>
  <c r="I17"/>
  <c r="I18"/>
  <c r="I19"/>
  <c r="I20"/>
  <c r="I21"/>
  <c r="I22"/>
  <c r="H23" l="1"/>
  <c r="G23"/>
  <c r="D23"/>
  <c r="F23"/>
  <c r="E23"/>
  <c r="C23"/>
  <c r="H21"/>
  <c r="H19"/>
  <c r="H18"/>
  <c r="H20"/>
  <c r="H17"/>
  <c r="H16"/>
  <c r="CH48" i="18" l="1"/>
  <c r="CG48"/>
  <c r="CH57"/>
  <c r="CG57"/>
  <c r="CL55"/>
  <c r="CK55"/>
  <c r="CM55" s="1"/>
  <c r="CN55" l="1"/>
  <c r="K6" i="29" l="1"/>
  <c r="M95"/>
  <c r="R95" s="1"/>
  <c r="M90"/>
  <c r="R90" s="1"/>
  <c r="M74"/>
  <c r="R74" s="1"/>
  <c r="M41"/>
  <c r="R41" s="1"/>
  <c r="M42"/>
  <c r="M47"/>
  <c r="M49"/>
  <c r="M53"/>
  <c r="R53" s="1"/>
  <c r="J90"/>
  <c r="J79"/>
  <c r="J13"/>
  <c r="O81"/>
  <c r="I130"/>
  <c r="H22"/>
  <c r="E39"/>
  <c r="C39"/>
  <c r="C12" s="1"/>
  <c r="C22"/>
  <c r="C17"/>
  <c r="C14"/>
  <c r="C114"/>
  <c r="C79"/>
  <c r="C8"/>
  <c r="R42" l="1"/>
  <c r="I24" i="30"/>
  <c r="H24"/>
  <c r="J25"/>
  <c r="G25"/>
  <c r="F25"/>
  <c r="E25"/>
  <c r="D25"/>
  <c r="C25"/>
  <c r="B23"/>
  <c r="B25" s="1"/>
  <c r="H22"/>
  <c r="Q138" i="29"/>
  <c r="N138"/>
  <c r="L138"/>
  <c r="M138" s="1"/>
  <c r="G138"/>
  <c r="F138"/>
  <c r="E138"/>
  <c r="M137"/>
  <c r="R137" s="1"/>
  <c r="Q136"/>
  <c r="N136"/>
  <c r="L136"/>
  <c r="M136" s="1"/>
  <c r="G136"/>
  <c r="F136"/>
  <c r="Q135"/>
  <c r="L135"/>
  <c r="M135" s="1"/>
  <c r="R135" s="1"/>
  <c r="G135"/>
  <c r="F135"/>
  <c r="M134"/>
  <c r="R134" s="1"/>
  <c r="Q133"/>
  <c r="N133"/>
  <c r="L133"/>
  <c r="M133" s="1"/>
  <c r="G133"/>
  <c r="F133"/>
  <c r="Q132"/>
  <c r="N132"/>
  <c r="L132"/>
  <c r="M132" s="1"/>
  <c r="G132"/>
  <c r="F132"/>
  <c r="Q131"/>
  <c r="N131"/>
  <c r="M131"/>
  <c r="G131"/>
  <c r="N130"/>
  <c r="M130"/>
  <c r="G130"/>
  <c r="F130"/>
  <c r="Q129"/>
  <c r="N129"/>
  <c r="L129"/>
  <c r="G129"/>
  <c r="F129"/>
  <c r="Q128"/>
  <c r="N128"/>
  <c r="L128"/>
  <c r="M128" s="1"/>
  <c r="G128"/>
  <c r="F128"/>
  <c r="M127"/>
  <c r="R127" s="1"/>
  <c r="P126"/>
  <c r="N126"/>
  <c r="L126"/>
  <c r="G126"/>
  <c r="Q125"/>
  <c r="P125"/>
  <c r="N125"/>
  <c r="L125"/>
  <c r="G125"/>
  <c r="Q124"/>
  <c r="N124"/>
  <c r="M124"/>
  <c r="G124"/>
  <c r="F124"/>
  <c r="Q123"/>
  <c r="N123"/>
  <c r="L123"/>
  <c r="J118"/>
  <c r="G123"/>
  <c r="F123"/>
  <c r="N122"/>
  <c r="L122"/>
  <c r="M122" s="1"/>
  <c r="G122"/>
  <c r="F122"/>
  <c r="Q121"/>
  <c r="N121"/>
  <c r="L121"/>
  <c r="G121"/>
  <c r="F121"/>
  <c r="Q120"/>
  <c r="N120"/>
  <c r="L120"/>
  <c r="K120"/>
  <c r="K118" s="1"/>
  <c r="G120"/>
  <c r="F120"/>
  <c r="Q119"/>
  <c r="P119"/>
  <c r="N119"/>
  <c r="L119"/>
  <c r="M119" s="1"/>
  <c r="G119"/>
  <c r="F119"/>
  <c r="O118"/>
  <c r="I118"/>
  <c r="E118"/>
  <c r="L117"/>
  <c r="M117" s="1"/>
  <c r="R117" s="1"/>
  <c r="G117"/>
  <c r="F117"/>
  <c r="F110" s="1"/>
  <c r="M116"/>
  <c r="R116" s="1"/>
  <c r="Q115"/>
  <c r="P115"/>
  <c r="L115"/>
  <c r="M115" s="1"/>
  <c r="P114"/>
  <c r="O114"/>
  <c r="K114"/>
  <c r="Q113"/>
  <c r="P113"/>
  <c r="O113"/>
  <c r="O110" s="1"/>
  <c r="L113"/>
  <c r="K113"/>
  <c r="Q112"/>
  <c r="P112"/>
  <c r="L112"/>
  <c r="M112" s="1"/>
  <c r="Q111"/>
  <c r="P111"/>
  <c r="L111"/>
  <c r="K111"/>
  <c r="J110"/>
  <c r="I110"/>
  <c r="H110"/>
  <c r="G110"/>
  <c r="E110"/>
  <c r="D110"/>
  <c r="C110"/>
  <c r="Q109"/>
  <c r="P109"/>
  <c r="N109"/>
  <c r="L109"/>
  <c r="J109"/>
  <c r="G109"/>
  <c r="F109"/>
  <c r="Q108"/>
  <c r="P108"/>
  <c r="N108"/>
  <c r="L108"/>
  <c r="J108"/>
  <c r="G108"/>
  <c r="F108"/>
  <c r="Q107"/>
  <c r="P107"/>
  <c r="N107"/>
  <c r="L107"/>
  <c r="J107"/>
  <c r="G107"/>
  <c r="F107"/>
  <c r="Q106"/>
  <c r="P106"/>
  <c r="N106"/>
  <c r="L106"/>
  <c r="J106"/>
  <c r="G106"/>
  <c r="F106"/>
  <c r="Q105"/>
  <c r="P105"/>
  <c r="N105"/>
  <c r="L105"/>
  <c r="J105"/>
  <c r="G105"/>
  <c r="F105"/>
  <c r="Q104"/>
  <c r="P104"/>
  <c r="N104"/>
  <c r="L104"/>
  <c r="M104" s="1"/>
  <c r="G104"/>
  <c r="F104"/>
  <c r="Q103"/>
  <c r="P103"/>
  <c r="N103"/>
  <c r="L103"/>
  <c r="M103" s="1"/>
  <c r="G103"/>
  <c r="F103"/>
  <c r="Q102"/>
  <c r="P102"/>
  <c r="L102"/>
  <c r="J102"/>
  <c r="G102"/>
  <c r="F102"/>
  <c r="Q101"/>
  <c r="P101"/>
  <c r="N101"/>
  <c r="L101"/>
  <c r="M101" s="1"/>
  <c r="G101"/>
  <c r="F101"/>
  <c r="Q100"/>
  <c r="P100"/>
  <c r="N100"/>
  <c r="L100"/>
  <c r="M100" s="1"/>
  <c r="G100"/>
  <c r="F100"/>
  <c r="Q99"/>
  <c r="P99"/>
  <c r="N99"/>
  <c r="L99"/>
  <c r="M99" s="1"/>
  <c r="I97"/>
  <c r="G99"/>
  <c r="F99"/>
  <c r="E97"/>
  <c r="L98"/>
  <c r="G98"/>
  <c r="F98"/>
  <c r="O97"/>
  <c r="K97"/>
  <c r="H97"/>
  <c r="Q96"/>
  <c r="P96"/>
  <c r="N96"/>
  <c r="L96"/>
  <c r="J96"/>
  <c r="I96"/>
  <c r="G96"/>
  <c r="F96"/>
  <c r="P94"/>
  <c r="N94"/>
  <c r="L94"/>
  <c r="J94"/>
  <c r="I94"/>
  <c r="G94"/>
  <c r="F94"/>
  <c r="P93"/>
  <c r="L93"/>
  <c r="J93"/>
  <c r="I93"/>
  <c r="G93"/>
  <c r="F93"/>
  <c r="Q92"/>
  <c r="P92"/>
  <c r="N92"/>
  <c r="L92"/>
  <c r="J92"/>
  <c r="I92"/>
  <c r="G92"/>
  <c r="F92"/>
  <c r="E91"/>
  <c r="O91"/>
  <c r="K91"/>
  <c r="H91"/>
  <c r="M89"/>
  <c r="R89" s="1"/>
  <c r="Q88"/>
  <c r="P88"/>
  <c r="N88"/>
  <c r="L88"/>
  <c r="J88"/>
  <c r="H88"/>
  <c r="G88"/>
  <c r="F88"/>
  <c r="Q87"/>
  <c r="P87"/>
  <c r="N87"/>
  <c r="L87"/>
  <c r="J87"/>
  <c r="G87"/>
  <c r="F87"/>
  <c r="E87"/>
  <c r="D87"/>
  <c r="M86"/>
  <c r="R86" s="1"/>
  <c r="M85"/>
  <c r="I85"/>
  <c r="Q84"/>
  <c r="P84"/>
  <c r="P81" s="1"/>
  <c r="N84"/>
  <c r="N81" s="1"/>
  <c r="L84"/>
  <c r="L81" s="1"/>
  <c r="J84"/>
  <c r="H84"/>
  <c r="H81" s="1"/>
  <c r="G84"/>
  <c r="G81" s="1"/>
  <c r="F84"/>
  <c r="F81" s="1"/>
  <c r="E84"/>
  <c r="E81" s="1"/>
  <c r="D81"/>
  <c r="M83"/>
  <c r="I83"/>
  <c r="M82"/>
  <c r="R82" s="1"/>
  <c r="Q81"/>
  <c r="K81"/>
  <c r="Q80"/>
  <c r="P80"/>
  <c r="N80"/>
  <c r="L80"/>
  <c r="I80"/>
  <c r="G80"/>
  <c r="F80"/>
  <c r="D80"/>
  <c r="Q79"/>
  <c r="P79"/>
  <c r="O79"/>
  <c r="M79"/>
  <c r="G79"/>
  <c r="F79"/>
  <c r="Q78"/>
  <c r="P78"/>
  <c r="N78"/>
  <c r="L78"/>
  <c r="J78"/>
  <c r="I78"/>
  <c r="G78"/>
  <c r="F78"/>
  <c r="Q77"/>
  <c r="P77"/>
  <c r="N77"/>
  <c r="L77"/>
  <c r="J77"/>
  <c r="I77"/>
  <c r="G77"/>
  <c r="F77"/>
  <c r="Q76"/>
  <c r="P76"/>
  <c r="N76"/>
  <c r="L76"/>
  <c r="J76"/>
  <c r="G76"/>
  <c r="F76"/>
  <c r="Q75"/>
  <c r="P75"/>
  <c r="N75"/>
  <c r="L75"/>
  <c r="M75" s="1"/>
  <c r="G75"/>
  <c r="F75"/>
  <c r="Q73"/>
  <c r="P73"/>
  <c r="L73"/>
  <c r="G73"/>
  <c r="F73"/>
  <c r="P72"/>
  <c r="L72"/>
  <c r="I72"/>
  <c r="G72"/>
  <c r="F72"/>
  <c r="P71"/>
  <c r="L71"/>
  <c r="I71"/>
  <c r="G71"/>
  <c r="F71"/>
  <c r="P70"/>
  <c r="L70"/>
  <c r="M70" s="1"/>
  <c r="I70"/>
  <c r="G70"/>
  <c r="F70"/>
  <c r="P69"/>
  <c r="L69"/>
  <c r="M69" s="1"/>
  <c r="I69"/>
  <c r="G69"/>
  <c r="F69"/>
  <c r="P68"/>
  <c r="L68"/>
  <c r="M68" s="1"/>
  <c r="I68"/>
  <c r="G68"/>
  <c r="M67"/>
  <c r="R67" s="1"/>
  <c r="G67"/>
  <c r="P66"/>
  <c r="L66"/>
  <c r="M66" s="1"/>
  <c r="I66"/>
  <c r="G66"/>
  <c r="F66"/>
  <c r="P65"/>
  <c r="L65"/>
  <c r="I65"/>
  <c r="G65"/>
  <c r="F65"/>
  <c r="P64"/>
  <c r="L64"/>
  <c r="I64"/>
  <c r="G64"/>
  <c r="F64"/>
  <c r="P63"/>
  <c r="L63"/>
  <c r="I63"/>
  <c r="G63"/>
  <c r="F63"/>
  <c r="P62"/>
  <c r="M62"/>
  <c r="I62"/>
  <c r="G62"/>
  <c r="F62"/>
  <c r="P61"/>
  <c r="L61"/>
  <c r="M61" s="1"/>
  <c r="I61"/>
  <c r="G61"/>
  <c r="F61"/>
  <c r="P60"/>
  <c r="L60"/>
  <c r="I60"/>
  <c r="G60"/>
  <c r="F60"/>
  <c r="P59"/>
  <c r="M59"/>
  <c r="I59"/>
  <c r="G59"/>
  <c r="P58"/>
  <c r="L58"/>
  <c r="M58" s="1"/>
  <c r="I58"/>
  <c r="G58"/>
  <c r="F58"/>
  <c r="P57"/>
  <c r="L57"/>
  <c r="M57" s="1"/>
  <c r="I57"/>
  <c r="G57"/>
  <c r="F57"/>
  <c r="A57"/>
  <c r="P56"/>
  <c r="L56"/>
  <c r="M56" s="1"/>
  <c r="I56"/>
  <c r="G56"/>
  <c r="F56"/>
  <c r="P55"/>
  <c r="L55"/>
  <c r="M55" s="1"/>
  <c r="I55"/>
  <c r="G55"/>
  <c r="F55"/>
  <c r="P54"/>
  <c r="L54"/>
  <c r="M54" s="1"/>
  <c r="I54"/>
  <c r="G54"/>
  <c r="F54"/>
  <c r="P52"/>
  <c r="N52"/>
  <c r="L52"/>
  <c r="M52" s="1"/>
  <c r="I52"/>
  <c r="G52"/>
  <c r="F52"/>
  <c r="P51"/>
  <c r="N51"/>
  <c r="L51"/>
  <c r="M51" s="1"/>
  <c r="I51"/>
  <c r="G51"/>
  <c r="F51"/>
  <c r="P50"/>
  <c r="N50"/>
  <c r="L50"/>
  <c r="M50" s="1"/>
  <c r="I50"/>
  <c r="G50"/>
  <c r="F50"/>
  <c r="P49"/>
  <c r="I49"/>
  <c r="G49"/>
  <c r="F49"/>
  <c r="Q48"/>
  <c r="P48"/>
  <c r="N48"/>
  <c r="L48"/>
  <c r="M48" s="1"/>
  <c r="I48"/>
  <c r="G48"/>
  <c r="F48"/>
  <c r="Q47"/>
  <c r="P47"/>
  <c r="N47"/>
  <c r="G47"/>
  <c r="F47"/>
  <c r="Q46"/>
  <c r="P46"/>
  <c r="N46"/>
  <c r="L46"/>
  <c r="J46"/>
  <c r="I46"/>
  <c r="G46"/>
  <c r="F46"/>
  <c r="Q45"/>
  <c r="P45"/>
  <c r="N45"/>
  <c r="L45"/>
  <c r="M45" s="1"/>
  <c r="I45"/>
  <c r="G45"/>
  <c r="F45"/>
  <c r="O44"/>
  <c r="O39" s="1"/>
  <c r="N44"/>
  <c r="L44"/>
  <c r="K44"/>
  <c r="K39" s="1"/>
  <c r="J44"/>
  <c r="J39" s="1"/>
  <c r="P43"/>
  <c r="L43"/>
  <c r="M43" s="1"/>
  <c r="R43" s="1"/>
  <c r="G43"/>
  <c r="F43"/>
  <c r="Q40"/>
  <c r="P40"/>
  <c r="N40"/>
  <c r="L40"/>
  <c r="M40" s="1"/>
  <c r="I40"/>
  <c r="H40"/>
  <c r="G40"/>
  <c r="F40"/>
  <c r="M38"/>
  <c r="R38" s="1"/>
  <c r="P37"/>
  <c r="N37"/>
  <c r="K37"/>
  <c r="M37" s="1"/>
  <c r="I37"/>
  <c r="G37"/>
  <c r="E37"/>
  <c r="D37"/>
  <c r="Q36"/>
  <c r="P36"/>
  <c r="N36"/>
  <c r="L36"/>
  <c r="I36"/>
  <c r="G36"/>
  <c r="F36"/>
  <c r="E36"/>
  <c r="D36"/>
  <c r="L35"/>
  <c r="K35"/>
  <c r="I35"/>
  <c r="E35"/>
  <c r="Q34"/>
  <c r="P34"/>
  <c r="N34"/>
  <c r="L34"/>
  <c r="M34" s="1"/>
  <c r="I34"/>
  <c r="G34"/>
  <c r="F34"/>
  <c r="E34"/>
  <c r="Q33"/>
  <c r="P33"/>
  <c r="N33"/>
  <c r="L33"/>
  <c r="M33" s="1"/>
  <c r="I33"/>
  <c r="G33"/>
  <c r="F33"/>
  <c r="E33"/>
  <c r="Q32"/>
  <c r="P32"/>
  <c r="N32"/>
  <c r="L32"/>
  <c r="M32" s="1"/>
  <c r="I32"/>
  <c r="G32"/>
  <c r="F32"/>
  <c r="E32"/>
  <c r="Q31"/>
  <c r="P31"/>
  <c r="N31"/>
  <c r="M31"/>
  <c r="I31"/>
  <c r="G31"/>
  <c r="F31"/>
  <c r="E31"/>
  <c r="L30"/>
  <c r="Q29"/>
  <c r="P29"/>
  <c r="N29"/>
  <c r="L29"/>
  <c r="M29" s="1"/>
  <c r="I29"/>
  <c r="G29"/>
  <c r="F29"/>
  <c r="E29"/>
  <c r="P28"/>
  <c r="O28"/>
  <c r="M28"/>
  <c r="I28"/>
  <c r="G28"/>
  <c r="E28"/>
  <c r="Q27"/>
  <c r="P27"/>
  <c r="O27"/>
  <c r="N27"/>
  <c r="L27"/>
  <c r="G27"/>
  <c r="F27"/>
  <c r="E27"/>
  <c r="Q26"/>
  <c r="P26"/>
  <c r="O26"/>
  <c r="M26"/>
  <c r="I26"/>
  <c r="G26"/>
  <c r="F26"/>
  <c r="E26"/>
  <c r="Q25"/>
  <c r="P25"/>
  <c r="O25"/>
  <c r="M25"/>
  <c r="I25"/>
  <c r="G25"/>
  <c r="F25"/>
  <c r="E25"/>
  <c r="Q24"/>
  <c r="P24"/>
  <c r="L24"/>
  <c r="M24" s="1"/>
  <c r="I24"/>
  <c r="G24"/>
  <c r="F24"/>
  <c r="E24"/>
  <c r="Q23"/>
  <c r="P23"/>
  <c r="N23"/>
  <c r="L23"/>
  <c r="I23"/>
  <c r="G23"/>
  <c r="F23"/>
  <c r="E23"/>
  <c r="Q21"/>
  <c r="P21"/>
  <c r="N21"/>
  <c r="L21"/>
  <c r="M21" s="1"/>
  <c r="I21"/>
  <c r="G21"/>
  <c r="F21"/>
  <c r="Q20"/>
  <c r="L20"/>
  <c r="M20" s="1"/>
  <c r="I20"/>
  <c r="H20"/>
  <c r="G20"/>
  <c r="F20"/>
  <c r="E20"/>
  <c r="Q19"/>
  <c r="L19"/>
  <c r="M19" s="1"/>
  <c r="H19"/>
  <c r="G19"/>
  <c r="F19"/>
  <c r="E19"/>
  <c r="Q18"/>
  <c r="L18"/>
  <c r="M18" s="1"/>
  <c r="I18"/>
  <c r="H18"/>
  <c r="G18"/>
  <c r="F18"/>
  <c r="E18"/>
  <c r="P17"/>
  <c r="O17"/>
  <c r="N17"/>
  <c r="K17"/>
  <c r="J17"/>
  <c r="Q16"/>
  <c r="Q14" s="1"/>
  <c r="P16"/>
  <c r="N16"/>
  <c r="L16"/>
  <c r="K16"/>
  <c r="K14" s="1"/>
  <c r="I16"/>
  <c r="I14" s="1"/>
  <c r="H16"/>
  <c r="G16"/>
  <c r="F16"/>
  <c r="E16"/>
  <c r="P15"/>
  <c r="O15"/>
  <c r="O14" s="1"/>
  <c r="N15"/>
  <c r="L15"/>
  <c r="M15" s="1"/>
  <c r="H15"/>
  <c r="G15"/>
  <c r="F15"/>
  <c r="F14" s="1"/>
  <c r="E15"/>
  <c r="J14"/>
  <c r="D14"/>
  <c r="M13"/>
  <c r="I13"/>
  <c r="G13"/>
  <c r="L11"/>
  <c r="J11"/>
  <c r="I11"/>
  <c r="G11"/>
  <c r="F11"/>
  <c r="Q10"/>
  <c r="N10"/>
  <c r="N8" s="1"/>
  <c r="N6" s="1"/>
  <c r="L10"/>
  <c r="L8" s="1"/>
  <c r="J10"/>
  <c r="I10"/>
  <c r="G10"/>
  <c r="F10"/>
  <c r="E10"/>
  <c r="Q9"/>
  <c r="J9"/>
  <c r="M9" s="1"/>
  <c r="I9"/>
  <c r="G9"/>
  <c r="F9"/>
  <c r="P8"/>
  <c r="O8"/>
  <c r="O6" s="1"/>
  <c r="K8"/>
  <c r="E8"/>
  <c r="E6" s="1"/>
  <c r="C6"/>
  <c r="Q7"/>
  <c r="P7"/>
  <c r="L7"/>
  <c r="I7"/>
  <c r="G7"/>
  <c r="P97" l="1"/>
  <c r="J97"/>
  <c r="R55"/>
  <c r="R58"/>
  <c r="R59"/>
  <c r="Q91"/>
  <c r="O22"/>
  <c r="O12" s="1"/>
  <c r="F91"/>
  <c r="N118"/>
  <c r="R122"/>
  <c r="J91"/>
  <c r="R138"/>
  <c r="F22"/>
  <c r="I22"/>
  <c r="M93"/>
  <c r="R93" s="1"/>
  <c r="Q39"/>
  <c r="P14"/>
  <c r="I17"/>
  <c r="R24"/>
  <c r="F97"/>
  <c r="N97"/>
  <c r="L114"/>
  <c r="M114" s="1"/>
  <c r="R114" s="1"/>
  <c r="G17"/>
  <c r="N22"/>
  <c r="R37"/>
  <c r="R99"/>
  <c r="R101"/>
  <c r="R136"/>
  <c r="G39"/>
  <c r="N39"/>
  <c r="L97"/>
  <c r="Q97"/>
  <c r="Q110"/>
  <c r="F118"/>
  <c r="I25" i="30"/>
  <c r="P118" i="29"/>
  <c r="N14"/>
  <c r="K22"/>
  <c r="K12" s="1"/>
  <c r="R62"/>
  <c r="R66"/>
  <c r="R133"/>
  <c r="I39"/>
  <c r="R69"/>
  <c r="R79"/>
  <c r="G97"/>
  <c r="R100"/>
  <c r="R104"/>
  <c r="R132"/>
  <c r="L39"/>
  <c r="R47"/>
  <c r="R49"/>
  <c r="L91"/>
  <c r="G118"/>
  <c r="R124"/>
  <c r="R131"/>
  <c r="P6"/>
  <c r="R13"/>
  <c r="R56"/>
  <c r="P22"/>
  <c r="M78"/>
  <c r="R78" s="1"/>
  <c r="R85"/>
  <c r="M10"/>
  <c r="R10" s="1"/>
  <c r="R119"/>
  <c r="R18"/>
  <c r="M46"/>
  <c r="E14"/>
  <c r="R15"/>
  <c r="D22"/>
  <c r="D39"/>
  <c r="R19"/>
  <c r="E22"/>
  <c r="Q22"/>
  <c r="R25"/>
  <c r="R26"/>
  <c r="R28"/>
  <c r="F39"/>
  <c r="M44"/>
  <c r="R44" s="1"/>
  <c r="R51"/>
  <c r="R54"/>
  <c r="R57"/>
  <c r="R103"/>
  <c r="K110"/>
  <c r="R112"/>
  <c r="R115"/>
  <c r="R130"/>
  <c r="I91"/>
  <c r="L6"/>
  <c r="R9"/>
  <c r="Q17"/>
  <c r="R21"/>
  <c r="R31"/>
  <c r="R32"/>
  <c r="R33"/>
  <c r="R34"/>
  <c r="M35"/>
  <c r="R35" s="1"/>
  <c r="R45"/>
  <c r="R48"/>
  <c r="R61"/>
  <c r="R68"/>
  <c r="P91"/>
  <c r="H39"/>
  <c r="R40"/>
  <c r="I81"/>
  <c r="R83"/>
  <c r="G8"/>
  <c r="G6" s="1"/>
  <c r="R20"/>
  <c r="G22"/>
  <c r="R29"/>
  <c r="R46"/>
  <c r="R50"/>
  <c r="R52"/>
  <c r="R75"/>
  <c r="M107"/>
  <c r="R107" s="1"/>
  <c r="R128"/>
  <c r="R70"/>
  <c r="M77"/>
  <c r="R77" s="1"/>
  <c r="M73"/>
  <c r="R73" s="1"/>
  <c r="M72"/>
  <c r="R72" s="1"/>
  <c r="M7"/>
  <c r="R7" s="1"/>
  <c r="F8"/>
  <c r="F6" s="1"/>
  <c r="M76"/>
  <c r="R76" s="1"/>
  <c r="M94"/>
  <c r="R94" s="1"/>
  <c r="N91"/>
  <c r="M125"/>
  <c r="R125" s="1"/>
  <c r="P39"/>
  <c r="P12" s="1"/>
  <c r="M96"/>
  <c r="R96" s="1"/>
  <c r="M126"/>
  <c r="R126" s="1"/>
  <c r="H14"/>
  <c r="M23"/>
  <c r="R23" s="1"/>
  <c r="M105"/>
  <c r="R105" s="1"/>
  <c r="M108"/>
  <c r="R108" s="1"/>
  <c r="M109"/>
  <c r="R109" s="1"/>
  <c r="M11"/>
  <c r="E17"/>
  <c r="M60"/>
  <c r="R60" s="1"/>
  <c r="I8"/>
  <c r="I6" s="1"/>
  <c r="J22"/>
  <c r="J12" s="1"/>
  <c r="M84"/>
  <c r="R84" s="1"/>
  <c r="M87"/>
  <c r="R87" s="1"/>
  <c r="M106"/>
  <c r="R106" s="1"/>
  <c r="P110"/>
  <c r="M123"/>
  <c r="R123" s="1"/>
  <c r="M36"/>
  <c r="R36" s="1"/>
  <c r="M88"/>
  <c r="R88" s="1"/>
  <c r="N110"/>
  <c r="H25" i="30"/>
  <c r="Q8" i="29"/>
  <c r="Q6" s="1"/>
  <c r="M63"/>
  <c r="R63" s="1"/>
  <c r="M64"/>
  <c r="R64" s="1"/>
  <c r="M65"/>
  <c r="R65" s="1"/>
  <c r="M71"/>
  <c r="R71" s="1"/>
  <c r="G91"/>
  <c r="L118"/>
  <c r="L17"/>
  <c r="H17"/>
  <c r="M80"/>
  <c r="R80" s="1"/>
  <c r="M92"/>
  <c r="R92" s="1"/>
  <c r="M98"/>
  <c r="R98" s="1"/>
  <c r="M102"/>
  <c r="R102" s="1"/>
  <c r="M120"/>
  <c r="R120" s="1"/>
  <c r="J8"/>
  <c r="J6" s="1"/>
  <c r="D8"/>
  <c r="H8"/>
  <c r="H6" s="1"/>
  <c r="R11"/>
  <c r="G14"/>
  <c r="M16"/>
  <c r="R16" s="1"/>
  <c r="M17"/>
  <c r="L22"/>
  <c r="M30"/>
  <c r="R30" s="1"/>
  <c r="D97"/>
  <c r="M111"/>
  <c r="R111" s="1"/>
  <c r="Q118"/>
  <c r="F17"/>
  <c r="M27"/>
  <c r="R27" s="1"/>
  <c r="M121"/>
  <c r="R121" s="1"/>
  <c r="M129"/>
  <c r="R129" s="1"/>
  <c r="C81"/>
  <c r="L14"/>
  <c r="D17"/>
  <c r="D12" s="1"/>
  <c r="J81"/>
  <c r="M81" s="1"/>
  <c r="M113"/>
  <c r="R113" s="1"/>
  <c r="D118"/>
  <c r="H118"/>
  <c r="D91"/>
  <c r="I12" l="1"/>
  <c r="I5" s="1"/>
  <c r="I139" s="1"/>
  <c r="L110"/>
  <c r="M91"/>
  <c r="R91" s="1"/>
  <c r="G12"/>
  <c r="G5" s="1"/>
  <c r="G139" s="1"/>
  <c r="N12"/>
  <c r="N5" s="1"/>
  <c r="Q12"/>
  <c r="Q5" s="1"/>
  <c r="Q139" s="1"/>
  <c r="F12"/>
  <c r="F5" s="1"/>
  <c r="F139" s="1"/>
  <c r="P5"/>
  <c r="P139" s="1"/>
  <c r="R81"/>
  <c r="M97"/>
  <c r="R97" s="1"/>
  <c r="K5"/>
  <c r="K139" s="1"/>
  <c r="R17"/>
  <c r="M39"/>
  <c r="E12"/>
  <c r="E5" s="1"/>
  <c r="E139" s="1"/>
  <c r="J5"/>
  <c r="D6"/>
  <c r="D5" s="1"/>
  <c r="D139" s="1"/>
  <c r="H12"/>
  <c r="H5" s="1"/>
  <c r="H139" s="1"/>
  <c r="O5"/>
  <c r="O139" s="1"/>
  <c r="M118"/>
  <c r="R118" s="1"/>
  <c r="N139"/>
  <c r="L12"/>
  <c r="M22"/>
  <c r="R22" s="1"/>
  <c r="C97"/>
  <c r="M8"/>
  <c r="R8" s="1"/>
  <c r="M6"/>
  <c r="C91"/>
  <c r="M14"/>
  <c r="R14" s="1"/>
  <c r="C118"/>
  <c r="M110"/>
  <c r="R110" s="1"/>
  <c r="R6" l="1"/>
  <c r="M12"/>
  <c r="R12" s="1"/>
  <c r="L5"/>
  <c r="L139" s="1"/>
  <c r="R39"/>
  <c r="C5"/>
  <c r="J139"/>
  <c r="M5" l="1"/>
  <c r="R5" s="1"/>
  <c r="M139"/>
  <c r="C139" l="1"/>
  <c r="R139" l="1"/>
  <c r="R146" s="1"/>
  <c r="J6" i="28"/>
  <c r="J7"/>
  <c r="J8"/>
  <c r="J9"/>
  <c r="J10"/>
  <c r="J11"/>
  <c r="J12"/>
  <c r="J13"/>
  <c r="J14"/>
  <c r="J15"/>
  <c r="J16"/>
  <c r="J18"/>
  <c r="J19"/>
  <c r="J20"/>
  <c r="J21"/>
  <c r="J22"/>
  <c r="J23"/>
  <c r="J24"/>
  <c r="J25"/>
  <c r="J26"/>
  <c r="J27"/>
  <c r="J28"/>
  <c r="J29"/>
  <c r="J30"/>
  <c r="J31"/>
  <c r="J32"/>
  <c r="J33"/>
  <c r="J34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7"/>
  <c r="J78"/>
  <c r="J79"/>
  <c r="J80"/>
  <c r="J81"/>
  <c r="J82"/>
  <c r="J83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20"/>
  <c r="J121"/>
  <c r="I6"/>
  <c r="I7"/>
  <c r="I9"/>
  <c r="I10"/>
  <c r="I12"/>
  <c r="I13"/>
  <c r="I14"/>
  <c r="I15"/>
  <c r="I16"/>
  <c r="I18"/>
  <c r="I19"/>
  <c r="I20"/>
  <c r="I21"/>
  <c r="I22"/>
  <c r="I23"/>
  <c r="I24"/>
  <c r="I25"/>
  <c r="I27"/>
  <c r="I28"/>
  <c r="I29"/>
  <c r="I30"/>
  <c r="I31"/>
  <c r="I32"/>
  <c r="I33"/>
  <c r="I34"/>
  <c r="I37"/>
  <c r="I38"/>
  <c r="I39"/>
  <c r="I40"/>
  <c r="I41"/>
  <c r="I42"/>
  <c r="I43"/>
  <c r="I44"/>
  <c r="I46"/>
  <c r="I47"/>
  <c r="I48"/>
  <c r="I49"/>
  <c r="I50"/>
  <c r="I52"/>
  <c r="I53"/>
  <c r="I54"/>
  <c r="I55"/>
  <c r="I56"/>
  <c r="I57"/>
  <c r="I58"/>
  <c r="I60"/>
  <c r="I61"/>
  <c r="I63"/>
  <c r="I64"/>
  <c r="I65"/>
  <c r="I66"/>
  <c r="I67"/>
  <c r="I68"/>
  <c r="I69"/>
  <c r="I72"/>
  <c r="I73"/>
  <c r="I74"/>
  <c r="I78"/>
  <c r="I80"/>
  <c r="I81"/>
  <c r="I83"/>
  <c r="I85"/>
  <c r="I86"/>
  <c r="I87"/>
  <c r="I88"/>
  <c r="I90"/>
  <c r="I92"/>
  <c r="I93"/>
  <c r="I94"/>
  <c r="I95"/>
  <c r="I96"/>
  <c r="I101"/>
  <c r="I102"/>
  <c r="I103"/>
  <c r="I106"/>
  <c r="I108"/>
  <c r="I109"/>
  <c r="I110"/>
  <c r="I111"/>
  <c r="I112"/>
  <c r="I113"/>
  <c r="I115"/>
  <c r="I120"/>
  <c r="I121"/>
  <c r="H76"/>
  <c r="F84"/>
  <c r="G84"/>
  <c r="H84"/>
  <c r="E84"/>
  <c r="F35"/>
  <c r="G35"/>
  <c r="H35"/>
  <c r="F36"/>
  <c r="G36"/>
  <c r="H36"/>
  <c r="E36"/>
  <c r="E35"/>
  <c r="F17"/>
  <c r="G17"/>
  <c r="H17"/>
  <c r="G5"/>
  <c r="H5"/>
  <c r="F5"/>
  <c r="J17" l="1"/>
  <c r="I84"/>
  <c r="I35"/>
  <c r="J84"/>
  <c r="J36"/>
  <c r="J35"/>
  <c r="I36"/>
  <c r="I17"/>
  <c r="H119"/>
  <c r="H122" s="1"/>
  <c r="I5"/>
  <c r="G76"/>
  <c r="J76" s="1"/>
  <c r="F76"/>
  <c r="I76" s="1"/>
  <c r="E76"/>
  <c r="E17"/>
  <c r="E5"/>
  <c r="E119" l="1"/>
  <c r="E122" s="1"/>
  <c r="F119"/>
  <c r="I119" s="1"/>
  <c r="J5"/>
  <c r="G119"/>
  <c r="J119" s="1"/>
  <c r="G122" l="1"/>
  <c r="J122" s="1"/>
  <c r="F122" l="1"/>
  <c r="I122" s="1"/>
  <c r="H60" i="22" l="1"/>
  <c r="G60"/>
  <c r="H80"/>
  <c r="H81"/>
  <c r="G80"/>
  <c r="G81"/>
  <c r="H88"/>
  <c r="H89"/>
  <c r="G88"/>
  <c r="G89"/>
  <c r="H93"/>
  <c r="H92"/>
  <c r="G93"/>
  <c r="G92"/>
  <c r="E67"/>
  <c r="E91"/>
  <c r="F67"/>
  <c r="F98" s="1"/>
  <c r="F99" s="1"/>
  <c r="F58"/>
  <c r="F91"/>
  <c r="H85"/>
  <c r="G85"/>
  <c r="D85"/>
  <c r="H82"/>
  <c r="G82"/>
  <c r="D82"/>
  <c r="D89"/>
  <c r="D88"/>
  <c r="H90"/>
  <c r="G90"/>
  <c r="D90"/>
  <c r="H86"/>
  <c r="G86"/>
  <c r="D86"/>
  <c r="H84"/>
  <c r="G84"/>
  <c r="D84"/>
  <c r="D80"/>
  <c r="D81"/>
  <c r="H79"/>
  <c r="G79"/>
  <c r="D79"/>
  <c r="H78"/>
  <c r="G78"/>
  <c r="D78"/>
  <c r="H77"/>
  <c r="G77"/>
  <c r="D77"/>
  <c r="H76"/>
  <c r="G76"/>
  <c r="D76"/>
  <c r="H75"/>
  <c r="G75"/>
  <c r="D75"/>
  <c r="H74"/>
  <c r="G74"/>
  <c r="D74"/>
  <c r="H68"/>
  <c r="G68"/>
  <c r="D68"/>
  <c r="H69"/>
  <c r="G69"/>
  <c r="D69"/>
  <c r="H13"/>
  <c r="F11"/>
  <c r="D71" l="1"/>
  <c r="D72"/>
  <c r="D73"/>
  <c r="D83"/>
  <c r="D87"/>
  <c r="D93"/>
  <c r="D56"/>
  <c r="D57"/>
  <c r="C58"/>
  <c r="C91"/>
  <c r="D91" s="1"/>
  <c r="N38" i="26" l="1"/>
  <c r="L38"/>
  <c r="F38"/>
  <c r="N37"/>
  <c r="M37"/>
  <c r="L37"/>
  <c r="G37"/>
  <c r="F37"/>
  <c r="N36"/>
  <c r="K36"/>
  <c r="L36" s="1"/>
  <c r="E36"/>
  <c r="F36" s="1"/>
  <c r="K35"/>
  <c r="N35" s="1"/>
  <c r="E35"/>
  <c r="H35" s="1"/>
  <c r="N34"/>
  <c r="M34"/>
  <c r="L34"/>
  <c r="H34"/>
  <c r="G34"/>
  <c r="F34"/>
  <c r="E34"/>
  <c r="N33"/>
  <c r="M33"/>
  <c r="L33"/>
  <c r="H33"/>
  <c r="G33"/>
  <c r="F33"/>
  <c r="O32"/>
  <c r="M32"/>
  <c r="L32"/>
  <c r="K32"/>
  <c r="N32" s="1"/>
  <c r="J32"/>
  <c r="I32"/>
  <c r="H32"/>
  <c r="E32"/>
  <c r="F32" s="1"/>
  <c r="D32"/>
  <c r="D23" s="1"/>
  <c r="C32"/>
  <c r="B32"/>
  <c r="N31"/>
  <c r="L31"/>
  <c r="E31"/>
  <c r="F31" s="1"/>
  <c r="N30"/>
  <c r="M30"/>
  <c r="L30"/>
  <c r="H30"/>
  <c r="G30"/>
  <c r="F30"/>
  <c r="O29"/>
  <c r="L29"/>
  <c r="K29"/>
  <c r="N29" s="1"/>
  <c r="J29"/>
  <c r="I29"/>
  <c r="D29"/>
  <c r="C29"/>
  <c r="B29"/>
  <c r="L28"/>
  <c r="K28"/>
  <c r="M28" s="1"/>
  <c r="F28"/>
  <c r="E28"/>
  <c r="G28" s="1"/>
  <c r="O27"/>
  <c r="J27"/>
  <c r="I27"/>
  <c r="E27"/>
  <c r="F27" s="1"/>
  <c r="D27"/>
  <c r="C27"/>
  <c r="B27"/>
  <c r="N26"/>
  <c r="M26"/>
  <c r="K26"/>
  <c r="L26" s="1"/>
  <c r="H26"/>
  <c r="G26"/>
  <c r="E26"/>
  <c r="F26" s="1"/>
  <c r="N25"/>
  <c r="M25"/>
  <c r="K25"/>
  <c r="L25" s="1"/>
  <c r="H25"/>
  <c r="H24" s="1"/>
  <c r="G25"/>
  <c r="E25"/>
  <c r="F25" s="1"/>
  <c r="O24"/>
  <c r="O23" s="1"/>
  <c r="K24"/>
  <c r="L24" s="1"/>
  <c r="J24"/>
  <c r="J23" s="1"/>
  <c r="I24"/>
  <c r="D24"/>
  <c r="C24"/>
  <c r="C23" s="1"/>
  <c r="B24"/>
  <c r="B23" s="1"/>
  <c r="I23"/>
  <c r="N22"/>
  <c r="M22"/>
  <c r="K22"/>
  <c r="L22" s="1"/>
  <c r="H22"/>
  <c r="G22"/>
  <c r="E22"/>
  <c r="F22" s="1"/>
  <c r="N21"/>
  <c r="M21"/>
  <c r="K21"/>
  <c r="L21" s="1"/>
  <c r="L19" s="1"/>
  <c r="H21"/>
  <c r="G21"/>
  <c r="E21"/>
  <c r="F21" s="1"/>
  <c r="N20"/>
  <c r="L20"/>
  <c r="K20"/>
  <c r="H20"/>
  <c r="G20"/>
  <c r="F20"/>
  <c r="E20"/>
  <c r="J19"/>
  <c r="I19"/>
  <c r="I17" s="1"/>
  <c r="E19"/>
  <c r="F19" s="1"/>
  <c r="D19"/>
  <c r="D17" s="1"/>
  <c r="D8" s="1"/>
  <c r="D39" s="1"/>
  <c r="C19"/>
  <c r="B19"/>
  <c r="N18"/>
  <c r="M18"/>
  <c r="K18"/>
  <c r="L18" s="1"/>
  <c r="H18"/>
  <c r="G18"/>
  <c r="E18"/>
  <c r="F18" s="1"/>
  <c r="O17"/>
  <c r="O8" s="1"/>
  <c r="J17"/>
  <c r="C17"/>
  <c r="C8" s="1"/>
  <c r="B17"/>
  <c r="N16"/>
  <c r="M16"/>
  <c r="L16"/>
  <c r="E16"/>
  <c r="F16" s="1"/>
  <c r="N15"/>
  <c r="K15"/>
  <c r="L15" s="1"/>
  <c r="N14"/>
  <c r="M14"/>
  <c r="L14"/>
  <c r="K14"/>
  <c r="H14"/>
  <c r="G14"/>
  <c r="F14"/>
  <c r="E14"/>
  <c r="L13"/>
  <c r="K13"/>
  <c r="M13" s="1"/>
  <c r="E13"/>
  <c r="F13" s="1"/>
  <c r="O12"/>
  <c r="L12"/>
  <c r="K12"/>
  <c r="M12" s="1"/>
  <c r="J12"/>
  <c r="I12"/>
  <c r="D12"/>
  <c r="C12"/>
  <c r="B12"/>
  <c r="N11"/>
  <c r="M11"/>
  <c r="L11"/>
  <c r="K11"/>
  <c r="H11"/>
  <c r="G11"/>
  <c r="F11"/>
  <c r="E11"/>
  <c r="N10"/>
  <c r="M10"/>
  <c r="L10"/>
  <c r="K10"/>
  <c r="H10"/>
  <c r="G10"/>
  <c r="F10"/>
  <c r="E10"/>
  <c r="O9"/>
  <c r="N9"/>
  <c r="K9"/>
  <c r="L9" s="1"/>
  <c r="J9"/>
  <c r="J8" s="1"/>
  <c r="I9"/>
  <c r="I8" s="1"/>
  <c r="I39" s="1"/>
  <c r="F9"/>
  <c r="E9"/>
  <c r="G9" s="1"/>
  <c r="D9"/>
  <c r="C9"/>
  <c r="B9"/>
  <c r="B8" s="1"/>
  <c r="B39" s="1"/>
  <c r="J39" l="1"/>
  <c r="O39"/>
  <c r="F24"/>
  <c r="C39"/>
  <c r="H16"/>
  <c r="H19"/>
  <c r="N24"/>
  <c r="H27"/>
  <c r="M9"/>
  <c r="H31"/>
  <c r="G32"/>
  <c r="G35"/>
  <c r="M35"/>
  <c r="H9"/>
  <c r="N12"/>
  <c r="G13"/>
  <c r="E15"/>
  <c r="G16"/>
  <c r="E17"/>
  <c r="G19"/>
  <c r="K19"/>
  <c r="E24"/>
  <c r="M24"/>
  <c r="G27"/>
  <c r="K27"/>
  <c r="H28"/>
  <c r="N28"/>
  <c r="E29"/>
  <c r="F35"/>
  <c r="L35"/>
  <c r="E12"/>
  <c r="H12" l="1"/>
  <c r="F12"/>
  <c r="G12"/>
  <c r="H29"/>
  <c r="F29"/>
  <c r="M19"/>
  <c r="K17"/>
  <c r="N19"/>
  <c r="H15"/>
  <c r="F15"/>
  <c r="M27"/>
  <c r="N27"/>
  <c r="L27"/>
  <c r="G24"/>
  <c r="E23"/>
  <c r="G17"/>
  <c r="H17"/>
  <c r="F17"/>
  <c r="K23"/>
  <c r="E8"/>
  <c r="CK53" i="18"/>
  <c r="BQ57"/>
  <c r="AS57"/>
  <c r="AO57"/>
  <c r="AK57"/>
  <c r="AC57"/>
  <c r="Y57"/>
  <c r="U57"/>
  <c r="Q57"/>
  <c r="I57"/>
  <c r="M57"/>
  <c r="M23" i="26" l="1"/>
  <c r="N23"/>
  <c r="L23"/>
  <c r="F23"/>
  <c r="G23"/>
  <c r="H23"/>
  <c r="L17"/>
  <c r="M17"/>
  <c r="K8"/>
  <c r="N17"/>
  <c r="H8"/>
  <c r="E39"/>
  <c r="G8"/>
  <c r="F8"/>
  <c r="G7" i="22"/>
  <c r="G9"/>
  <c r="G10"/>
  <c r="G12"/>
  <c r="G14"/>
  <c r="G15"/>
  <c r="G17"/>
  <c r="G19"/>
  <c r="G20"/>
  <c r="G23"/>
  <c r="G24"/>
  <c r="G25"/>
  <c r="G29"/>
  <c r="G31"/>
  <c r="G33"/>
  <c r="G37"/>
  <c r="G38"/>
  <c r="G39"/>
  <c r="G40"/>
  <c r="G41"/>
  <c r="G42"/>
  <c r="G43"/>
  <c r="G44"/>
  <c r="G45"/>
  <c r="G46"/>
  <c r="G47"/>
  <c r="G48"/>
  <c r="G49"/>
  <c r="G50"/>
  <c r="G51"/>
  <c r="G52"/>
  <c r="G53"/>
  <c r="G56"/>
  <c r="G57"/>
  <c r="G59"/>
  <c r="G61"/>
  <c r="G62"/>
  <c r="G63"/>
  <c r="G64"/>
  <c r="G65"/>
  <c r="G66"/>
  <c r="G70"/>
  <c r="G71"/>
  <c r="G72"/>
  <c r="G73"/>
  <c r="G83"/>
  <c r="G87"/>
  <c r="G95"/>
  <c r="G96"/>
  <c r="G97"/>
  <c r="E58"/>
  <c r="E98" s="1"/>
  <c r="CE67" i="18"/>
  <c r="CI74"/>
  <c r="CA33"/>
  <c r="CA35"/>
  <c r="CA38"/>
  <c r="CA42"/>
  <c r="CA47"/>
  <c r="CC48"/>
  <c r="BY48"/>
  <c r="BU48"/>
  <c r="BQ48"/>
  <c r="BM48"/>
  <c r="BI48"/>
  <c r="BE48"/>
  <c r="AW48"/>
  <c r="AS48"/>
  <c r="AO48"/>
  <c r="AK48"/>
  <c r="AC48"/>
  <c r="Y48"/>
  <c r="U48"/>
  <c r="Q48"/>
  <c r="I48"/>
  <c r="CN53"/>
  <c r="CK31"/>
  <c r="BY57"/>
  <c r="CC16"/>
  <c r="CC57"/>
  <c r="BU57"/>
  <c r="BA59"/>
  <c r="BA60"/>
  <c r="BA61"/>
  <c r="BA62"/>
  <c r="BA63"/>
  <c r="BA64"/>
  <c r="BA58"/>
  <c r="AG59"/>
  <c r="CK59" s="1"/>
  <c r="AG60"/>
  <c r="CK60" s="1"/>
  <c r="AG61"/>
  <c r="CK61" s="1"/>
  <c r="AG62"/>
  <c r="CK62" s="1"/>
  <c r="AG64"/>
  <c r="AH64"/>
  <c r="CK48" l="1"/>
  <c r="CK64"/>
  <c r="H39" i="26"/>
  <c r="F39"/>
  <c r="G39"/>
  <c r="L8"/>
  <c r="M8"/>
  <c r="N8"/>
  <c r="K39"/>
  <c r="CL64" i="18"/>
  <c r="F57"/>
  <c r="J57"/>
  <c r="N57"/>
  <c r="R57"/>
  <c r="V57"/>
  <c r="Z57"/>
  <c r="AD57"/>
  <c r="AL57"/>
  <c r="AP57"/>
  <c r="AT57"/>
  <c r="AX57"/>
  <c r="BZ57"/>
  <c r="BV57"/>
  <c r="BR57"/>
  <c r="BN57"/>
  <c r="BJ57"/>
  <c r="CM64" l="1"/>
  <c r="CN64"/>
  <c r="L39" i="26"/>
  <c r="M39"/>
  <c r="N39"/>
  <c r="CL17" i="18"/>
  <c r="CL18"/>
  <c r="BB6"/>
  <c r="BB8"/>
  <c r="BB9"/>
  <c r="BB11"/>
  <c r="BB13"/>
  <c r="BB14"/>
  <c r="BB15"/>
  <c r="BB17"/>
  <c r="BB18"/>
  <c r="BB19"/>
  <c r="BB20"/>
  <c r="BB21"/>
  <c r="BB22"/>
  <c r="BB23"/>
  <c r="BB24"/>
  <c r="BB25"/>
  <c r="BB67"/>
  <c r="BB68"/>
  <c r="BB69"/>
  <c r="BB70"/>
  <c r="BB71"/>
  <c r="BB72"/>
  <c r="BB73"/>
  <c r="BB74"/>
  <c r="BB75"/>
  <c r="BB66"/>
  <c r="BB49"/>
  <c r="BB50"/>
  <c r="BB51"/>
  <c r="BB52"/>
  <c r="BB58"/>
  <c r="BB59"/>
  <c r="BB60"/>
  <c r="BB61"/>
  <c r="BB62"/>
  <c r="BB63"/>
  <c r="BB47"/>
  <c r="BB26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AH58"/>
  <c r="AH59"/>
  <c r="CL59" s="1"/>
  <c r="CN59" s="1"/>
  <c r="AH60"/>
  <c r="AH61"/>
  <c r="AH62"/>
  <c r="AH63"/>
  <c r="AH33"/>
  <c r="AH34"/>
  <c r="AH35"/>
  <c r="AH36"/>
  <c r="AH37"/>
  <c r="AH38"/>
  <c r="AH39"/>
  <c r="AH40"/>
  <c r="AH41"/>
  <c r="AH42"/>
  <c r="AH43"/>
  <c r="AH44"/>
  <c r="AH45"/>
  <c r="AH46"/>
  <c r="AH28"/>
  <c r="AH29"/>
  <c r="AH30"/>
  <c r="AH31"/>
  <c r="AH66"/>
  <c r="AH67"/>
  <c r="AH68"/>
  <c r="AH69"/>
  <c r="AH70"/>
  <c r="AH71"/>
  <c r="AH72"/>
  <c r="AH73"/>
  <c r="AH74"/>
  <c r="CL61" l="1"/>
  <c r="CN61" s="1"/>
  <c r="CL60"/>
  <c r="CN60" s="1"/>
  <c r="CL62"/>
  <c r="CN62" s="1"/>
  <c r="BB57"/>
  <c r="BB27"/>
  <c r="R27"/>
  <c r="BY27"/>
  <c r="H95" i="22"/>
  <c r="H96"/>
  <c r="H97"/>
  <c r="F21" l="1"/>
  <c r="E21" l="1"/>
  <c r="G21" s="1"/>
  <c r="E8"/>
  <c r="G11" i="18" l="1"/>
  <c r="G43"/>
  <c r="H65" i="22" l="1"/>
  <c r="D29"/>
  <c r="H29"/>
  <c r="D59"/>
  <c r="H59"/>
  <c r="CH65" i="18" l="1"/>
  <c r="Q75" l="1"/>
  <c r="Q47"/>
  <c r="M29"/>
  <c r="M30"/>
  <c r="M33"/>
  <c r="M34"/>
  <c r="M35"/>
  <c r="M36"/>
  <c r="M38"/>
  <c r="M39"/>
  <c r="M40"/>
  <c r="M41"/>
  <c r="M28"/>
  <c r="M21"/>
  <c r="M22"/>
  <c r="M23"/>
  <c r="M25"/>
  <c r="I75"/>
  <c r="I30"/>
  <c r="I44"/>
  <c r="I45"/>
  <c r="I28"/>
  <c r="I20"/>
  <c r="I21"/>
  <c r="I25"/>
  <c r="G42"/>
  <c r="AH75"/>
  <c r="AH65" s="1"/>
  <c r="CL63"/>
  <c r="CL54"/>
  <c r="AH52"/>
  <c r="CL52" s="1"/>
  <c r="AH51"/>
  <c r="CL51" s="1"/>
  <c r="AH50"/>
  <c r="CL50" s="1"/>
  <c r="CL49"/>
  <c r="CL48" s="1"/>
  <c r="CL30"/>
  <c r="CL31"/>
  <c r="CN31" s="1"/>
  <c r="AH32"/>
  <c r="CL32" s="1"/>
  <c r="CL33"/>
  <c r="CL34"/>
  <c r="CL35"/>
  <c r="CL36"/>
  <c r="CL37"/>
  <c r="CL38"/>
  <c r="CL39"/>
  <c r="CL40"/>
  <c r="CL41"/>
  <c r="CL42"/>
  <c r="CL43"/>
  <c r="CL44"/>
  <c r="CL45"/>
  <c r="CL46"/>
  <c r="CL28"/>
  <c r="AH20"/>
  <c r="CL20" s="1"/>
  <c r="AH21"/>
  <c r="CL21" s="1"/>
  <c r="AH22"/>
  <c r="CL22" s="1"/>
  <c r="AH23"/>
  <c r="CL23" s="1"/>
  <c r="AH24"/>
  <c r="CL24" s="1"/>
  <c r="AH25"/>
  <c r="CL25" s="1"/>
  <c r="AH26"/>
  <c r="CL26" s="1"/>
  <c r="AH19"/>
  <c r="CL19" s="1"/>
  <c r="AD65"/>
  <c r="AD56" s="1"/>
  <c r="AD27"/>
  <c r="AD16"/>
  <c r="AG63" l="1"/>
  <c r="CK63" s="1"/>
  <c r="CN63" s="1"/>
  <c r="E57"/>
  <c r="E48"/>
  <c r="CL58"/>
  <c r="CL29"/>
  <c r="D7" i="22"/>
  <c r="H7"/>
  <c r="C8"/>
  <c r="C6" s="1"/>
  <c r="E6"/>
  <c r="F8"/>
  <c r="G8" s="1"/>
  <c r="D9"/>
  <c r="H9"/>
  <c r="D10"/>
  <c r="H10"/>
  <c r="C11"/>
  <c r="E11"/>
  <c r="D12"/>
  <c r="H12"/>
  <c r="D14"/>
  <c r="H14"/>
  <c r="D15"/>
  <c r="H15"/>
  <c r="D17"/>
  <c r="H17"/>
  <c r="C18"/>
  <c r="C16" s="1"/>
  <c r="E18"/>
  <c r="E16" s="1"/>
  <c r="F18"/>
  <c r="D19"/>
  <c r="H19"/>
  <c r="D20"/>
  <c r="H20"/>
  <c r="C22"/>
  <c r="C21" s="1"/>
  <c r="D21" s="1"/>
  <c r="E22"/>
  <c r="F22"/>
  <c r="D23"/>
  <c r="H23"/>
  <c r="D24"/>
  <c r="H24"/>
  <c r="D25"/>
  <c r="H25"/>
  <c r="C28"/>
  <c r="E28"/>
  <c r="F28"/>
  <c r="C30"/>
  <c r="E30"/>
  <c r="F30"/>
  <c r="D31"/>
  <c r="H31"/>
  <c r="C32"/>
  <c r="E32"/>
  <c r="F32"/>
  <c r="D33"/>
  <c r="H33"/>
  <c r="C34"/>
  <c r="E34"/>
  <c r="F34"/>
  <c r="D35"/>
  <c r="H35"/>
  <c r="C36"/>
  <c r="E36"/>
  <c r="F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D53"/>
  <c r="H53"/>
  <c r="C55"/>
  <c r="C98" s="1"/>
  <c r="D55"/>
  <c r="E55"/>
  <c r="H57"/>
  <c r="D61"/>
  <c r="H61"/>
  <c r="D62"/>
  <c r="H62"/>
  <c r="D63"/>
  <c r="H63"/>
  <c r="D64"/>
  <c r="H64"/>
  <c r="D65"/>
  <c r="D66"/>
  <c r="H66"/>
  <c r="D70"/>
  <c r="H70"/>
  <c r="H71"/>
  <c r="H72"/>
  <c r="H73"/>
  <c r="H83"/>
  <c r="H87"/>
  <c r="C94"/>
  <c r="E94"/>
  <c r="F94"/>
  <c r="D95"/>
  <c r="D96"/>
  <c r="G58" l="1"/>
  <c r="G36"/>
  <c r="G30"/>
  <c r="G94"/>
  <c r="H94"/>
  <c r="D94"/>
  <c r="G22"/>
  <c r="G32"/>
  <c r="G28"/>
  <c r="G18"/>
  <c r="G11"/>
  <c r="G67"/>
  <c r="H34"/>
  <c r="F27"/>
  <c r="D36"/>
  <c r="H36"/>
  <c r="D34"/>
  <c r="E27"/>
  <c r="E26" s="1"/>
  <c r="H28"/>
  <c r="D28"/>
  <c r="D67"/>
  <c r="D32"/>
  <c r="D30"/>
  <c r="D22"/>
  <c r="D18"/>
  <c r="D16" s="1"/>
  <c r="D11"/>
  <c r="C5"/>
  <c r="C27"/>
  <c r="C26" s="1"/>
  <c r="H58"/>
  <c r="D58"/>
  <c r="D6"/>
  <c r="E5"/>
  <c r="H30"/>
  <c r="H22"/>
  <c r="H18"/>
  <c r="H11"/>
  <c r="H8"/>
  <c r="D8"/>
  <c r="H32"/>
  <c r="F16"/>
  <c r="F6"/>
  <c r="G6" s="1"/>
  <c r="G27" l="1"/>
  <c r="F5"/>
  <c r="G16"/>
  <c r="H67"/>
  <c r="H27"/>
  <c r="F26"/>
  <c r="G26" s="1"/>
  <c r="D27"/>
  <c r="C54"/>
  <c r="C99" s="1"/>
  <c r="D26"/>
  <c r="D98"/>
  <c r="E54"/>
  <c r="D5"/>
  <c r="H16"/>
  <c r="H6"/>
  <c r="H21"/>
  <c r="H26" l="1"/>
  <c r="H5"/>
  <c r="G5"/>
  <c r="F54"/>
  <c r="G54" s="1"/>
  <c r="D54"/>
  <c r="E99"/>
  <c r="D99" s="1"/>
  <c r="H54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4"/>
  <c r="CW58"/>
  <c r="CW63"/>
  <c r="CW66"/>
  <c r="CW67"/>
  <c r="CW68"/>
  <c r="CW69"/>
  <c r="CW70"/>
  <c r="CW71"/>
  <c r="CW72"/>
  <c r="CW73"/>
  <c r="CW74"/>
  <c r="CW75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V6" i="18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4"/>
  <c r="CV58"/>
  <c r="CV63"/>
  <c r="CV66"/>
  <c r="CV67"/>
  <c r="CV68"/>
  <c r="CV69"/>
  <c r="CV70"/>
  <c r="CV71"/>
  <c r="CV72"/>
  <c r="CV73"/>
  <c r="CV74"/>
  <c r="CV75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4"/>
  <c r="CU58"/>
  <c r="CU63"/>
  <c r="CU66"/>
  <c r="CU67"/>
  <c r="CU68"/>
  <c r="CU69"/>
  <c r="CU70"/>
  <c r="CU71"/>
  <c r="CU72"/>
  <c r="CU73"/>
  <c r="CU74"/>
  <c r="CU75"/>
  <c r="CT6"/>
  <c r="CT8"/>
  <c r="CT9"/>
  <c r="CT11"/>
  <c r="CT13"/>
  <c r="CT14"/>
  <c r="CT15"/>
  <c r="CT17"/>
  <c r="CT18"/>
  <c r="CT19"/>
  <c r="CT20"/>
  <c r="CT21"/>
  <c r="CT24"/>
  <c r="CT25"/>
  <c r="CT26"/>
  <c r="CT28"/>
  <c r="CT29"/>
  <c r="CT30"/>
  <c r="CT32"/>
  <c r="CT33"/>
  <c r="CT34"/>
  <c r="CT35"/>
  <c r="CT36"/>
  <c r="CT37"/>
  <c r="CT38"/>
  <c r="CT39"/>
  <c r="CT40"/>
  <c r="CT41"/>
  <c r="CT42"/>
  <c r="CT43"/>
  <c r="CT44"/>
  <c r="CT45"/>
  <c r="CT46"/>
  <c r="CT47"/>
  <c r="CT49"/>
  <c r="CT50"/>
  <c r="CT51"/>
  <c r="CT52"/>
  <c r="CT54"/>
  <c r="CT58"/>
  <c r="CT63"/>
  <c r="CT66"/>
  <c r="CT67"/>
  <c r="CT68"/>
  <c r="CT69"/>
  <c r="CT70"/>
  <c r="CT71"/>
  <c r="CT72"/>
  <c r="CT73"/>
  <c r="CT74"/>
  <c r="CT75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4"/>
  <c r="BT58"/>
  <c r="BT63"/>
  <c r="BT66"/>
  <c r="BT67"/>
  <c r="BT68"/>
  <c r="BT69"/>
  <c r="BT70"/>
  <c r="BT71"/>
  <c r="BT72"/>
  <c r="BT73"/>
  <c r="BT74"/>
  <c r="BT75"/>
  <c r="BS6"/>
  <c r="BS9"/>
  <c r="BS13"/>
  <c r="BS14"/>
  <c r="BS15"/>
  <c r="BS17"/>
  <c r="BS18"/>
  <c r="BS25"/>
  <c r="BS33"/>
  <c r="BS47"/>
  <c r="BS67"/>
  <c r="BS68"/>
  <c r="BS69"/>
  <c r="BR65"/>
  <c r="BR56"/>
  <c r="BR48"/>
  <c r="BR7"/>
  <c r="BR12"/>
  <c r="BR16"/>
  <c r="BR27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E57" i="15"/>
  <c r="F57"/>
  <c r="C57"/>
  <c r="H18" i="14" l="1"/>
  <c r="G18"/>
  <c r="F18"/>
  <c r="L38"/>
  <c r="M38"/>
  <c r="E16"/>
  <c r="BR76" i="18"/>
  <c r="G16" i="14" l="1"/>
  <c r="G8" s="1"/>
  <c r="F16"/>
  <c r="F8" s="1"/>
  <c r="E8"/>
  <c r="E38" s="1"/>
  <c r="H16"/>
  <c r="H8" s="1"/>
  <c r="H38" l="1"/>
  <c r="G38"/>
  <c r="F38"/>
  <c r="AP16" i="18" l="1"/>
  <c r="CH56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L47"/>
  <c r="AZ68"/>
  <c r="AZ46"/>
  <c r="AX16"/>
  <c r="AT12"/>
  <c r="BB12" s="1"/>
  <c r="CP26"/>
  <c r="CS68"/>
  <c r="N12"/>
  <c r="CS46"/>
  <c r="N37" i="14"/>
  <c r="BQ65" i="18"/>
  <c r="BT57"/>
  <c r="BT48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A69" i="18"/>
  <c r="CG12"/>
  <c r="CH12"/>
  <c r="CG65"/>
  <c r="CG56" s="1"/>
  <c r="CJ48"/>
  <c r="CI48"/>
  <c r="CH27"/>
  <c r="CH10" s="1"/>
  <c r="CH5" s="1"/>
  <c r="CH76" s="1"/>
  <c r="CG27"/>
  <c r="CG10" s="1"/>
  <c r="CG5" s="1"/>
  <c r="CH16"/>
  <c r="CG16"/>
  <c r="CH7"/>
  <c r="CJ7" s="1"/>
  <c r="CG7"/>
  <c r="BK66"/>
  <c r="BK67"/>
  <c r="G67"/>
  <c r="G47"/>
  <c r="AM69"/>
  <c r="AM68"/>
  <c r="Z16"/>
  <c r="CS75"/>
  <c r="CP75"/>
  <c r="CB75"/>
  <c r="CA75"/>
  <c r="BX75"/>
  <c r="BP75"/>
  <c r="BL75"/>
  <c r="BH75"/>
  <c r="BA75"/>
  <c r="AZ75"/>
  <c r="AV75"/>
  <c r="AR75"/>
  <c r="AN75"/>
  <c r="AG75"/>
  <c r="AF75"/>
  <c r="AB75"/>
  <c r="X75"/>
  <c r="T75"/>
  <c r="P75"/>
  <c r="L75"/>
  <c r="H75"/>
  <c r="CS74"/>
  <c r="CP74"/>
  <c r="CB74"/>
  <c r="BP74"/>
  <c r="BL74"/>
  <c r="BH74"/>
  <c r="BA74"/>
  <c r="AZ74"/>
  <c r="AV74"/>
  <c r="AR74"/>
  <c r="AN74"/>
  <c r="AG74"/>
  <c r="AF74"/>
  <c r="AB74"/>
  <c r="X74"/>
  <c r="T74"/>
  <c r="P74"/>
  <c r="L74"/>
  <c r="H74"/>
  <c r="CS73"/>
  <c r="CP73"/>
  <c r="CB73"/>
  <c r="BP73"/>
  <c r="BL73"/>
  <c r="BH73"/>
  <c r="BA73"/>
  <c r="AZ73"/>
  <c r="AV73"/>
  <c r="AR73"/>
  <c r="AN73"/>
  <c r="AG73"/>
  <c r="AF73"/>
  <c r="AB73"/>
  <c r="X73"/>
  <c r="T73"/>
  <c r="P73"/>
  <c r="L73"/>
  <c r="H73"/>
  <c r="CS72"/>
  <c r="CP72"/>
  <c r="BP72"/>
  <c r="BL72"/>
  <c r="BH72"/>
  <c r="BA72"/>
  <c r="AZ72"/>
  <c r="AV72"/>
  <c r="AR72"/>
  <c r="AN72"/>
  <c r="AG72"/>
  <c r="AF72"/>
  <c r="AB72"/>
  <c r="X72"/>
  <c r="T72"/>
  <c r="P72"/>
  <c r="L72"/>
  <c r="H72"/>
  <c r="CS71"/>
  <c r="CP71"/>
  <c r="CB71"/>
  <c r="BP71"/>
  <c r="BL71"/>
  <c r="BH71"/>
  <c r="BA71"/>
  <c r="AZ71"/>
  <c r="AV71"/>
  <c r="AR71"/>
  <c r="AN71"/>
  <c r="AG71"/>
  <c r="CK71" s="1"/>
  <c r="AF71"/>
  <c r="AB71"/>
  <c r="X71"/>
  <c r="T71"/>
  <c r="P71"/>
  <c r="L71"/>
  <c r="H71"/>
  <c r="CS70"/>
  <c r="CP70"/>
  <c r="BP70"/>
  <c r="BL70"/>
  <c r="BH70"/>
  <c r="BA70"/>
  <c r="AZ70"/>
  <c r="AV70"/>
  <c r="AR70"/>
  <c r="AN70"/>
  <c r="AG70"/>
  <c r="AF70"/>
  <c r="AB70"/>
  <c r="X70"/>
  <c r="T70"/>
  <c r="P70"/>
  <c r="L70"/>
  <c r="H70"/>
  <c r="CS69"/>
  <c r="CP69"/>
  <c r="CB69"/>
  <c r="BP69"/>
  <c r="BL69"/>
  <c r="BH69"/>
  <c r="BA69"/>
  <c r="AZ69"/>
  <c r="AY69"/>
  <c r="AV69"/>
  <c r="AR69"/>
  <c r="AN69"/>
  <c r="AG69"/>
  <c r="AF69"/>
  <c r="AE69"/>
  <c r="AB69"/>
  <c r="X69"/>
  <c r="T69"/>
  <c r="S69"/>
  <c r="P69"/>
  <c r="O69"/>
  <c r="L69"/>
  <c r="H69"/>
  <c r="CP68"/>
  <c r="CB68"/>
  <c r="BP68"/>
  <c r="BL68"/>
  <c r="BH68"/>
  <c r="BA68"/>
  <c r="AV68"/>
  <c r="AR68"/>
  <c r="AN68"/>
  <c r="AG68"/>
  <c r="CK68" s="1"/>
  <c r="AF68"/>
  <c r="AE68"/>
  <c r="AB68"/>
  <c r="AA68"/>
  <c r="X68"/>
  <c r="T68"/>
  <c r="L68"/>
  <c r="H68"/>
  <c r="CB67"/>
  <c r="CA67"/>
  <c r="BX67"/>
  <c r="BW67"/>
  <c r="BP67"/>
  <c r="BL67"/>
  <c r="BH67"/>
  <c r="BG67"/>
  <c r="BA67"/>
  <c r="AZ67"/>
  <c r="AY67"/>
  <c r="AV67"/>
  <c r="AR67"/>
  <c r="AQ67"/>
  <c r="AG67"/>
  <c r="AF67"/>
  <c r="AE67"/>
  <c r="AB67"/>
  <c r="AA67"/>
  <c r="X67"/>
  <c r="W67"/>
  <c r="T67"/>
  <c r="S67"/>
  <c r="P67"/>
  <c r="O67"/>
  <c r="L67"/>
  <c r="K67"/>
  <c r="H67"/>
  <c r="CS66"/>
  <c r="CP66"/>
  <c r="CB66"/>
  <c r="BX66"/>
  <c r="BP66"/>
  <c r="BL66"/>
  <c r="BH66"/>
  <c r="BA66"/>
  <c r="AZ66"/>
  <c r="AV66"/>
  <c r="AU66"/>
  <c r="AR66"/>
  <c r="AN66"/>
  <c r="AM66"/>
  <c r="AG66"/>
  <c r="AF66"/>
  <c r="AE66"/>
  <c r="AB66"/>
  <c r="AA66"/>
  <c r="X66"/>
  <c r="W66"/>
  <c r="T66"/>
  <c r="S66"/>
  <c r="P66"/>
  <c r="O66"/>
  <c r="L66"/>
  <c r="K66"/>
  <c r="H66"/>
  <c r="G66"/>
  <c r="CD65"/>
  <c r="CC65"/>
  <c r="BZ65"/>
  <c r="BY65"/>
  <c r="BV65"/>
  <c r="BV56" s="1"/>
  <c r="BU65"/>
  <c r="BU56" s="1"/>
  <c r="BN65"/>
  <c r="BM65"/>
  <c r="BJ65"/>
  <c r="BI65"/>
  <c r="BF65"/>
  <c r="BE65"/>
  <c r="AW65"/>
  <c r="AT65"/>
  <c r="AT56" s="1"/>
  <c r="AS65"/>
  <c r="AP65"/>
  <c r="AP56" s="1"/>
  <c r="AO65"/>
  <c r="AK65"/>
  <c r="AC65"/>
  <c r="Z65"/>
  <c r="Z56" s="1"/>
  <c r="Y65"/>
  <c r="V65"/>
  <c r="V56" s="1"/>
  <c r="U65"/>
  <c r="R65"/>
  <c r="R56" s="1"/>
  <c r="Q65"/>
  <c r="M65"/>
  <c r="J65"/>
  <c r="J56" s="1"/>
  <c r="I65"/>
  <c r="F65"/>
  <c r="CS63"/>
  <c r="CP63"/>
  <c r="BX63"/>
  <c r="BP63"/>
  <c r="AV63"/>
  <c r="AB63"/>
  <c r="P63"/>
  <c r="L63"/>
  <c r="CB58"/>
  <c r="BX58"/>
  <c r="BP58"/>
  <c r="BL58"/>
  <c r="BH58"/>
  <c r="AZ58"/>
  <c r="AV58"/>
  <c r="AR58"/>
  <c r="AN58"/>
  <c r="AG58"/>
  <c r="AF58"/>
  <c r="AB58"/>
  <c r="X58"/>
  <c r="T58"/>
  <c r="P58"/>
  <c r="L58"/>
  <c r="H58"/>
  <c r="CD57"/>
  <c r="BN56"/>
  <c r="BM57"/>
  <c r="BJ56"/>
  <c r="BI57"/>
  <c r="BF56"/>
  <c r="BF76" s="1"/>
  <c r="BE57"/>
  <c r="AW57"/>
  <c r="CS54"/>
  <c r="CP54"/>
  <c r="CB54"/>
  <c r="BX54"/>
  <c r="BX48" s="1"/>
  <c r="AG54"/>
  <c r="AF54"/>
  <c r="AF48" s="1"/>
  <c r="AB54"/>
  <c r="X54"/>
  <c r="T54"/>
  <c r="P54"/>
  <c r="CS52"/>
  <c r="CP52"/>
  <c r="BA52"/>
  <c r="AG52"/>
  <c r="CS51"/>
  <c r="CP51"/>
  <c r="CB51"/>
  <c r="BA51"/>
  <c r="AG51"/>
  <c r="CS50"/>
  <c r="CP50"/>
  <c r="CB50"/>
  <c r="BA50"/>
  <c r="AG50"/>
  <c r="T50"/>
  <c r="CS49"/>
  <c r="CP49"/>
  <c r="CB49"/>
  <c r="BP49"/>
  <c r="BP48" s="1"/>
  <c r="BL49"/>
  <c r="BL48" s="1"/>
  <c r="BH49"/>
  <c r="BH48" s="1"/>
  <c r="BA49"/>
  <c r="AZ49"/>
  <c r="AZ48" s="1"/>
  <c r="AV49"/>
  <c r="AV48" s="1"/>
  <c r="AR49"/>
  <c r="AN49"/>
  <c r="AG49"/>
  <c r="AB49"/>
  <c r="T49"/>
  <c r="P49"/>
  <c r="L49"/>
  <c r="H49"/>
  <c r="CO48"/>
  <c r="CF48"/>
  <c r="CE48"/>
  <c r="CD48"/>
  <c r="CA48"/>
  <c r="BZ48"/>
  <c r="BW48"/>
  <c r="BV48"/>
  <c r="BO48"/>
  <c r="BN48"/>
  <c r="BK48"/>
  <c r="BJ48"/>
  <c r="BG48"/>
  <c r="BF48"/>
  <c r="BC48"/>
  <c r="AY48"/>
  <c r="AX48"/>
  <c r="AU48"/>
  <c r="AT48"/>
  <c r="AP48"/>
  <c r="BA48"/>
  <c r="AL48"/>
  <c r="AD48"/>
  <c r="Z48"/>
  <c r="V48"/>
  <c r="R48"/>
  <c r="J48"/>
  <c r="F48"/>
  <c r="AG48"/>
  <c r="CS47"/>
  <c r="CP47"/>
  <c r="CB47"/>
  <c r="BX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P46"/>
  <c r="CB46"/>
  <c r="BP46"/>
  <c r="BL46"/>
  <c r="BH46"/>
  <c r="BA46"/>
  <c r="AV46"/>
  <c r="AR46"/>
  <c r="AN46"/>
  <c r="AG46"/>
  <c r="CK46" s="1"/>
  <c r="AB46"/>
  <c r="X46"/>
  <c r="P46"/>
  <c r="CS45"/>
  <c r="CP45"/>
  <c r="CB45"/>
  <c r="BX45"/>
  <c r="BP45"/>
  <c r="BL45"/>
  <c r="BH45"/>
  <c r="BA45"/>
  <c r="CK45" s="1"/>
  <c r="AZ45"/>
  <c r="AV45"/>
  <c r="AR45"/>
  <c r="AN45"/>
  <c r="CQ45"/>
  <c r="AF45"/>
  <c r="AB45"/>
  <c r="X45"/>
  <c r="T45"/>
  <c r="P45"/>
  <c r="L45"/>
  <c r="H45"/>
  <c r="CS44"/>
  <c r="CP44"/>
  <c r="CB44"/>
  <c r="BX44"/>
  <c r="BP44"/>
  <c r="BL44"/>
  <c r="BH44"/>
  <c r="BA44"/>
  <c r="AZ44"/>
  <c r="AV44"/>
  <c r="AR44"/>
  <c r="AN44"/>
  <c r="AG44"/>
  <c r="CK44" s="1"/>
  <c r="AF44"/>
  <c r="AB44"/>
  <c r="X44"/>
  <c r="T44"/>
  <c r="P44"/>
  <c r="L44"/>
  <c r="H44"/>
  <c r="CS43"/>
  <c r="CP43"/>
  <c r="CB43"/>
  <c r="BX43"/>
  <c r="BP43"/>
  <c r="BL43"/>
  <c r="BH43"/>
  <c r="BA43"/>
  <c r="AZ43"/>
  <c r="AV43"/>
  <c r="AR43"/>
  <c r="AN43"/>
  <c r="AG43"/>
  <c r="AF43"/>
  <c r="AE43"/>
  <c r="AB43"/>
  <c r="AA43"/>
  <c r="X43"/>
  <c r="T43"/>
  <c r="S43"/>
  <c r="L43"/>
  <c r="H43"/>
  <c r="CS42"/>
  <c r="CP42"/>
  <c r="CB42"/>
  <c r="BX42"/>
  <c r="BP42"/>
  <c r="BL42"/>
  <c r="BH42"/>
  <c r="BA42"/>
  <c r="AZ42"/>
  <c r="AV42"/>
  <c r="AR42"/>
  <c r="AN42"/>
  <c r="AG42"/>
  <c r="AB42"/>
  <c r="X42"/>
  <c r="T42"/>
  <c r="H42"/>
  <c r="CS41"/>
  <c r="CP41"/>
  <c r="CB41"/>
  <c r="BX41"/>
  <c r="BP41"/>
  <c r="BL41"/>
  <c r="BH41"/>
  <c r="BA41"/>
  <c r="AZ41"/>
  <c r="AV41"/>
  <c r="AR41"/>
  <c r="AN41"/>
  <c r="AG41"/>
  <c r="AB41"/>
  <c r="X41"/>
  <c r="T41"/>
  <c r="P41"/>
  <c r="L41"/>
  <c r="H41"/>
  <c r="CS40"/>
  <c r="CP40"/>
  <c r="CB40"/>
  <c r="BX40"/>
  <c r="BP40"/>
  <c r="BL40"/>
  <c r="BH40"/>
  <c r="BA40"/>
  <c r="BD40" s="1"/>
  <c r="AZ40"/>
  <c r="AV40"/>
  <c r="AR40"/>
  <c r="AN40"/>
  <c r="AG40"/>
  <c r="AB40"/>
  <c r="X40"/>
  <c r="T40"/>
  <c r="P40"/>
  <c r="L40"/>
  <c r="H40"/>
  <c r="CS39"/>
  <c r="CP39"/>
  <c r="BX39"/>
  <c r="BP39"/>
  <c r="BL39"/>
  <c r="BH39"/>
  <c r="BA39"/>
  <c r="BD39" s="1"/>
  <c r="AZ39"/>
  <c r="AV39"/>
  <c r="AR39"/>
  <c r="AN39"/>
  <c r="AG39"/>
  <c r="AB39"/>
  <c r="X39"/>
  <c r="H39"/>
  <c r="CS38"/>
  <c r="CP38"/>
  <c r="CB38"/>
  <c r="BX38"/>
  <c r="BP38"/>
  <c r="BL38"/>
  <c r="BH38"/>
  <c r="BA38"/>
  <c r="BD38" s="1"/>
  <c r="AZ38"/>
  <c r="AV38"/>
  <c r="AR38"/>
  <c r="AN38"/>
  <c r="AG38"/>
  <c r="AF38"/>
  <c r="AB38"/>
  <c r="X38"/>
  <c r="T38"/>
  <c r="P38"/>
  <c r="L38"/>
  <c r="H38"/>
  <c r="CS37"/>
  <c r="CP37"/>
  <c r="CB37"/>
  <c r="BX37"/>
  <c r="BP37"/>
  <c r="BL37"/>
  <c r="BH37"/>
  <c r="BA37"/>
  <c r="AZ37"/>
  <c r="AV37"/>
  <c r="AR37"/>
  <c r="AN37"/>
  <c r="AG37"/>
  <c r="AF37"/>
  <c r="AB37"/>
  <c r="X37"/>
  <c r="T37"/>
  <c r="P37"/>
  <c r="L37"/>
  <c r="H37"/>
  <c r="CS36"/>
  <c r="CP36"/>
  <c r="BX36"/>
  <c r="BP36"/>
  <c r="BL36"/>
  <c r="BH36"/>
  <c r="BA36"/>
  <c r="AZ36"/>
  <c r="AV36"/>
  <c r="AR36"/>
  <c r="AN36"/>
  <c r="AG36"/>
  <c r="CK36" s="1"/>
  <c r="AB36"/>
  <c r="X36"/>
  <c r="T36"/>
  <c r="P36"/>
  <c r="H36"/>
  <c r="CS35"/>
  <c r="CP35"/>
  <c r="BX35"/>
  <c r="BP35"/>
  <c r="BL35"/>
  <c r="BH35"/>
  <c r="BA35"/>
  <c r="AZ35"/>
  <c r="AV35"/>
  <c r="AR35"/>
  <c r="AN35"/>
  <c r="AG35"/>
  <c r="AF35"/>
  <c r="X35"/>
  <c r="T35"/>
  <c r="P35"/>
  <c r="H35"/>
  <c r="CS34"/>
  <c r="CP34"/>
  <c r="CB34"/>
  <c r="BX34"/>
  <c r="BP34"/>
  <c r="BL34"/>
  <c r="BH34"/>
  <c r="BA34"/>
  <c r="AZ34"/>
  <c r="AV34"/>
  <c r="AR34"/>
  <c r="AN34"/>
  <c r="AG34"/>
  <c r="CK34" s="1"/>
  <c r="AB34"/>
  <c r="X34"/>
  <c r="T34"/>
  <c r="P34"/>
  <c r="L34"/>
  <c r="H34"/>
  <c r="CS33"/>
  <c r="CP33"/>
  <c r="CB33"/>
  <c r="BX33"/>
  <c r="BP33"/>
  <c r="BL33"/>
  <c r="BH33"/>
  <c r="BA33"/>
  <c r="AZ33"/>
  <c r="AV33"/>
  <c r="AR33"/>
  <c r="AN33"/>
  <c r="AG33"/>
  <c r="AF33"/>
  <c r="AB33"/>
  <c r="AA33"/>
  <c r="X33"/>
  <c r="T33"/>
  <c r="S33"/>
  <c r="P33"/>
  <c r="O33"/>
  <c r="L33"/>
  <c r="K33"/>
  <c r="H33"/>
  <c r="CS32"/>
  <c r="CP32"/>
  <c r="BX32"/>
  <c r="BP32"/>
  <c r="BL32"/>
  <c r="BH32"/>
  <c r="BA32"/>
  <c r="AZ32"/>
  <c r="AV32"/>
  <c r="AR32"/>
  <c r="AN32"/>
  <c r="AG32"/>
  <c r="P32"/>
  <c r="CS30"/>
  <c r="CP30"/>
  <c r="CB30"/>
  <c r="BX30"/>
  <c r="BA30"/>
  <c r="AG30"/>
  <c r="CK30" s="1"/>
  <c r="AB30"/>
  <c r="X30"/>
  <c r="T30"/>
  <c r="P30"/>
  <c r="L30"/>
  <c r="CS29"/>
  <c r="CP29"/>
  <c r="BA29"/>
  <c r="AG29"/>
  <c r="P29"/>
  <c r="L29"/>
  <c r="CS28"/>
  <c r="CP28"/>
  <c r="BX28"/>
  <c r="BA28"/>
  <c r="AG28"/>
  <c r="CK28" s="1"/>
  <c r="AB28"/>
  <c r="X28"/>
  <c r="T28"/>
  <c r="P28"/>
  <c r="L28"/>
  <c r="CD27"/>
  <c r="CC27"/>
  <c r="BZ27"/>
  <c r="CA27" s="1"/>
  <c r="BV27"/>
  <c r="BU27"/>
  <c r="BN27"/>
  <c r="BM27"/>
  <c r="BJ27"/>
  <c r="BI27"/>
  <c r="BF27"/>
  <c r="BE27"/>
  <c r="BH27" s="1"/>
  <c r="AW27"/>
  <c r="AT27"/>
  <c r="AS27"/>
  <c r="AP27"/>
  <c r="AP10" s="1"/>
  <c r="AO27"/>
  <c r="AL27"/>
  <c r="AK27"/>
  <c r="AC27"/>
  <c r="Z27"/>
  <c r="Y27"/>
  <c r="V27"/>
  <c r="U27"/>
  <c r="Q27"/>
  <c r="M27"/>
  <c r="J27"/>
  <c r="I27"/>
  <c r="E27"/>
  <c r="BA26"/>
  <c r="AG26"/>
  <c r="CQ26" s="1"/>
  <c r="L26"/>
  <c r="CS25"/>
  <c r="CP25"/>
  <c r="BP25"/>
  <c r="BL25"/>
  <c r="BH25"/>
  <c r="BA25"/>
  <c r="AZ25"/>
  <c r="AV25"/>
  <c r="AR25"/>
  <c r="AN25"/>
  <c r="AG25"/>
  <c r="AF25"/>
  <c r="AB25"/>
  <c r="T25"/>
  <c r="P25"/>
  <c r="L25"/>
  <c r="H25"/>
  <c r="CS24"/>
  <c r="CP24"/>
  <c r="CB24"/>
  <c r="BX24"/>
  <c r="BP24"/>
  <c r="BA24"/>
  <c r="AG24"/>
  <c r="AB24"/>
  <c r="X24"/>
  <c r="T24"/>
  <c r="P24"/>
  <c r="L24"/>
  <c r="CS21"/>
  <c r="CP21"/>
  <c r="BP21"/>
  <c r="BA21"/>
  <c r="AG21"/>
  <c r="CQ21" s="1"/>
  <c r="CS20"/>
  <c r="CP20"/>
  <c r="CB20"/>
  <c r="BP20"/>
  <c r="BA20"/>
  <c r="AG20"/>
  <c r="CQ20" s="1"/>
  <c r="T20"/>
  <c r="CS19"/>
  <c r="CP19"/>
  <c r="CB19"/>
  <c r="BP19"/>
  <c r="BA19"/>
  <c r="AG19"/>
  <c r="AF19"/>
  <c r="AB19"/>
  <c r="T19"/>
  <c r="P19"/>
  <c r="L19"/>
  <c r="CS18"/>
  <c r="CP18"/>
  <c r="BP18"/>
  <c r="BA18"/>
  <c r="AH18"/>
  <c r="AG18"/>
  <c r="CQ18" s="1"/>
  <c r="CS17"/>
  <c r="CP17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H16" s="1"/>
  <c r="AG17"/>
  <c r="AF17"/>
  <c r="AB17"/>
  <c r="X17"/>
  <c r="T17"/>
  <c r="S17"/>
  <c r="P17"/>
  <c r="L17"/>
  <c r="H17"/>
  <c r="CD16"/>
  <c r="BZ16"/>
  <c r="BV16"/>
  <c r="BU16"/>
  <c r="BN16"/>
  <c r="BM16"/>
  <c r="BJ16"/>
  <c r="BI16"/>
  <c r="BF16"/>
  <c r="BE16"/>
  <c r="AW16"/>
  <c r="AT16"/>
  <c r="AS16"/>
  <c r="AO16"/>
  <c r="AL16"/>
  <c r="AK16"/>
  <c r="AC16"/>
  <c r="AF16" s="1"/>
  <c r="Y16"/>
  <c r="V16"/>
  <c r="U16"/>
  <c r="R16"/>
  <c r="Q16"/>
  <c r="N16"/>
  <c r="M16"/>
  <c r="J16"/>
  <c r="I16"/>
  <c r="F16"/>
  <c r="E16"/>
  <c r="CS15"/>
  <c r="CP15"/>
  <c r="CL15"/>
  <c r="BA15"/>
  <c r="AG15"/>
  <c r="CQ15" s="1"/>
  <c r="CS14"/>
  <c r="CP14"/>
  <c r="CL14"/>
  <c r="BA14"/>
  <c r="AH14"/>
  <c r="AG14"/>
  <c r="CK14" s="1"/>
  <c r="CS13"/>
  <c r="CP13"/>
  <c r="CB13"/>
  <c r="CA13"/>
  <c r="BX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D12"/>
  <c r="BZ12"/>
  <c r="BY12"/>
  <c r="BV12"/>
  <c r="BU12"/>
  <c r="BN12"/>
  <c r="BM12"/>
  <c r="BJ12"/>
  <c r="BI12"/>
  <c r="BF12"/>
  <c r="BF10" s="1"/>
  <c r="BE12"/>
  <c r="AW12"/>
  <c r="AZ12" s="1"/>
  <c r="AS12"/>
  <c r="AO12"/>
  <c r="AK12"/>
  <c r="AN12" s="1"/>
  <c r="AD12"/>
  <c r="AD10" s="1"/>
  <c r="AC12"/>
  <c r="Z12"/>
  <c r="Y12"/>
  <c r="U12"/>
  <c r="X12" s="1"/>
  <c r="R12"/>
  <c r="Q12"/>
  <c r="M12"/>
  <c r="I12"/>
  <c r="L12" s="1"/>
  <c r="F12"/>
  <c r="E12"/>
  <c r="CB11"/>
  <c r="CA11"/>
  <c r="BX11"/>
  <c r="BP11"/>
  <c r="BO11"/>
  <c r="BL11"/>
  <c r="BH11"/>
  <c r="BA11"/>
  <c r="BD11" s="1"/>
  <c r="AZ11"/>
  <c r="AY11"/>
  <c r="AV11"/>
  <c r="AR11"/>
  <c r="AQ11"/>
  <c r="AN11"/>
  <c r="AM11"/>
  <c r="AG11"/>
  <c r="CQ11" s="1"/>
  <c r="AF11"/>
  <c r="AE11"/>
  <c r="AB11"/>
  <c r="AA11"/>
  <c r="X11"/>
  <c r="W11"/>
  <c r="T11"/>
  <c r="S11"/>
  <c r="P11"/>
  <c r="O11"/>
  <c r="CP11"/>
  <c r="H11"/>
  <c r="CS9"/>
  <c r="CP9"/>
  <c r="CL9"/>
  <c r="BP9"/>
  <c r="BL9"/>
  <c r="BH9"/>
  <c r="BA9"/>
  <c r="BD9" s="1"/>
  <c r="AZ9"/>
  <c r="AV9"/>
  <c r="AR9"/>
  <c r="AN9"/>
  <c r="AG9"/>
  <c r="AB9"/>
  <c r="P9"/>
  <c r="L9"/>
  <c r="H9"/>
  <c r="CS8"/>
  <c r="CP8"/>
  <c r="CB8"/>
  <c r="CA8"/>
  <c r="BX8"/>
  <c r="BW8"/>
  <c r="BP8"/>
  <c r="BL8"/>
  <c r="BH8"/>
  <c r="BA8"/>
  <c r="AZ8"/>
  <c r="AV8"/>
  <c r="AR8"/>
  <c r="AN8"/>
  <c r="AH8"/>
  <c r="CL8" s="1"/>
  <c r="AG8"/>
  <c r="CQ8" s="1"/>
  <c r="AB8"/>
  <c r="X8"/>
  <c r="P8"/>
  <c r="H8"/>
  <c r="CD7"/>
  <c r="CC7"/>
  <c r="BZ7"/>
  <c r="BY7"/>
  <c r="BV7"/>
  <c r="BU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U7"/>
  <c r="R7"/>
  <c r="Q7"/>
  <c r="N7"/>
  <c r="M7"/>
  <c r="J7"/>
  <c r="I7"/>
  <c r="F7"/>
  <c r="E7"/>
  <c r="CS6"/>
  <c r="CP6"/>
  <c r="CL6"/>
  <c r="BA6"/>
  <c r="AV6"/>
  <c r="AU6"/>
  <c r="AH6"/>
  <c r="AG6"/>
  <c r="CK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R101" s="1"/>
  <c r="Q102"/>
  <c r="Q101" s="1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C37" s="1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C17" s="1"/>
  <c r="R16"/>
  <c r="Q16"/>
  <c r="O16"/>
  <c r="N16"/>
  <c r="M16"/>
  <c r="L16"/>
  <c r="K16"/>
  <c r="J16"/>
  <c r="I16"/>
  <c r="G16"/>
  <c r="F16"/>
  <c r="E16"/>
  <c r="E15" s="1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O8" s="1"/>
  <c r="N9"/>
  <c r="M9"/>
  <c r="L9"/>
  <c r="K9"/>
  <c r="J9"/>
  <c r="I9"/>
  <c r="G9"/>
  <c r="F9"/>
  <c r="F8" s="1"/>
  <c r="E9"/>
  <c r="D9"/>
  <c r="R7"/>
  <c r="Q7"/>
  <c r="O7"/>
  <c r="N7"/>
  <c r="M7"/>
  <c r="L7"/>
  <c r="K7"/>
  <c r="J7"/>
  <c r="I7"/>
  <c r="H7"/>
  <c r="G7"/>
  <c r="F7"/>
  <c r="E7"/>
  <c r="D7"/>
  <c r="C7" s="1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C237" s="1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C233" s="1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C217" s="1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C204" s="1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C189" s="1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C187" s="1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2" i="8"/>
  <c r="D201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C221" i="8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27" i="18"/>
  <c r="AF65"/>
  <c r="AU65"/>
  <c r="BI56"/>
  <c r="AH7"/>
  <c r="L11"/>
  <c r="AH11"/>
  <c r="CS11"/>
  <c r="BD17"/>
  <c r="CQ24"/>
  <c r="AJ33"/>
  <c r="CQ49"/>
  <c r="H57"/>
  <c r="AZ57"/>
  <c r="AL65"/>
  <c r="AN67"/>
  <c r="CP67"/>
  <c r="CQ74"/>
  <c r="AJ75"/>
  <c r="CP7"/>
  <c r="K11"/>
  <c r="AR12"/>
  <c r="CQ34"/>
  <c r="AM67"/>
  <c r="CQ36"/>
  <c r="CS67"/>
  <c r="CA65"/>
  <c r="H21" i="15"/>
  <c r="G21"/>
  <c r="AF57" i="18"/>
  <c r="I82" i="17"/>
  <c r="I38"/>
  <c r="K19"/>
  <c r="F140"/>
  <c r="F143" s="1"/>
  <c r="I19"/>
  <c r="H26" i="15"/>
  <c r="G26"/>
  <c r="E25"/>
  <c r="AJ35" i="18"/>
  <c r="AI33"/>
  <c r="CB27"/>
  <c r="CQ9"/>
  <c r="AJ72"/>
  <c r="CQ72"/>
  <c r="V10"/>
  <c r="AJ70"/>
  <c r="H54" i="15"/>
  <c r="D67"/>
  <c r="CE12" i="18"/>
  <c r="CB7"/>
  <c r="CA7"/>
  <c r="AI69"/>
  <c r="AJ69"/>
  <c r="AC56"/>
  <c r="U56"/>
  <c r="M56"/>
  <c r="AJ19"/>
  <c r="AJ58"/>
  <c r="CJ12"/>
  <c r="CJ27"/>
  <c r="AS56"/>
  <c r="CB65"/>
  <c r="H65"/>
  <c r="AJ50"/>
  <c r="CB48" l="1"/>
  <c r="CK51"/>
  <c r="C219" i="8"/>
  <c r="C207"/>
  <c r="D130"/>
  <c r="D128" s="1"/>
  <c r="C162"/>
  <c r="C170"/>
  <c r="M206"/>
  <c r="F223"/>
  <c r="J223"/>
  <c r="N130"/>
  <c r="C190"/>
  <c r="C211"/>
  <c r="C227"/>
  <c r="S227" s="1"/>
  <c r="C102"/>
  <c r="C104"/>
  <c r="C106"/>
  <c r="G101"/>
  <c r="K101"/>
  <c r="O101"/>
  <c r="C108"/>
  <c r="C110"/>
  <c r="C112"/>
  <c r="CQ41" i="18"/>
  <c r="CK41"/>
  <c r="CQ43"/>
  <c r="CK43"/>
  <c r="CM43" s="1"/>
  <c r="CK50"/>
  <c r="CQ29"/>
  <c r="CK29"/>
  <c r="CQ35"/>
  <c r="CK35"/>
  <c r="CK32"/>
  <c r="CN32" s="1"/>
  <c r="CK37"/>
  <c r="CK38"/>
  <c r="CK39"/>
  <c r="CK54"/>
  <c r="CQ40"/>
  <c r="CK40"/>
  <c r="CQ42"/>
  <c r="CK42"/>
  <c r="CQ58"/>
  <c r="CK58"/>
  <c r="AI6"/>
  <c r="H7"/>
  <c r="X7"/>
  <c r="CN14"/>
  <c r="BJ10"/>
  <c r="BB48"/>
  <c r="CK52"/>
  <c r="CQ75"/>
  <c r="CK75"/>
  <c r="CQ66"/>
  <c r="CK66"/>
  <c r="CK67"/>
  <c r="CK72"/>
  <c r="CQ69"/>
  <c r="CK69"/>
  <c r="CQ70"/>
  <c r="CK70"/>
  <c r="AJ73"/>
  <c r="CK73"/>
  <c r="AJ74"/>
  <c r="CK74"/>
  <c r="T16"/>
  <c r="BB16"/>
  <c r="I140" i="8"/>
  <c r="E79"/>
  <c r="D15"/>
  <c r="F101"/>
  <c r="J101"/>
  <c r="C191"/>
  <c r="S191" s="1"/>
  <c r="E8"/>
  <c r="C210"/>
  <c r="C213"/>
  <c r="C133"/>
  <c r="S133" s="1"/>
  <c r="C150"/>
  <c r="C152"/>
  <c r="C72"/>
  <c r="C161"/>
  <c r="S161" s="1"/>
  <c r="G137"/>
  <c r="C165"/>
  <c r="Q137"/>
  <c r="C169"/>
  <c r="D193"/>
  <c r="E201"/>
  <c r="E6"/>
  <c r="C142"/>
  <c r="S142" s="1"/>
  <c r="C153"/>
  <c r="C159"/>
  <c r="C196"/>
  <c r="S211"/>
  <c r="L137"/>
  <c r="C164"/>
  <c r="C172"/>
  <c r="C174"/>
  <c r="S174" s="1"/>
  <c r="C179"/>
  <c r="C181"/>
  <c r="S181" s="1"/>
  <c r="C186"/>
  <c r="J201"/>
  <c r="C203"/>
  <c r="C205"/>
  <c r="S205" s="1"/>
  <c r="L206"/>
  <c r="C209"/>
  <c r="S209" s="1"/>
  <c r="C212"/>
  <c r="S212" s="1"/>
  <c r="E23"/>
  <c r="C113"/>
  <c r="S113" s="1"/>
  <c r="C115"/>
  <c r="S115" s="1"/>
  <c r="S217"/>
  <c r="N128"/>
  <c r="S190"/>
  <c r="C129"/>
  <c r="S129" s="1"/>
  <c r="U7" s="1"/>
  <c r="C132"/>
  <c r="S136"/>
  <c r="N137"/>
  <c r="C143"/>
  <c r="S143" s="1"/>
  <c r="C155"/>
  <c r="M201"/>
  <c r="R201"/>
  <c r="Q156"/>
  <c r="G193"/>
  <c r="I223"/>
  <c r="C144"/>
  <c r="S144" s="1"/>
  <c r="F130"/>
  <c r="F128" s="1"/>
  <c r="K130"/>
  <c r="O130"/>
  <c r="C157"/>
  <c r="S157" s="1"/>
  <c r="C228"/>
  <c r="S228" s="1"/>
  <c r="BM56" i="18"/>
  <c r="C218" i="8"/>
  <c r="C224"/>
  <c r="S224" s="1"/>
  <c r="C234"/>
  <c r="C163"/>
  <c r="S163" s="1"/>
  <c r="C167"/>
  <c r="S167" s="1"/>
  <c r="C173"/>
  <c r="C60"/>
  <c r="C63"/>
  <c r="S155"/>
  <c r="AI52" i="18"/>
  <c r="CN52"/>
  <c r="CQ51"/>
  <c r="CN51"/>
  <c r="I130" i="8"/>
  <c r="I128" s="1"/>
  <c r="M130"/>
  <c r="R130"/>
  <c r="E137"/>
  <c r="J137"/>
  <c r="C147"/>
  <c r="C149"/>
  <c r="C151"/>
  <c r="C175"/>
  <c r="S175" s="1"/>
  <c r="C185"/>
  <c r="J8"/>
  <c r="I15"/>
  <c r="M15"/>
  <c r="R15"/>
  <c r="S165"/>
  <c r="C160"/>
  <c r="S160" s="1"/>
  <c r="L156"/>
  <c r="C166"/>
  <c r="S166" s="1"/>
  <c r="C168"/>
  <c r="S168" s="1"/>
  <c r="C171"/>
  <c r="S171" s="1"/>
  <c r="S172"/>
  <c r="C176"/>
  <c r="S176" s="1"/>
  <c r="S179"/>
  <c r="C183"/>
  <c r="S183" s="1"/>
  <c r="S186"/>
  <c r="C188"/>
  <c r="S188" s="1"/>
  <c r="C192"/>
  <c r="S192" s="1"/>
  <c r="F193"/>
  <c r="S195"/>
  <c r="S203"/>
  <c r="L201"/>
  <c r="Q201"/>
  <c r="I201"/>
  <c r="C19"/>
  <c r="S19" s="1"/>
  <c r="CQ71" i="18"/>
  <c r="CK49"/>
  <c r="BP27"/>
  <c r="CQ33"/>
  <c r="CK33"/>
  <c r="AR7"/>
  <c r="AZ7"/>
  <c r="H12"/>
  <c r="BH12"/>
  <c r="BP12"/>
  <c r="S65"/>
  <c r="AB12"/>
  <c r="BL12"/>
  <c r="CK13"/>
  <c r="AJ14"/>
  <c r="CK15"/>
  <c r="J10"/>
  <c r="J5" s="1"/>
  <c r="CQ68"/>
  <c r="CD56"/>
  <c r="CQ67"/>
  <c r="G65"/>
  <c r="AV27"/>
  <c r="AN27"/>
  <c r="AB16"/>
  <c r="AS10"/>
  <c r="AS5" s="1"/>
  <c r="BZ10"/>
  <c r="BZ5" s="1"/>
  <c r="AD5"/>
  <c r="AD76" s="1"/>
  <c r="E56"/>
  <c r="AN16"/>
  <c r="BL7"/>
  <c r="BA12"/>
  <c r="AV12"/>
  <c r="CV7"/>
  <c r="AF12"/>
  <c r="CN50"/>
  <c r="AM65"/>
  <c r="AL56"/>
  <c r="AN7"/>
  <c r="BB7"/>
  <c r="AG65"/>
  <c r="CQ65" s="1"/>
  <c r="CQ6"/>
  <c r="BA7"/>
  <c r="BH7"/>
  <c r="BP7"/>
  <c r="CQ14"/>
  <c r="F56"/>
  <c r="AH57"/>
  <c r="AB27"/>
  <c r="CN37"/>
  <c r="AL10"/>
  <c r="AL5" s="1"/>
  <c r="AT10"/>
  <c r="AT5" s="1"/>
  <c r="AA27"/>
  <c r="BP57"/>
  <c r="BT12"/>
  <c r="BS12"/>
  <c r="AJ8"/>
  <c r="AI8"/>
  <c r="I56"/>
  <c r="CT7"/>
  <c r="CU7"/>
  <c r="BH65"/>
  <c r="AH12"/>
  <c r="AH10" s="1"/>
  <c r="AH5" s="1"/>
  <c r="CL13"/>
  <c r="CL12" s="1"/>
  <c r="L16"/>
  <c r="L27"/>
  <c r="CL11"/>
  <c r="O156" i="8"/>
  <c r="H156"/>
  <c r="N201"/>
  <c r="I206"/>
  <c r="R206"/>
  <c r="D18"/>
  <c r="C158"/>
  <c r="E71"/>
  <c r="D140"/>
  <c r="J145"/>
  <c r="S147"/>
  <c r="H145"/>
  <c r="S149"/>
  <c r="S151"/>
  <c r="O145"/>
  <c r="S153"/>
  <c r="K145"/>
  <c r="I156"/>
  <c r="C201"/>
  <c r="F156"/>
  <c r="C225"/>
  <c r="S225" s="1"/>
  <c r="C21"/>
  <c r="S219"/>
  <c r="S170"/>
  <c r="S169"/>
  <c r="D145"/>
  <c r="S162"/>
  <c r="D206"/>
  <c r="E193"/>
  <c r="C193" s="1"/>
  <c r="C238"/>
  <c r="L8"/>
  <c r="Q8"/>
  <c r="Q6" s="1"/>
  <c r="K15"/>
  <c r="R18"/>
  <c r="C49"/>
  <c r="S80"/>
  <c r="J79"/>
  <c r="C81"/>
  <c r="D84"/>
  <c r="S173"/>
  <c r="S204"/>
  <c r="S213"/>
  <c r="S207"/>
  <c r="S187"/>
  <c r="L145"/>
  <c r="K156"/>
  <c r="S158"/>
  <c r="S159"/>
  <c r="S185"/>
  <c r="E206"/>
  <c r="N206"/>
  <c r="O223"/>
  <c r="S7"/>
  <c r="R79"/>
  <c r="H101"/>
  <c r="H118" s="1"/>
  <c r="H120" s="1"/>
  <c r="L101"/>
  <c r="C114"/>
  <c r="S17"/>
  <c r="S196"/>
  <c r="S132"/>
  <c r="S233"/>
  <c r="S221"/>
  <c r="S237"/>
  <c r="S210"/>
  <c r="S182"/>
  <c r="S189"/>
  <c r="E156"/>
  <c r="J156"/>
  <c r="N193"/>
  <c r="S218"/>
  <c r="C33"/>
  <c r="C62"/>
  <c r="C64"/>
  <c r="S64" s="1"/>
  <c r="C65"/>
  <c r="S65" s="1"/>
  <c r="AK56" i="18"/>
  <c r="AM56" s="1"/>
  <c r="CC56"/>
  <c r="CF56" s="1"/>
  <c r="CQ13"/>
  <c r="P57"/>
  <c r="AJ40"/>
  <c r="AI43"/>
  <c r="CW7"/>
  <c r="I10"/>
  <c r="I5" s="1"/>
  <c r="AJ26"/>
  <c r="AI67"/>
  <c r="CW48"/>
  <c r="AJ41"/>
  <c r="AI26"/>
  <c r="AG7"/>
  <c r="AI7" s="1"/>
  <c r="BH57"/>
  <c r="AV16"/>
  <c r="AB65"/>
  <c r="BL65"/>
  <c r="BW65"/>
  <c r="CW65"/>
  <c r="AQ65"/>
  <c r="BT65"/>
  <c r="BS65"/>
  <c r="BX56"/>
  <c r="W65"/>
  <c r="AJ67"/>
  <c r="CT48"/>
  <c r="CV48"/>
  <c r="CU48"/>
  <c r="CP12"/>
  <c r="CV12"/>
  <c r="CT12"/>
  <c r="CU12"/>
  <c r="T12"/>
  <c r="H34" i="8"/>
  <c r="C39"/>
  <c r="E130"/>
  <c r="E128" s="1"/>
  <c r="C128" s="1"/>
  <c r="K137"/>
  <c r="O137"/>
  <c r="G140"/>
  <c r="L140"/>
  <c r="L134" s="1"/>
  <c r="G206"/>
  <c r="H223"/>
  <c r="H240" s="1"/>
  <c r="H242" s="1"/>
  <c r="I8"/>
  <c r="E34"/>
  <c r="R34"/>
  <c r="S62"/>
  <c r="C67"/>
  <c r="S67" s="1"/>
  <c r="C69"/>
  <c r="S69" s="1"/>
  <c r="F71"/>
  <c r="S73"/>
  <c r="S75"/>
  <c r="C97"/>
  <c r="C99"/>
  <c r="S99" s="1"/>
  <c r="C139"/>
  <c r="S139" s="1"/>
  <c r="F140"/>
  <c r="K140"/>
  <c r="I145"/>
  <c r="L18"/>
  <c r="E101"/>
  <c r="I101"/>
  <c r="M101"/>
  <c r="C229"/>
  <c r="S229" s="1"/>
  <c r="C231"/>
  <c r="G18"/>
  <c r="C22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37"/>
  <c r="S39"/>
  <c r="C42"/>
  <c r="S42" s="1"/>
  <c r="F79"/>
  <c r="J84"/>
  <c r="S97"/>
  <c r="C116"/>
  <c r="G118"/>
  <c r="G120" s="1"/>
  <c r="BY56" i="18"/>
  <c r="CW57"/>
  <c r="CA12"/>
  <c r="CW12"/>
  <c r="K37" i="17"/>
  <c r="CW27" i="18"/>
  <c r="AG16"/>
  <c r="AI16" s="1"/>
  <c r="CW16"/>
  <c r="AI17"/>
  <c r="BT16"/>
  <c r="BI10"/>
  <c r="BI5" s="1"/>
  <c r="BI76" s="1"/>
  <c r="T65"/>
  <c r="CV16"/>
  <c r="CT16"/>
  <c r="CU16"/>
  <c r="BD28"/>
  <c r="AN56"/>
  <c r="AN65"/>
  <c r="AJ24"/>
  <c r="AB57"/>
  <c r="X56"/>
  <c r="G15" i="8"/>
  <c r="O23"/>
  <c r="C57"/>
  <c r="S57" s="1"/>
  <c r="C141"/>
  <c r="S141" s="1"/>
  <c r="I6"/>
  <c r="S14"/>
  <c r="L23"/>
  <c r="D101"/>
  <c r="S234"/>
  <c r="J18"/>
  <c r="I18"/>
  <c r="C29"/>
  <c r="S29" s="1"/>
  <c r="S33"/>
  <c r="C48"/>
  <c r="S48" s="1"/>
  <c r="S49"/>
  <c r="C83"/>
  <c r="S150"/>
  <c r="R128"/>
  <c r="G130"/>
  <c r="L130"/>
  <c r="Q130"/>
  <c r="Q128" s="1"/>
  <c r="C135"/>
  <c r="S135" s="1"/>
  <c r="R137"/>
  <c r="L6"/>
  <c r="C13"/>
  <c r="S13" s="1"/>
  <c r="Q34"/>
  <c r="C98"/>
  <c r="S98" s="1"/>
  <c r="C100"/>
  <c r="S100" s="1"/>
  <c r="S148"/>
  <c r="Q145"/>
  <c r="M145"/>
  <c r="G145"/>
  <c r="S231"/>
  <c r="L15"/>
  <c r="Q15"/>
  <c r="C24"/>
  <c r="C35"/>
  <c r="S35" s="1"/>
  <c r="G34"/>
  <c r="L34"/>
  <c r="I34"/>
  <c r="O34"/>
  <c r="S72"/>
  <c r="G79"/>
  <c r="K79"/>
  <c r="O79"/>
  <c r="I84"/>
  <c r="C88"/>
  <c r="S88" s="1"/>
  <c r="N84"/>
  <c r="C91"/>
  <c r="S91" s="1"/>
  <c r="C96"/>
  <c r="S96" s="1"/>
  <c r="M128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S83"/>
  <c r="G84"/>
  <c r="L84"/>
  <c r="Q84"/>
  <c r="C87"/>
  <c r="N101"/>
  <c r="L128"/>
  <c r="K206"/>
  <c r="S208"/>
  <c r="Q206"/>
  <c r="F206"/>
  <c r="L223"/>
  <c r="Q223"/>
  <c r="C226"/>
  <c r="C230"/>
  <c r="C232"/>
  <c r="S232" s="1"/>
  <c r="S238"/>
  <c r="C15"/>
  <c r="S22"/>
  <c r="D23"/>
  <c r="C23" s="1"/>
  <c r="H23"/>
  <c r="C28"/>
  <c r="S28" s="1"/>
  <c r="J34"/>
  <c r="S58"/>
  <c r="C95"/>
  <c r="S95" s="1"/>
  <c r="C131"/>
  <c r="S131" s="1"/>
  <c r="M137"/>
  <c r="J140"/>
  <c r="C146"/>
  <c r="C184"/>
  <c r="S184" s="1"/>
  <c r="S198"/>
  <c r="C215"/>
  <c r="S215" s="1"/>
  <c r="C43"/>
  <c r="S43" s="1"/>
  <c r="C45"/>
  <c r="S45" s="1"/>
  <c r="C47"/>
  <c r="S47" s="1"/>
  <c r="C51"/>
  <c r="S51" s="1"/>
  <c r="N34"/>
  <c r="C82"/>
  <c r="E84"/>
  <c r="C84" s="1"/>
  <c r="C86"/>
  <c r="S86" s="1"/>
  <c r="S92"/>
  <c r="CF65" i="18"/>
  <c r="D57" i="15"/>
  <c r="J92" i="17"/>
  <c r="J82"/>
  <c r="J37"/>
  <c r="J38"/>
  <c r="J19"/>
  <c r="J6"/>
  <c r="E74"/>
  <c r="I74" s="1"/>
  <c r="I75"/>
  <c r="G140"/>
  <c r="G143" s="1"/>
  <c r="BN10" i="18"/>
  <c r="AJ36"/>
  <c r="BT27"/>
  <c r="CI27"/>
  <c r="CI57"/>
  <c r="BK56"/>
  <c r="BL56"/>
  <c r="CM14"/>
  <c r="CL27"/>
  <c r="CM6"/>
  <c r="CN6"/>
  <c r="AV57"/>
  <c r="AU56"/>
  <c r="CK9"/>
  <c r="CL16"/>
  <c r="CL10" s="1"/>
  <c r="CL5" s="1"/>
  <c r="CB16"/>
  <c r="AJ13"/>
  <c r="Q56"/>
  <c r="S56" s="1"/>
  <c r="Y56"/>
  <c r="BA16"/>
  <c r="BD16" s="1"/>
  <c r="AA65"/>
  <c r="CS12"/>
  <c r="AJ11"/>
  <c r="BE56"/>
  <c r="BG56" s="1"/>
  <c r="Q10"/>
  <c r="Q5" s="1"/>
  <c r="BE10"/>
  <c r="BG10" s="1"/>
  <c r="BM10"/>
  <c r="CA16"/>
  <c r="CK17"/>
  <c r="CN17" s="1"/>
  <c r="CK19"/>
  <c r="CN19" s="1"/>
  <c r="CS26"/>
  <c r="Z10"/>
  <c r="Z5" s="1"/>
  <c r="AB48"/>
  <c r="AJ54"/>
  <c r="BL57"/>
  <c r="CS58"/>
  <c r="CQ63"/>
  <c r="P68"/>
  <c r="CK11"/>
  <c r="CE56"/>
  <c r="L65"/>
  <c r="AM57"/>
  <c r="AI37"/>
  <c r="AN57"/>
  <c r="AJ63"/>
  <c r="AJ51"/>
  <c r="CL7"/>
  <c r="AJ66"/>
  <c r="AJ6"/>
  <c r="AB7"/>
  <c r="P12"/>
  <c r="BX12"/>
  <c r="BD13"/>
  <c r="BL16"/>
  <c r="H46"/>
  <c r="CM54"/>
  <c r="CP58"/>
  <c r="N65"/>
  <c r="N56" s="1"/>
  <c r="BD12"/>
  <c r="AO56"/>
  <c r="AQ56" s="1"/>
  <c r="V5"/>
  <c r="CQ37"/>
  <c r="AG12"/>
  <c r="CQ12" s="1"/>
  <c r="AI66"/>
  <c r="AV7"/>
  <c r="BW7"/>
  <c r="AK10"/>
  <c r="F27"/>
  <c r="H27" s="1"/>
  <c r="AX27"/>
  <c r="AZ27" s="1"/>
  <c r="CN44"/>
  <c r="T46"/>
  <c r="AI51"/>
  <c r="AX65"/>
  <c r="CK8"/>
  <c r="CN8" s="1"/>
  <c r="AR57"/>
  <c r="C130" i="8"/>
  <c r="J6"/>
  <c r="N79"/>
  <c r="D137"/>
  <c r="C137" s="1"/>
  <c r="F137"/>
  <c r="F134" s="1"/>
  <c r="M140"/>
  <c r="N140" s="1"/>
  <c r="R140"/>
  <c r="S202"/>
  <c r="O206"/>
  <c r="C216"/>
  <c r="S216" s="1"/>
  <c r="D223"/>
  <c r="G223"/>
  <c r="G240" s="1"/>
  <c r="G242" s="1"/>
  <c r="M223"/>
  <c r="C235"/>
  <c r="S235" s="1"/>
  <c r="O6"/>
  <c r="C11"/>
  <c r="S11" s="1"/>
  <c r="J15"/>
  <c r="Q18"/>
  <c r="F23"/>
  <c r="K23"/>
  <c r="N23"/>
  <c r="C30"/>
  <c r="S30" s="1"/>
  <c r="D34"/>
  <c r="M34"/>
  <c r="O128"/>
  <c r="K128"/>
  <c r="J134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I79"/>
  <c r="K84"/>
  <c r="R84"/>
  <c r="C90"/>
  <c r="S90" s="1"/>
  <c r="E145"/>
  <c r="D156"/>
  <c r="C156" s="1"/>
  <c r="J130"/>
  <c r="J128" s="1"/>
  <c r="H134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102"/>
  <c r="S104"/>
  <c r="S106"/>
  <c r="S108"/>
  <c r="S110"/>
  <c r="S112"/>
  <c r="S114"/>
  <c r="S116"/>
  <c r="S146"/>
  <c r="M156"/>
  <c r="S164"/>
  <c r="C194"/>
  <c r="S194" s="1"/>
  <c r="F201"/>
  <c r="K201"/>
  <c r="E223"/>
  <c r="S226"/>
  <c r="S230"/>
  <c r="E18"/>
  <c r="G12"/>
  <c r="C53"/>
  <c r="S53" s="1"/>
  <c r="L71"/>
  <c r="N71" s="1"/>
  <c r="F84"/>
  <c r="M84"/>
  <c r="C93"/>
  <c r="S93" s="1"/>
  <c r="X57" i="18"/>
  <c r="O16"/>
  <c r="AJ17"/>
  <c r="CQ19"/>
  <c r="H16"/>
  <c r="AI18"/>
  <c r="CK20"/>
  <c r="CK21"/>
  <c r="CN21" s="1"/>
  <c r="CK24"/>
  <c r="CM24" s="1"/>
  <c r="BU10"/>
  <c r="E10"/>
  <c r="E5" s="1"/>
  <c r="AE16"/>
  <c r="AJ20"/>
  <c r="CK47"/>
  <c r="CE7"/>
  <c r="BV10"/>
  <c r="CD10"/>
  <c r="CD5" s="1"/>
  <c r="CD76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X7" i="18"/>
  <c r="C94" i="15"/>
  <c r="H91"/>
  <c r="E94"/>
  <c r="G57"/>
  <c r="H57"/>
  <c r="H31"/>
  <c r="G25"/>
  <c r="H17"/>
  <c r="F5"/>
  <c r="F53" s="1"/>
  <c r="F95" s="1"/>
  <c r="S152" i="8"/>
  <c r="N145"/>
  <c r="I134"/>
  <c r="O134"/>
  <c r="O127" s="1"/>
  <c r="O240" s="1"/>
  <c r="O242" s="1"/>
  <c r="S180"/>
  <c r="J12"/>
  <c r="S177"/>
  <c r="N156"/>
  <c r="S156" s="1"/>
  <c r="U34" s="1"/>
  <c r="D8"/>
  <c r="D33" i="15"/>
  <c r="H25"/>
  <c r="D20"/>
  <c r="H20"/>
  <c r="G20"/>
  <c r="D17"/>
  <c r="D15" s="1"/>
  <c r="G17"/>
  <c r="E15"/>
  <c r="E5" s="1"/>
  <c r="G6"/>
  <c r="H6"/>
  <c r="C25"/>
  <c r="D25" s="1"/>
  <c r="D6"/>
  <c r="AF56" i="18"/>
  <c r="BX65"/>
  <c r="AJ30"/>
  <c r="BD8"/>
  <c r="AR65"/>
  <c r="BD43"/>
  <c r="CN41"/>
  <c r="CN33"/>
  <c r="CM42"/>
  <c r="CM38"/>
  <c r="BD41"/>
  <c r="BD42"/>
  <c r="CN43"/>
  <c r="CN20"/>
  <c r="CM19"/>
  <c r="CQ17"/>
  <c r="CK26"/>
  <c r="CN26" s="1"/>
  <c r="BD25"/>
  <c r="CK18"/>
  <c r="CM18" s="1"/>
  <c r="AJ46"/>
  <c r="CQ73"/>
  <c r="BQ56"/>
  <c r="BX57"/>
  <c r="CE57"/>
  <c r="CE65"/>
  <c r="BZ56"/>
  <c r="CQ30"/>
  <c r="W16"/>
  <c r="AR16"/>
  <c r="AY16"/>
  <c r="BH16"/>
  <c r="CK25"/>
  <c r="CN25" s="1"/>
  <c r="AZ16"/>
  <c r="BP16"/>
  <c r="CJ16"/>
  <c r="CP16"/>
  <c r="BX16"/>
  <c r="CE16"/>
  <c r="G16"/>
  <c r="S16"/>
  <c r="P27"/>
  <c r="BL27"/>
  <c r="BX27"/>
  <c r="BD36"/>
  <c r="U10"/>
  <c r="X10" s="1"/>
  <c r="AC10"/>
  <c r="AE10" s="1"/>
  <c r="AM16"/>
  <c r="AU16"/>
  <c r="AJ18"/>
  <c r="CG76"/>
  <c r="AJ47"/>
  <c r="BD46"/>
  <c r="AJ45"/>
  <c r="CQ50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2" i="18"/>
  <c r="CQ52"/>
  <c r="P48"/>
  <c r="X48"/>
  <c r="CF27"/>
  <c r="BD47"/>
  <c r="CQ44"/>
  <c r="AJ44"/>
  <c r="BJ5"/>
  <c r="BJ76" s="1"/>
  <c r="AJ34"/>
  <c r="BD29"/>
  <c r="CN30"/>
  <c r="AP5"/>
  <c r="AP76" s="1"/>
  <c r="BN5"/>
  <c r="CJ57"/>
  <c r="CF16"/>
  <c r="CF57"/>
  <c r="CN54"/>
  <c r="BM5"/>
  <c r="BM76" s="1"/>
  <c r="AJ48"/>
  <c r="CQ54"/>
  <c r="BF5"/>
  <c r="AK5"/>
  <c r="T48"/>
  <c r="CS48"/>
  <c r="CQ38"/>
  <c r="X27"/>
  <c r="AR27"/>
  <c r="CQ39"/>
  <c r="AJ39"/>
  <c r="CP48"/>
  <c r="CE27"/>
  <c r="CQ32"/>
  <c r="Y10"/>
  <c r="Y5" s="1"/>
  <c r="Y76" s="1"/>
  <c r="BD33"/>
  <c r="CQ47"/>
  <c r="AJ42"/>
  <c r="BA27"/>
  <c r="BD30"/>
  <c r="CQ48"/>
  <c r="H48"/>
  <c r="AJ43"/>
  <c r="CQ28"/>
  <c r="CC10"/>
  <c r="AW10"/>
  <c r="AJ28"/>
  <c r="AJ29"/>
  <c r="BD32"/>
  <c r="BD34"/>
  <c r="BD35"/>
  <c r="CQ46"/>
  <c r="CN46"/>
  <c r="CN42"/>
  <c r="AO10"/>
  <c r="AR10" s="1"/>
  <c r="CN49"/>
  <c r="AJ32"/>
  <c r="AN48"/>
  <c r="CB12"/>
  <c r="BW56"/>
  <c r="AE27"/>
  <c r="AE65"/>
  <c r="K65"/>
  <c r="X65"/>
  <c r="T57"/>
  <c r="W56"/>
  <c r="M10"/>
  <c r="M5" s="1"/>
  <c r="M76" s="1"/>
  <c r="W27"/>
  <c r="X16"/>
  <c r="P16"/>
  <c r="K16"/>
  <c r="AE56"/>
  <c r="AJ21"/>
  <c r="CS7"/>
  <c r="P7"/>
  <c r="CQ25"/>
  <c r="AJ25"/>
  <c r="AJ37"/>
  <c r="AJ38"/>
  <c r="L48"/>
  <c r="O27"/>
  <c r="K27"/>
  <c r="AJ49"/>
  <c r="CQ57"/>
  <c r="V76"/>
  <c r="AB56"/>
  <c r="AJ71"/>
  <c r="CF12"/>
  <c r="CF7"/>
  <c r="CB57"/>
  <c r="BY10"/>
  <c r="BP65"/>
  <c r="BK65"/>
  <c r="BG65"/>
  <c r="AW56"/>
  <c r="AV65"/>
  <c r="BA65"/>
  <c r="BA57"/>
  <c r="AR48"/>
  <c r="BD49"/>
  <c r="BD48" s="1"/>
  <c r="AX10"/>
  <c r="BD37"/>
  <c r="AQ16"/>
  <c r="BC16"/>
  <c r="AU5"/>
  <c r="AS76"/>
  <c r="BC11"/>
  <c r="CS16"/>
  <c r="AI11"/>
  <c r="H12" i="8" l="1"/>
  <c r="K134"/>
  <c r="L12"/>
  <c r="R134"/>
  <c r="R127" s="1"/>
  <c r="R240" s="1"/>
  <c r="R242" s="1"/>
  <c r="I12"/>
  <c r="C206"/>
  <c r="L127"/>
  <c r="C79"/>
  <c r="S79" s="1"/>
  <c r="J5"/>
  <c r="J118" s="1"/>
  <c r="J120" s="1"/>
  <c r="N223"/>
  <c r="BD7" i="18"/>
  <c r="C101" i="8"/>
  <c r="S101" s="1"/>
  <c r="L240"/>
  <c r="L242" s="1"/>
  <c r="CK65" i="18"/>
  <c r="AM10"/>
  <c r="BE5"/>
  <c r="BE76" s="1"/>
  <c r="AG56"/>
  <c r="CQ56" s="1"/>
  <c r="CM47"/>
  <c r="CK27"/>
  <c r="CN11"/>
  <c r="CK57"/>
  <c r="CN47"/>
  <c r="BK10"/>
  <c r="CN36"/>
  <c r="AR56"/>
  <c r="T56"/>
  <c r="CM17"/>
  <c r="BU5"/>
  <c r="BU76" s="1"/>
  <c r="CM37"/>
  <c r="AV5"/>
  <c r="G56"/>
  <c r="AJ57"/>
  <c r="AV10"/>
  <c r="K10"/>
  <c r="CK12"/>
  <c r="CM12" s="1"/>
  <c r="BP10"/>
  <c r="CM51"/>
  <c r="AU10"/>
  <c r="AZ65"/>
  <c r="AX56"/>
  <c r="AY56" s="1"/>
  <c r="BH56"/>
  <c r="AH56"/>
  <c r="AH76" s="1"/>
  <c r="BB10"/>
  <c r="G27"/>
  <c r="F10"/>
  <c r="F5" s="1"/>
  <c r="CB56"/>
  <c r="CQ16"/>
  <c r="CM11"/>
  <c r="CN13"/>
  <c r="CM13"/>
  <c r="CM48"/>
  <c r="CN45"/>
  <c r="C145" i="8"/>
  <c r="S145" s="1"/>
  <c r="U23" s="1"/>
  <c r="S206"/>
  <c r="U84" s="1"/>
  <c r="M12"/>
  <c r="M5" s="1"/>
  <c r="M118" s="1"/>
  <c r="M120" s="1"/>
  <c r="O12"/>
  <c r="O5" s="1"/>
  <c r="O118" s="1"/>
  <c r="O120" s="1"/>
  <c r="S130"/>
  <c r="Q134"/>
  <c r="Q127" s="1"/>
  <c r="Q240" s="1"/>
  <c r="Q242" s="1"/>
  <c r="F12"/>
  <c r="F5" s="1"/>
  <c r="F118" s="1"/>
  <c r="F120" s="1"/>
  <c r="N18"/>
  <c r="N12" s="1"/>
  <c r="S193"/>
  <c r="M134"/>
  <c r="M127" s="1"/>
  <c r="N127" s="1"/>
  <c r="N240" s="1"/>
  <c r="N242" s="1"/>
  <c r="I5"/>
  <c r="I118" s="1"/>
  <c r="I120" s="1"/>
  <c r="G134"/>
  <c r="C34"/>
  <c r="S34" s="1"/>
  <c r="K12"/>
  <c r="K5" s="1"/>
  <c r="K118" s="1"/>
  <c r="K120" s="1"/>
  <c r="E12"/>
  <c r="E5" s="1"/>
  <c r="E118" s="1"/>
  <c r="E120" s="1"/>
  <c r="S15"/>
  <c r="CK16" i="18"/>
  <c r="CN16" s="1"/>
  <c r="CQ7"/>
  <c r="CK7"/>
  <c r="CN7" s="1"/>
  <c r="AJ7"/>
  <c r="CM21"/>
  <c r="AT76"/>
  <c r="AV76" s="1"/>
  <c r="AJ12"/>
  <c r="K5"/>
  <c r="I76"/>
  <c r="CT65"/>
  <c r="CW56"/>
  <c r="BS56"/>
  <c r="BT56"/>
  <c r="CV65"/>
  <c r="CU65"/>
  <c r="S201" i="8"/>
  <c r="E134"/>
  <c r="E127" s="1"/>
  <c r="E240" s="1"/>
  <c r="E242" s="1"/>
  <c r="S128"/>
  <c r="CU27" i="18"/>
  <c r="CV27"/>
  <c r="CT27"/>
  <c r="BV5"/>
  <c r="BV76" s="1"/>
  <c r="CA10"/>
  <c r="BL10"/>
  <c r="BZ76"/>
  <c r="BO10"/>
  <c r="CW10"/>
  <c r="AN5"/>
  <c r="AL76"/>
  <c r="CP65"/>
  <c r="J127" i="8"/>
  <c r="J240" s="1"/>
  <c r="J242" s="1"/>
  <c r="S71"/>
  <c r="L5"/>
  <c r="L118" s="1"/>
  <c r="L120" s="1"/>
  <c r="E140" i="17"/>
  <c r="I140" s="1"/>
  <c r="AN10" i="18"/>
  <c r="CF10"/>
  <c r="BX10"/>
  <c r="BQ5"/>
  <c r="BQ76" s="1"/>
  <c r="BT10"/>
  <c r="BS10"/>
  <c r="CN38"/>
  <c r="CN58"/>
  <c r="CA56"/>
  <c r="CN24"/>
  <c r="BH10"/>
  <c r="CM26"/>
  <c r="CM8"/>
  <c r="AV56"/>
  <c r="AY65"/>
  <c r="CS27"/>
  <c r="CP27"/>
  <c r="P65"/>
  <c r="N76"/>
  <c r="O65"/>
  <c r="BD57"/>
  <c r="BD58"/>
  <c r="CI65"/>
  <c r="CJ65"/>
  <c r="AI68"/>
  <c r="AJ68"/>
  <c r="CS65"/>
  <c r="T27"/>
  <c r="S27"/>
  <c r="R10"/>
  <c r="N134" i="8"/>
  <c r="F127"/>
  <c r="F240" s="1"/>
  <c r="F242" s="1"/>
  <c r="C140"/>
  <c r="S140" s="1"/>
  <c r="C18"/>
  <c r="R5"/>
  <c r="R118" s="1"/>
  <c r="R120" s="1"/>
  <c r="S84"/>
  <c r="Q12"/>
  <c r="Q5" s="1"/>
  <c r="Q118" s="1"/>
  <c r="Q120" s="1"/>
  <c r="S137"/>
  <c r="C223"/>
  <c r="S223" s="1"/>
  <c r="U101" s="1"/>
  <c r="D12"/>
  <c r="S23"/>
  <c r="K127"/>
  <c r="K240" s="1"/>
  <c r="K242" s="1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I127" i="8"/>
  <c r="I240" s="1"/>
  <c r="I242" s="1"/>
  <c r="C8"/>
  <c r="S8" s="1"/>
  <c r="D6"/>
  <c r="H15" i="15"/>
  <c r="G15"/>
  <c r="G5"/>
  <c r="E53"/>
  <c r="CJ10" i="18"/>
  <c r="CN35"/>
  <c r="AJ16"/>
  <c r="Z76"/>
  <c r="AB76" s="1"/>
  <c r="H56"/>
  <c r="AA56"/>
  <c r="CI10"/>
  <c r="CQ27"/>
  <c r="CM27"/>
  <c r="U5"/>
  <c r="W5" s="1"/>
  <c r="AF10"/>
  <c r="AC5"/>
  <c r="AC76" s="1"/>
  <c r="CN34"/>
  <c r="W10"/>
  <c r="CN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BW5"/>
  <c r="AG10"/>
  <c r="AJ27"/>
  <c r="BA10"/>
  <c r="AK76"/>
  <c r="CN28"/>
  <c r="AX5"/>
  <c r="BB5" s="1"/>
  <c r="AB10"/>
  <c r="AY10"/>
  <c r="CN48"/>
  <c r="BH5"/>
  <c r="BG5"/>
  <c r="CN29"/>
  <c r="AW5"/>
  <c r="AW76" s="1"/>
  <c r="P10"/>
  <c r="O10"/>
  <c r="CI5"/>
  <c r="AO5"/>
  <c r="AQ10"/>
  <c r="CE10"/>
  <c r="CC5"/>
  <c r="E76"/>
  <c r="AA5"/>
  <c r="AB5"/>
  <c r="Q76"/>
  <c r="P5"/>
  <c r="CN40"/>
  <c r="O5"/>
  <c r="CN39"/>
  <c r="CJ5"/>
  <c r="BY5"/>
  <c r="BY76" s="1"/>
  <c r="CB10"/>
  <c r="BN76"/>
  <c r="BP56"/>
  <c r="BO56"/>
  <c r="BL76"/>
  <c r="BK76"/>
  <c r="BA56"/>
  <c r="AZ10"/>
  <c r="CN57" l="1"/>
  <c r="C12" i="8"/>
  <c r="S12" s="1"/>
  <c r="BG76" i="18"/>
  <c r="BH76"/>
  <c r="CK10"/>
  <c r="CK56"/>
  <c r="CN12"/>
  <c r="BX5"/>
  <c r="CM16"/>
  <c r="AU76"/>
  <c r="AM76"/>
  <c r="CM7"/>
  <c r="AZ56"/>
  <c r="BD10"/>
  <c r="M240" i="8"/>
  <c r="M242" s="1"/>
  <c r="S18"/>
  <c r="AX76" i="18"/>
  <c r="AY76" s="1"/>
  <c r="BX76"/>
  <c r="BW76"/>
  <c r="N5" i="8"/>
  <c r="N118" s="1"/>
  <c r="N120" s="1"/>
  <c r="E143" i="17"/>
  <c r="I143" s="1"/>
  <c r="CW5" i="18"/>
  <c r="CU10"/>
  <c r="CT10"/>
  <c r="CV10"/>
  <c r="O76"/>
  <c r="CJ76"/>
  <c r="CI76"/>
  <c r="CS10"/>
  <c r="BT76"/>
  <c r="BS76"/>
  <c r="CP10"/>
  <c r="BS5"/>
  <c r="BT5"/>
  <c r="O56"/>
  <c r="P56"/>
  <c r="CI56"/>
  <c r="CJ56"/>
  <c r="AJ65"/>
  <c r="AI65"/>
  <c r="G10"/>
  <c r="H10"/>
  <c r="P76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6"/>
  <c r="AF76"/>
  <c r="X5"/>
  <c r="U76"/>
  <c r="AG5"/>
  <c r="AE76"/>
  <c r="AE5"/>
  <c r="CN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6" i="18"/>
  <c r="AJ10"/>
  <c r="AI10"/>
  <c r="BC10"/>
  <c r="CQ10"/>
  <c r="AY5"/>
  <c r="AO76"/>
  <c r="BA5"/>
  <c r="AQ5"/>
  <c r="AR5"/>
  <c r="AZ5"/>
  <c r="CC76"/>
  <c r="CF5"/>
  <c r="CE5"/>
  <c r="CM57"/>
  <c r="CB5"/>
  <c r="CA5"/>
  <c r="BP76"/>
  <c r="BO76"/>
  <c r="CN10" l="1"/>
  <c r="CK5"/>
  <c r="AZ76"/>
  <c r="AJ5"/>
  <c r="AG76"/>
  <c r="CW76"/>
  <c r="CU5"/>
  <c r="CT5"/>
  <c r="CV5"/>
  <c r="CS5"/>
  <c r="F76"/>
  <c r="G5"/>
  <c r="H5"/>
  <c r="AJ56"/>
  <c r="AI56"/>
  <c r="CP5"/>
  <c r="R76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Q5"/>
  <c r="X76"/>
  <c r="W76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76"/>
  <c r="AQ76"/>
  <c r="CF76"/>
  <c r="CE76"/>
  <c r="BA76"/>
  <c r="CA76"/>
  <c r="CB76"/>
  <c r="CK76" l="1"/>
  <c r="CM5"/>
  <c r="AI76"/>
  <c r="CQ76"/>
  <c r="T76"/>
  <c r="S76"/>
  <c r="G76"/>
  <c r="H76"/>
  <c r="S127" i="8"/>
  <c r="S240" s="1"/>
  <c r="C240"/>
  <c r="C242" s="1"/>
  <c r="AJ76" i="18"/>
  <c r="O36" i="14"/>
  <c r="C118" i="8"/>
  <c r="C120" s="1"/>
  <c r="S5"/>
  <c r="S118" s="1"/>
  <c r="CN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H56" i="22" l="1"/>
  <c r="F55" l="1"/>
  <c r="G55" s="1"/>
  <c r="H55" l="1"/>
  <c r="G98"/>
  <c r="G99" l="1"/>
  <c r="H98"/>
  <c r="H99" l="1"/>
  <c r="CS57" i="18"/>
  <c r="CP57"/>
  <c r="CV57"/>
  <c r="CT57"/>
  <c r="L57"/>
  <c r="CU57"/>
  <c r="L56"/>
  <c r="CU56" l="1"/>
  <c r="K56"/>
  <c r="CV56"/>
  <c r="J76"/>
  <c r="CS56"/>
  <c r="CT56"/>
  <c r="CP56"/>
  <c r="CV76" l="1"/>
  <c r="CP76"/>
  <c r="CU76"/>
  <c r="CS76"/>
  <c r="K76"/>
  <c r="CT76"/>
  <c r="L76"/>
  <c r="BD75" l="1"/>
  <c r="CL75" l="1"/>
  <c r="CM75" l="1"/>
  <c r="CN75"/>
  <c r="CL74"/>
  <c r="CN74" s="1"/>
  <c r="BD74"/>
  <c r="CL73" l="1"/>
  <c r="CN73" s="1"/>
  <c r="BD73"/>
  <c r="BD72" l="1"/>
  <c r="CL72"/>
  <c r="BD71" l="1"/>
  <c r="CL71"/>
  <c r="CN72"/>
  <c r="CN71" l="1"/>
  <c r="BD70"/>
  <c r="CL70"/>
  <c r="CN70" l="1"/>
  <c r="CM70"/>
  <c r="BC69"/>
  <c r="BD69"/>
  <c r="CL69"/>
  <c r="CN69" l="1"/>
  <c r="CM69"/>
  <c r="BD68"/>
  <c r="CL68"/>
  <c r="CL67" l="1"/>
  <c r="BC67"/>
  <c r="BD67"/>
  <c r="CM68"/>
  <c r="CN68"/>
  <c r="CM67" l="1"/>
  <c r="CN67"/>
  <c r="BC66"/>
  <c r="CL66"/>
  <c r="BB65"/>
  <c r="BB56" s="1"/>
  <c r="BD66"/>
  <c r="BB76" l="1"/>
  <c r="BD56"/>
  <c r="BC56"/>
  <c r="BD65"/>
  <c r="BC65"/>
  <c r="CL65"/>
  <c r="CL56" s="1"/>
  <c r="CN66"/>
  <c r="CM66"/>
  <c r="BC76" l="1"/>
  <c r="BD76"/>
  <c r="CM56"/>
  <c r="CL76"/>
  <c r="CN56"/>
  <c r="CM65"/>
  <c r="CN65"/>
  <c r="CM76" l="1"/>
  <c r="CN76"/>
</calcChain>
</file>

<file path=xl/sharedStrings.xml><?xml version="1.0" encoding="utf-8"?>
<sst xmlns="http://schemas.openxmlformats.org/spreadsheetml/2006/main" count="2090" uniqueCount="969">
  <si>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</si>
  <si>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</si>
  <si>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</si>
  <si>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</si>
  <si>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</si>
  <si>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</si>
  <si>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</si>
  <si>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</si>
  <si>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</si>
  <si>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</si>
  <si>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</si>
  <si>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</si>
  <si>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</si>
  <si>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</si>
  <si>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</si>
  <si>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</si>
  <si>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</si>
  <si>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</si>
  <si>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</si>
  <si>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</si>
  <si>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</si>
  <si>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</si>
  <si>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</si>
  <si>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</si>
  <si>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</si>
  <si>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</si>
  <si>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</si>
  <si>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</si>
  <si>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</si>
  <si>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</si>
  <si>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</si>
  <si>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</si>
  <si>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</si>
  <si>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</si>
  <si>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</si>
  <si>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</si>
  <si>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</si>
  <si>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</si>
  <si>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</si>
  <si>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</si>
  <si>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</si>
  <si>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</si>
  <si>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</si>
  <si>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</si>
  <si>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</si>
  <si>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</si>
  <si>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</si>
  <si>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</si>
  <si>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</si>
  <si>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</si>
  <si>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</si>
  <si>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</si>
  <si>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</si>
  <si>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</si>
  <si>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</si>
  <si>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</si>
  <si>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</si>
  <si>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</si>
  <si>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</si>
  <si>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</si>
  <si>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</si>
  <si>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</si>
  <si>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</si>
  <si>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</si>
  <si>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</si>
  <si>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</si>
  <si>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</si>
  <si>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</si>
  <si>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</si>
  <si>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</si>
  <si>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</si>
  <si>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</si>
  <si>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</si>
  <si>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</si>
  <si>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</si>
  <si>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</si>
  <si>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</si>
  <si>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</si>
  <si>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</si>
  <si>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</si>
  <si>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</si>
  <si>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</si>
  <si>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</si>
  <si>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</si>
  <si>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</si>
  <si>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</si>
  <si>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</si>
  <si>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</si>
  <si>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</si>
  <si>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</si>
  <si>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</si>
  <si>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</si>
  <si>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</si>
  <si>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</si>
  <si>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</si>
  <si>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</si>
  <si>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</si>
  <si>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</si>
  <si>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</si>
  <si>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</si>
  <si>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</si>
  <si>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</si>
  <si>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</si>
  <si>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</si>
  <si>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</si>
  <si>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</si>
  <si>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</si>
  <si>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</si>
  <si>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</si>
  <si>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</si>
  <si>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</si>
  <si>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</si>
  <si>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</si>
  <si>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</si>
  <si>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</si>
  <si>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</si>
  <si>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</si>
  <si>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</si>
  <si>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</si>
  <si>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</si>
  <si>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</si>
  <si>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</si>
  <si>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</si>
  <si>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</si>
  <si>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</si>
  <si>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</si>
  <si>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</si>
  <si>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</si>
  <si>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</si>
  <si>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</si>
  <si>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</si>
  <si>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</si>
  <si>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</si>
  <si>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</si>
  <si>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</si>
  <si>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</si>
  <si>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</si>
  <si>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</si>
  <si>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</si>
  <si>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</si>
  <si>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</si>
  <si>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</si>
  <si>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</si>
  <si>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</si>
  <si>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</si>
  <si>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</si>
  <si>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</si>
  <si>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</si>
  <si>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</si>
  <si>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</si>
  <si>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</si>
  <si>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</si>
  <si>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</si>
  <si>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</si>
  <si>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</si>
  <si>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</si>
  <si>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</si>
  <si>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</si>
  <si>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</si>
  <si>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</si>
  <si>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</si>
  <si>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</si>
  <si>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</si>
  <si>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</si>
  <si>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</si>
  <si>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</si>
  <si>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</si>
  <si>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</si>
  <si>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</si>
  <si>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</si>
  <si>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</si>
  <si>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</si>
  <si>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</si>
  <si>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</si>
  <si>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</si>
  <si>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</si>
  <si>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</si>
  <si>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</si>
  <si>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</si>
  <si>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</si>
  <si>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</si>
  <si>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</si>
  <si>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</si>
  <si>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</si>
  <si>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</si>
  <si>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</si>
  <si>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</si>
  <si>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</si>
  <si>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</si>
  <si>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</si>
  <si>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</si>
  <si>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</si>
  <si>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</si>
  <si>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</si>
  <si>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</si>
  <si>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</si>
  <si>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</si>
  <si>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</si>
  <si>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</si>
  <si>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</si>
  <si>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</si>
  <si>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</si>
  <si>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</si>
  <si>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</si>
  <si>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</si>
  <si>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</si>
  <si>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</si>
  <si>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</si>
  <si>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</si>
  <si>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</si>
  <si>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</si>
  <si>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</si>
  <si>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</si>
  <si>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</si>
  <si>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</si>
  <si>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</si>
  <si>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</si>
  <si>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</si>
  <si>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</si>
  <si>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</si>
  <si>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</si>
  <si>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</si>
  <si>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</si>
  <si>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</si>
  <si>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</si>
  <si>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</si>
  <si>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</si>
  <si>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</si>
  <si>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</si>
  <si>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</si>
  <si>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</si>
  <si>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</si>
  <si>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</si>
  <si>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</si>
  <si>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</si>
  <si>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</si>
  <si>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</si>
  <si>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</si>
  <si>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</si>
  <si>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</si>
  <si>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</si>
  <si>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</si>
  <si>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</si>
  <si>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</si>
  <si>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</si>
  <si>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</si>
  <si>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</si>
  <si>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</si>
  <si>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</si>
  <si>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</si>
  <si>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</si>
  <si>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</si>
  <si>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</si>
  <si>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</si>
  <si>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</si>
  <si>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</si>
  <si>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</si>
  <si>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</si>
  <si>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</si>
  <si>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</si>
  <si>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</si>
  <si>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</si>
  <si>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</si>
  <si>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</si>
  <si>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</si>
  <si>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</si>
  <si>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</si>
  <si>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</si>
  <si>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</si>
  <si>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</si>
  <si>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</si>
  <si>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</si>
  <si>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</si>
  <si>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</si>
  <si>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</si>
  <si>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</si>
  <si>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</si>
  <si>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</si>
  <si>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</si>
  <si>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</si>
  <si>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</si>
  <si>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</si>
  <si>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</si>
  <si>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</si>
  <si>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</si>
  <si>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</si>
  <si>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</si>
  <si>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</si>
  <si>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</si>
  <si>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</si>
  <si>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</si>
  <si>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</si>
  <si>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</si>
  <si>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</si>
  <si>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</si>
  <si>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</si>
  <si>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</si>
  <si>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</si>
  <si>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</si>
  <si>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</si>
  <si>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</si>
  <si>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</si>
  <si>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</si>
  <si>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</si>
  <si>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</si>
  <si>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</si>
  <si>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</si>
  <si>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</si>
  <si>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</si>
  <si>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</si>
  <si>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</si>
  <si>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</si>
  <si>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</si>
  <si>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</si>
  <si>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</si>
  <si>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</si>
  <si>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</si>
  <si>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</si>
  <si>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</si>
  <si>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</si>
  <si>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</si>
  <si>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</si>
  <si>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</si>
  <si>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</si>
  <si>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</si>
  <si>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</si>
  <si>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</si>
  <si>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</si>
  <si>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</si>
  <si>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</si>
  <si>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</si>
  <si>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</si>
  <si>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</si>
  <si>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</si>
  <si>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</si>
  <si>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</si>
  <si>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</si>
  <si>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</si>
  <si>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</si>
  <si>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</si>
  <si>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</si>
  <si>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</si>
  <si>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</si>
  <si>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</si>
  <si>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</si>
  <si>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</si>
  <si>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</si>
  <si>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</si>
  <si>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</si>
  <si>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</si>
  <si>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</si>
  <si>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</si>
  <si>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</si>
  <si>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</si>
  <si>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</si>
  <si>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</si>
  <si>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</si>
  <si>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</si>
  <si>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</si>
  <si>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</si>
  <si>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</si>
  <si>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</si>
  <si>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</si>
  <si>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</si>
  <si>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</si>
  <si>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</si>
  <si>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</si>
  <si>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</si>
  <si>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</si>
  <si>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</si>
  <si>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</si>
  <si>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</si>
  <si>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</si>
  <si>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</si>
  <si>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</si>
  <si>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</si>
  <si>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</si>
  <si>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</si>
  <si>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</si>
  <si>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</si>
  <si>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</si>
  <si>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</si>
  <si>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</si>
  <si>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</si>
  <si>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</si>
  <si>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</si>
  <si>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</si>
  <si>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</si>
  <si>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</si>
  <si>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</si>
  <si>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</si>
  <si>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</si>
  <si>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</si>
  <si>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</si>
  <si>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</si>
  <si>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</si>
  <si>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</si>
  <si>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</si>
  <si>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</si>
  <si>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</si>
  <si>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</si>
  <si>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</si>
  <si>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</si>
  <si>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</si>
  <si>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</si>
  <si>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</si>
  <si>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</si>
  <si>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</si>
  <si>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</si>
  <si>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</si>
  <si>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</si>
  <si>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</si>
  <si>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</si>
  <si>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</si>
  <si>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</si>
  <si>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</si>
  <si>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</si>
  <si>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</si>
  <si>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</si>
  <si>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</si>
  <si>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</si>
  <si>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</si>
  <si>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</si>
  <si>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</si>
  <si>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</si>
  <si>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</si>
  <si>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</si>
  <si>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</si>
  <si>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</si>
  <si>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</si>
  <si>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</si>
  <si>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</si>
  <si>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</si>
  <si>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</si>
  <si>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</si>
  <si>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</si>
  <si>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</si>
  <si>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</si>
  <si>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</si>
  <si>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</si>
  <si>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</si>
  <si>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</si>
  <si>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</si>
  <si>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</si>
  <si>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</si>
  <si>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</si>
  <si>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</si>
  <si>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</si>
  <si>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</si>
  <si>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</si>
  <si>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</si>
  <si>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</si>
  <si>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</si>
  <si>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</si>
  <si>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</si>
  <si>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</si>
  <si>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</si>
  <si>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</si>
  <si>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</si>
  <si>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</si>
  <si>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</si>
  <si>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</si>
  <si>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</si>
  <si>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</si>
  <si>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</si>
  <si>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</si>
  <si>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</si>
  <si>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</si>
  <si>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</si>
  <si>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</si>
  <si>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</si>
  <si>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</si>
  <si>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</si>
  <si>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</si>
  <si>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</si>
  <si>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</si>
  <si>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</si>
  <si>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</si>
  <si>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</si>
  <si>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</si>
  <si>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</si>
  <si>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</si>
  <si>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</si>
  <si>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</si>
  <si>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</si>
  <si>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</si>
  <si>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</si>
  <si>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</si>
  <si>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</si>
  <si>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</si>
  <si>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</si>
  <si>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</si>
  <si>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</si>
  <si>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</si>
  <si>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</si>
  <si>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</si>
  <si>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</si>
  <si>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</si>
  <si>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</si>
  <si>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</si>
  <si>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</si>
  <si>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</si>
  <si>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</si>
  <si>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</si>
  <si>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</si>
  <si>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</si>
  <si>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</si>
  <si>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</si>
  <si>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</si>
  <si>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</si>
  <si>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</si>
  <si>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</si>
  <si>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</si>
  <si>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</si>
  <si>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</si>
  <si>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</si>
  <si>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</si>
  <si>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</si>
  <si>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</si>
  <si>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</si>
  <si>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</si>
  <si>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</si>
  <si>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</si>
  <si>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</si>
  <si>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</si>
  <si>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</si>
  <si>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</si>
  <si>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</si>
  <si>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</si>
  <si>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</si>
  <si>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</si>
  <si>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</si>
  <si>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</si>
  <si>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</si>
  <si>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</si>
  <si>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</si>
  <si>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</si>
  <si>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</si>
  <si>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</si>
  <si>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</si>
  <si>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</si>
  <si>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</si>
  <si>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</si>
  <si>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</si>
  <si>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</si>
  <si>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</si>
  <si>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</si>
  <si>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</si>
  <si>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</si>
  <si>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</si>
  <si>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</si>
  <si>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</si>
  <si>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</si>
  <si>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</si>
  <si>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</si>
  <si>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</si>
  <si>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</si>
  <si>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</si>
  <si>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</si>
  <si>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</si>
  <si>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</si>
  <si>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</si>
  <si>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</si>
  <si>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</si>
  <si>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</si>
  <si>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</si>
  <si>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</si>
  <si>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</si>
  <si>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</si>
  <si>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</si>
  <si>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</si>
  <si>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</si>
  <si>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</si>
  <si>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</si>
  <si>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</si>
  <si>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</si>
  <si>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</si>
  <si>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</si>
  <si>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</si>
  <si>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</si>
  <si>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</si>
  <si>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</si>
  <si>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</si>
  <si>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</si>
  <si>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</si>
  <si>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</si>
  <si>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</si>
  <si>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</si>
  <si>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</si>
  <si>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</si>
  <si>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</si>
  <si>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</si>
  <si>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</si>
  <si>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</si>
  <si>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</si>
  <si>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</si>
  <si>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</si>
  <si>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</si>
  <si>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</si>
  <si>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</si>
  <si>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</si>
  <si>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</si>
  <si>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</si>
  <si>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</si>
  <si>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</si>
  <si>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</si>
  <si>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</si>
  <si>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</si>
  <si>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</si>
  <si>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</si>
  <si>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</si>
  <si>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</si>
  <si>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</si>
  <si>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</si>
  <si>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</si>
  <si>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</si>
  <si>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</si>
  <si>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</si>
  <si>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</si>
  <si>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</si>
  <si>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</si>
  <si>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</si>
  <si>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</si>
  <si>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</si>
  <si>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</si>
  <si>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</si>
  <si>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</si>
  <si>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</si>
  <si>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</si>
  <si>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</si>
  <si>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</si>
  <si>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</si>
  <si>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</si>
  <si>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</si>
  <si>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</si>
  <si>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</si>
  <si>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</si>
  <si>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</si>
  <si>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</si>
  <si>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</si>
  <si>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</si>
  <si>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</si>
  <si>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</si>
  <si>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</si>
  <si>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</si>
  <si>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</si>
  <si>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</si>
  <si>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</si>
  <si>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</si>
  <si>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</si>
  <si>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</si>
  <si>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</si>
  <si>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</si>
  <si>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</si>
  <si>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</si>
  <si>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</si>
  <si>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</si>
  <si>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</si>
  <si>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</si>
  <si>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</si>
  <si>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</si>
  <si>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</si>
  <si>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</si>
  <si>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</si>
  <si>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</si>
  <si>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</si>
  <si>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</si>
  <si>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</si>
  <si>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</si>
  <si>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</si>
  <si>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</si>
  <si>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</si>
  <si>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</si>
  <si>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</si>
  <si>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</si>
  <si>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</si>
  <si>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</si>
  <si>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</si>
  <si>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</si>
  <si>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</si>
  <si>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</si>
  <si>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</si>
  <si>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</si>
  <si>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</si>
  <si>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</si>
  <si>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</si>
  <si>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</si>
  <si>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</si>
  <si>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</si>
  <si>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</si>
  <si>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</si>
  <si>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</si>
  <si>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</si>
  <si>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</si>
  <si>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</si>
  <si>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</si>
  <si>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</si>
  <si>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</si>
  <si>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</si>
  <si>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</si>
  <si>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</si>
  <si>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</si>
  <si>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</si>
  <si>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</si>
  <si>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</si>
  <si>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</si>
  <si>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</si>
  <si>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</si>
  <si>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</si>
  <si>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</si>
  <si>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</si>
  <si>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</si>
  <si>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</si>
  <si>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</si>
  <si>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</si>
  <si>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</si>
  <si>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</si>
  <si>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</si>
  <si>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</si>
  <si>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</si>
  <si>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</si>
  <si>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</si>
  <si>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</si>
  <si>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</si>
  <si>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</si>
  <si>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</si>
  <si>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</si>
  <si>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</si>
  <si>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</si>
  <si>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</si>
  <si>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</si>
  <si>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</si>
  <si>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</si>
  <si>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</si>
  <si>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</si>
  <si>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</si>
  <si>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</si>
  <si>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тех.кадастр поспорт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</si>
  <si>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</si>
  <si>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</si>
  <si>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</si>
  <si>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</si>
  <si>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</si>
  <si>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</si>
  <si>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</si>
  <si>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</si>
  <si>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</si>
  <si>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</si>
  <si>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</si>
  <si>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</si>
  <si>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</si>
  <si>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</si>
  <si>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</si>
  <si>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</si>
  <si>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</si>
  <si>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</si>
  <si>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</si>
  <si>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</si>
  <si>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</si>
  <si>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</si>
  <si>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</si>
  <si>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</si>
  <si>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</si>
  <si>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</si>
  <si>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</si>
  <si>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</si>
  <si>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</si>
  <si>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</si>
  <si>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</si>
  <si>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</si>
  <si>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</si>
  <si>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</si>
  <si>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Субсидии на частич.компен.доп.расходов на повышение оплаты труда работников бюджетной сферы и иные цели (пр.субсидии)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</si>
  <si>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2019 год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</si>
  <si>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</si>
  <si>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</si>
  <si>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</si>
  <si>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</si>
  <si>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</si>
  <si>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</si>
  <si>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</si>
  <si>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</si>
  <si>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</si>
  <si>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</si>
  <si>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 xml:space="preserve"> -мусор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</si>
  <si>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</si>
  <si>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</si>
  <si>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</si>
  <si>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</si>
  <si>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</si>
  <si>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</si>
  <si>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</si>
  <si>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март</t>
  </si>
  <si>
    <t>ЭДЕР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</si>
  <si>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</si>
  <si>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</si>
  <si>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</si>
  <si>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</si>
  <si>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</si>
  <si>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</si>
  <si>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</si>
  <si>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</si>
  <si>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</si>
  <si>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800 2 19 60010 04 0000 151</t>
  </si>
  <si>
    <t>Возврат прочих остатков субсидий и субвенций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</si>
  <si>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</si>
  <si>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</si>
  <si>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</si>
  <si>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</si>
  <si>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</si>
  <si>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</si>
  <si>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</si>
  <si>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</si>
  <si>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</si>
  <si>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</si>
  <si>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</si>
  <si>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</si>
  <si>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</si>
  <si>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</si>
  <si>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</si>
  <si>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</si>
  <si>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</si>
  <si>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</si>
  <si>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</si>
  <si>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</si>
  <si>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</si>
  <si>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</si>
  <si>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</si>
  <si>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</si>
  <si>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</si>
  <si>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- текущий ремонт оборудования,зданий</t>
  </si>
  <si>
    <t>взносы, спонсорство</t>
  </si>
  <si>
    <t xml:space="preserve"> за  2021 год</t>
  </si>
  <si>
    <t>Наименование доходов</t>
  </si>
  <si>
    <t>Факт январь-март 2020г.</t>
  </si>
  <si>
    <t>План на 2021 г.</t>
  </si>
  <si>
    <t>январь-март  2021г.</t>
  </si>
  <si>
    <t>Коэфф. роста 2021г. к 2020 г. (Гр.4/Гр.1)</t>
  </si>
  <si>
    <t>Факт март 2020г.</t>
  </si>
  <si>
    <t>УСН</t>
  </si>
  <si>
    <t xml:space="preserve">      Исп.: Монгуш А.В </t>
  </si>
  <si>
    <t xml:space="preserve"> за 1 квартал 2021 год</t>
  </si>
  <si>
    <t>Факт за 1 квартал 2021 год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</si>
  <si>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</si>
  <si>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</si>
  <si>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</si>
  <si>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</si>
  <si>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</si>
  <si>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</si>
  <si>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</si>
  <si>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</si>
  <si>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</si>
  <si>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</si>
  <si>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</si>
  <si>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</si>
  <si>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</si>
  <si>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</si>
  <si>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</si>
  <si>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</si>
  <si>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</si>
  <si>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</si>
  <si>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</si>
  <si>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</si>
  <si>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</si>
  <si>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</si>
  <si>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</si>
  <si>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</si>
  <si>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</si>
  <si>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</si>
  <si>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</si>
  <si>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</si>
  <si>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</si>
  <si>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</si>
  <si>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000 2 02 35469 04 0000 150</t>
  </si>
  <si>
    <t xml:space="preserve">Субвенции на осуществление государственных полномочий
по подготовке и проведению Всероссийской переписи населения 2020 года 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</si>
  <si>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</si>
  <si>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</si>
  <si>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</si>
  <si>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 xml:space="preserve">Межбюджетные трансферты на создание виртуальных концертных залов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</si>
  <si>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</si>
  <si>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Единый налог на вмененный доход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</si>
  <si>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</si>
  <si>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</si>
  <si>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</si>
  <si>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</si>
  <si>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000 2 02 45453 04 0000 150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</si>
  <si>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</si>
  <si>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</si>
  <si>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</si>
  <si>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</si>
  <si>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</si>
  <si>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</si>
  <si>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</si>
  <si>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</si>
  <si>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</si>
  <si>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>Финансовое управление администрации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</si>
  <si>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</si>
  <si>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</si>
  <si>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</si>
  <si>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</si>
  <si>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</si>
  <si>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</si>
  <si>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</si>
  <si>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</si>
  <si>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</si>
  <si>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</si>
  <si>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</si>
  <si>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</si>
  <si>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</si>
  <si>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</si>
  <si>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</si>
  <si>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</si>
  <si>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01.04. 2020.</t>
  </si>
  <si>
    <t>01.04. 2021.</t>
  </si>
  <si>
    <t>Динамика    изменения   недоимки   по  налогам  на 01.04. 2021 год г.Ак-Довурак ( тыс. рублей)</t>
  </si>
  <si>
    <t>Коэф.роста к 2020 году</t>
  </si>
  <si>
    <t>01.01. 2021.</t>
  </si>
  <si>
    <t>Откл.с 01.04.21 на 01.01.21</t>
  </si>
  <si>
    <t>1718002616</t>
  </si>
  <si>
    <t>1718001490</t>
  </si>
  <si>
    <t>1718001549</t>
  </si>
  <si>
    <t>1718001588</t>
  </si>
  <si>
    <t>ООО "Эртине"</t>
  </si>
  <si>
    <t>1718002655</t>
  </si>
  <si>
    <t>1718001683</t>
  </si>
  <si>
    <t xml:space="preserve">ООО "Центральный ЖКХ" </t>
  </si>
  <si>
    <t xml:space="preserve">                                                                                            Информация о  выполнении плана                                                                   Приложение 2.2.</t>
  </si>
  <si>
    <t>на 01.04.2021г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</si>
  <si>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</si>
  <si>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</si>
  <si>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</si>
  <si>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</si>
  <si>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</si>
  <si>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</si>
  <si>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</si>
  <si>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</si>
  <si>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</si>
  <si>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</si>
  <si>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</si>
  <si>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</si>
  <si>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 - нотариальные услуги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</si>
  <si>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</si>
  <si>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</si>
  <si>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</si>
  <si>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</si>
  <si>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</si>
  <si>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</si>
  <si>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</si>
  <si>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</si>
  <si>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</si>
  <si>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</si>
  <si>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>Задолженность родителей перед бюджетным учреждением  на 01.01.2021 года</t>
  </si>
  <si>
    <t xml:space="preserve">Задолженность </t>
  </si>
  <si>
    <t>по состоянию на 01.04.2021 год</t>
  </si>
  <si>
    <t>На 01.04.2021 год</t>
  </si>
  <si>
    <t>Остаток  неисполь-зованных денежных средств на расчетном счету учрежде-ния по состоянию на 01.01.2021года</t>
  </si>
  <si>
    <t>Распределение расходов за счет собственных доходов бюджета на 01.04.2021 г.</t>
  </si>
  <si>
    <t xml:space="preserve"> - установ. Противопож. Сигнализации</t>
  </si>
  <si>
    <t xml:space="preserve"> - инвентаризация жилых домов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</si>
  <si>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</si>
  <si>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</si>
  <si>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</si>
  <si>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>остаток на 01.04.2021 г</t>
  </si>
  <si>
    <t>Остаток  неисполь-зованных денежных средств на расчетном счету учрежде-ния по состоянию на 01.04.2021 года</t>
  </si>
  <si>
    <t>Задолженность родителей перед бюджетным учреждением  на 01.04.2021 года</t>
  </si>
  <si>
    <t>Уплата штрафов, пеней за несвоевременную уплату налогов и сборов</t>
  </si>
  <si>
    <t xml:space="preserve">Фактическое исполнение платных услуг за  1 квартал 2021 год города Ак-Довурак </t>
  </si>
  <si>
    <t xml:space="preserve"> И.о. начальника ФУ администрации г. Ак-Довурак</t>
  </si>
  <si>
    <t>Серен Ч.Ч.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</si>
</sst>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4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20C2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9" borderId="30" applyNumberFormat="0">
      <alignment horizontal="right" vertical="top"/>
    </xf>
    <xf numFmtId="49" fontId="19" fillId="10" borderId="30">
      <alignment horizontal="left" vertical="top"/>
    </xf>
    <xf numFmtId="49" fontId="34" fillId="0" borderId="30">
      <alignment horizontal="left" vertical="top"/>
    </xf>
    <xf numFmtId="0" fontId="19" fillId="11" borderId="30">
      <alignment horizontal="left" vertical="top" wrapText="1"/>
    </xf>
    <xf numFmtId="0" fontId="34" fillId="0" borderId="30">
      <alignment horizontal="left" vertical="top" wrapText="1"/>
    </xf>
    <xf numFmtId="0" fontId="19" fillId="12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  <xf numFmtId="0" fontId="35" fillId="0" borderId="0">
      <alignment horizontal="left" vertical="top"/>
    </xf>
    <xf numFmtId="0" fontId="19" fillId="11" borderId="31" applyNumberFormat="0">
      <alignment horizontal="right" vertical="top"/>
    </xf>
    <xf numFmtId="0" fontId="19" fillId="12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49" fontId="36" fillId="16" borderId="30">
      <alignment horizontal="left" vertical="top" wrapText="1"/>
    </xf>
    <xf numFmtId="49" fontId="19" fillId="0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</cellStyleXfs>
  <cellXfs count="919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7" fillId="0" borderId="0" xfId="3" applyFont="1" applyFill="1"/>
    <xf numFmtId="165" fontId="18" fillId="0" borderId="1" xfId="1" applyNumberFormat="1" applyFont="1" applyFill="1" applyBorder="1" applyAlignment="1">
      <alignment horizontal="center" vertical="center"/>
    </xf>
    <xf numFmtId="167" fontId="12" fillId="4" borderId="24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166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0" fontId="25" fillId="8" borderId="1" xfId="3" applyFont="1" applyFill="1" applyBorder="1" applyAlignment="1">
      <alignment horizontal="left" vertical="center" wrapText="1"/>
    </xf>
    <xf numFmtId="0" fontId="5" fillId="8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67" fontId="7" fillId="0" borderId="1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2" fontId="7" fillId="8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67" fontId="4" fillId="4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0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40" fillId="3" borderId="4" xfId="0" applyNumberFormat="1" applyFont="1" applyFill="1" applyBorder="1" applyAlignment="1">
      <alignment horizontal="center"/>
    </xf>
    <xf numFmtId="1" fontId="40" fillId="3" borderId="1" xfId="0" applyNumberFormat="1" applyFont="1" applyFill="1" applyBorder="1"/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0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5" fontId="27" fillId="3" borderId="1" xfId="0" applyNumberFormat="1" applyFont="1" applyFill="1" applyBorder="1" applyAlignment="1">
      <alignment horizontal="center"/>
    </xf>
    <xf numFmtId="167" fontId="29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43" fillId="0" borderId="1" xfId="1" applyNumberFormat="1" applyFont="1" applyFill="1" applyBorder="1" applyAlignment="1">
      <alignment horizontal="center" vertical="center"/>
    </xf>
    <xf numFmtId="167" fontId="44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67" fontId="4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/>
    <xf numFmtId="165" fontId="41" fillId="0" borderId="1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65" fontId="27" fillId="17" borderId="1" xfId="0" applyNumberFormat="1" applyFont="1" applyFill="1" applyBorder="1" applyAlignment="1">
      <alignment horizontal="center"/>
    </xf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65" fontId="40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1" xfId="3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43" fillId="5" borderId="7" xfId="1" applyFont="1" applyFill="1" applyBorder="1"/>
    <xf numFmtId="167" fontId="43" fillId="5" borderId="1" xfId="1" applyNumberFormat="1" applyFont="1" applyFill="1" applyBorder="1" applyAlignment="1">
      <alignment horizontal="center" vertical="center"/>
    </xf>
    <xf numFmtId="3" fontId="43" fillId="5" borderId="1" xfId="1" applyNumberFormat="1" applyFont="1" applyFill="1" applyBorder="1" applyAlignment="1">
      <alignment horizontal="center" vertical="center"/>
    </xf>
    <xf numFmtId="165" fontId="43" fillId="5" borderId="1" xfId="1" applyNumberFormat="1" applyFont="1" applyFill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center" vertical="center"/>
    </xf>
    <xf numFmtId="167" fontId="43" fillId="5" borderId="24" xfId="1" applyNumberFormat="1" applyFont="1" applyFill="1" applyBorder="1" applyAlignment="1">
      <alignment horizontal="center" vertical="center"/>
    </xf>
    <xf numFmtId="0" fontId="39" fillId="0" borderId="0" xfId="0" applyFont="1"/>
    <xf numFmtId="3" fontId="17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/>
    </xf>
    <xf numFmtId="167" fontId="11" fillId="4" borderId="24" xfId="1" applyNumberFormat="1" applyFont="1" applyFill="1" applyBorder="1" applyAlignment="1">
      <alignment horizontal="center" vertical="center"/>
    </xf>
    <xf numFmtId="0" fontId="1" fillId="0" borderId="0" xfId="0" applyFont="1"/>
    <xf numFmtId="3" fontId="17" fillId="4" borderId="1" xfId="1" applyNumberFormat="1" applyFont="1" applyFill="1" applyBorder="1" applyAlignment="1">
      <alignment horizontal="center" vertical="center"/>
    </xf>
    <xf numFmtId="3" fontId="17" fillId="4" borderId="1" xfId="3" applyNumberFormat="1" applyFont="1" applyFill="1" applyBorder="1" applyAlignment="1">
      <alignment horizontal="center" vertical="center" wrapText="1"/>
    </xf>
    <xf numFmtId="0" fontId="43" fillId="5" borderId="7" xfId="1" applyFont="1" applyFill="1" applyBorder="1" applyAlignment="1">
      <alignment wrapText="1"/>
    </xf>
    <xf numFmtId="167" fontId="0" fillId="0" borderId="0" xfId="0" applyNumberFormat="1"/>
    <xf numFmtId="14" fontId="12" fillId="0" borderId="0" xfId="0" applyNumberFormat="1" applyFont="1" applyAlignment="1">
      <alignment horizontal="center"/>
    </xf>
    <xf numFmtId="165" fontId="0" fillId="0" borderId="0" xfId="0" applyNumberFormat="1"/>
    <xf numFmtId="165" fontId="22" fillId="0" borderId="0" xfId="1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justify"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justify" vertical="center"/>
    </xf>
    <xf numFmtId="0" fontId="45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 wrapText="1"/>
    </xf>
    <xf numFmtId="167" fontId="4" fillId="8" borderId="1" xfId="3" applyNumberFormat="1" applyFont="1" applyFill="1" applyBorder="1" applyAlignment="1">
      <alignment horizontal="center" vertical="center" wrapText="1"/>
    </xf>
    <xf numFmtId="0" fontId="4" fillId="8" borderId="0" xfId="3" applyFont="1" applyFill="1"/>
    <xf numFmtId="1" fontId="7" fillId="8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7" fillId="0" borderId="0" xfId="2" applyNumberFormat="1" applyFont="1" applyFill="1" applyAlignment="1">
      <alignment horizontal="center"/>
    </xf>
    <xf numFmtId="0" fontId="4" fillId="4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1" fillId="0" borderId="0" xfId="2" applyNumberFormat="1" applyFont="1" applyFill="1" applyAlignment="1">
      <alignment horizontal="center"/>
    </xf>
    <xf numFmtId="14" fontId="27" fillId="6" borderId="1" xfId="2" applyNumberFormat="1" applyFont="1" applyFill="1" applyBorder="1" applyAlignment="1">
      <alignment horizontal="center" vertical="center" wrapText="1"/>
    </xf>
    <xf numFmtId="0" fontId="27" fillId="4" borderId="0" xfId="3" applyFont="1" applyFill="1"/>
    <xf numFmtId="0" fontId="29" fillId="0" borderId="0" xfId="3" applyFont="1" applyFill="1"/>
    <xf numFmtId="0" fontId="1" fillId="0" borderId="0" xfId="3" applyFont="1" applyFill="1"/>
    <xf numFmtId="0" fontId="27" fillId="6" borderId="19" xfId="3" applyFont="1" applyFill="1" applyBorder="1" applyAlignment="1">
      <alignment horizontal="center" vertical="center" textRotation="90" wrapText="1"/>
    </xf>
    <xf numFmtId="0" fontId="27" fillId="6" borderId="5" xfId="3" applyFont="1" applyFill="1" applyBorder="1" applyAlignment="1">
      <alignment horizontal="center" vertical="center" textRotation="90" wrapText="1"/>
    </xf>
    <xf numFmtId="0" fontId="27" fillId="6" borderId="6" xfId="3" applyFont="1" applyFill="1" applyBorder="1" applyAlignment="1">
      <alignment horizontal="center" vertical="center" textRotation="90" wrapText="1"/>
    </xf>
    <xf numFmtId="0" fontId="27" fillId="6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wrapText="1"/>
    </xf>
    <xf numFmtId="165" fontId="28" fillId="4" borderId="1" xfId="3" applyNumberFormat="1" applyFont="1" applyFill="1" applyBorder="1" applyAlignment="1">
      <alignment horizontal="center"/>
    </xf>
    <xf numFmtId="0" fontId="26" fillId="0" borderId="0" xfId="3" applyFont="1" applyFill="1"/>
    <xf numFmtId="0" fontId="27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7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165" fontId="7" fillId="4" borderId="1" xfId="3" applyNumberFormat="1" applyFont="1" applyFill="1" applyBorder="1" applyAlignment="1">
      <alignment horizontal="center"/>
    </xf>
    <xf numFmtId="49" fontId="10" fillId="0" borderId="1" xfId="3" applyNumberFormat="1" applyFont="1" applyBorder="1" applyAlignment="1">
      <alignment wrapText="1"/>
    </xf>
    <xf numFmtId="0" fontId="26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7" fillId="4" borderId="1" xfId="3" applyFont="1" applyFill="1" applyBorder="1" applyAlignment="1">
      <alignment horizontal="left"/>
    </xf>
    <xf numFmtId="1" fontId="7" fillId="4" borderId="1" xfId="3" applyNumberFormat="1" applyFont="1" applyFill="1" applyBorder="1" applyAlignment="1">
      <alignment horizontal="center" wrapText="1"/>
    </xf>
    <xf numFmtId="0" fontId="27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28" fillId="6" borderId="1" xfId="3" applyFont="1" applyFill="1" applyBorder="1"/>
    <xf numFmtId="0" fontId="28" fillId="6" borderId="1" xfId="3" applyFont="1" applyFill="1" applyBorder="1" applyAlignment="1">
      <alignment horizontal="center"/>
    </xf>
    <xf numFmtId="165" fontId="7" fillId="6" borderId="1" xfId="3" applyNumberFormat="1" applyFont="1" applyFill="1" applyBorder="1" applyAlignment="1">
      <alignment horizontal="center"/>
    </xf>
    <xf numFmtId="0" fontId="26" fillId="6" borderId="0" xfId="3" applyFont="1" applyFill="1"/>
    <xf numFmtId="0" fontId="28" fillId="6" borderId="1" xfId="3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 wrapText="1"/>
    </xf>
    <xf numFmtId="0" fontId="33" fillId="0" borderId="0" xfId="3" applyFont="1" applyFill="1"/>
    <xf numFmtId="0" fontId="33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42" fillId="0" borderId="0" xfId="3" applyNumberFormat="1" applyFont="1"/>
    <xf numFmtId="168" fontId="4" fillId="4" borderId="1" xfId="2" applyNumberFormat="1" applyFont="1" applyFill="1" applyBorder="1" applyAlignment="1">
      <alignment horizontal="center"/>
    </xf>
    <xf numFmtId="165" fontId="28" fillId="6" borderId="1" xfId="0" applyNumberFormat="1" applyFont="1" applyFill="1" applyBorder="1" applyAlignment="1">
      <alignment horizontal="center" vertical="center"/>
    </xf>
    <xf numFmtId="169" fontId="4" fillId="4" borderId="1" xfId="3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0" fontId="27" fillId="4" borderId="1" xfId="3" applyFont="1" applyFill="1" applyBorder="1" applyAlignment="1"/>
    <xf numFmtId="49" fontId="4" fillId="0" borderId="1" xfId="3" applyNumberFormat="1" applyFont="1" applyBorder="1" applyAlignment="1"/>
    <xf numFmtId="0" fontId="4" fillId="0" borderId="0" xfId="3" applyNumberFormat="1" applyFont="1" applyAlignment="1"/>
    <xf numFmtId="0" fontId="27" fillId="0" borderId="1" xfId="3" applyFont="1" applyFill="1" applyBorder="1" applyAlignment="1"/>
    <xf numFmtId="0" fontId="28" fillId="6" borderId="1" xfId="3" applyFont="1" applyFill="1" applyBorder="1" applyAlignment="1"/>
    <xf numFmtId="0" fontId="28" fillId="4" borderId="1" xfId="3" applyFont="1" applyFill="1" applyBorder="1" applyAlignment="1"/>
    <xf numFmtId="0" fontId="4" fillId="0" borderId="0" xfId="0" applyNumberFormat="1" applyFont="1" applyAlignment="1"/>
    <xf numFmtId="165" fontId="3" fillId="8" borderId="1" xfId="3" applyNumberFormat="1" applyFont="1" applyFill="1" applyBorder="1" applyAlignment="1">
      <alignment horizontal="center" vertical="center"/>
    </xf>
    <xf numFmtId="165" fontId="7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10" fillId="4" borderId="0" xfId="3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23" fillId="0" borderId="3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165" fontId="3" fillId="0" borderId="2" xfId="3" applyNumberFormat="1" applyFont="1" applyFill="1" applyBorder="1" applyAlignment="1">
      <alignment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0" xfId="3" applyFont="1" applyFill="1"/>
    <xf numFmtId="0" fontId="10" fillId="3" borderId="6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165" fontId="38" fillId="0" borderId="1" xfId="3" applyNumberFormat="1" applyFont="1" applyFill="1" applyBorder="1" applyAlignment="1">
      <alignment horizontal="center" vertical="center" wrapText="1"/>
    </xf>
    <xf numFmtId="1" fontId="10" fillId="4" borderId="0" xfId="3" applyNumberFormat="1" applyFont="1" applyFill="1"/>
    <xf numFmtId="2" fontId="10" fillId="4" borderId="0" xfId="3" applyNumberFormat="1" applyFont="1" applyFill="1"/>
    <xf numFmtId="0" fontId="8" fillId="0" borderId="4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center" vertical="center" wrapText="1"/>
    </xf>
    <xf numFmtId="165" fontId="37" fillId="0" borderId="1" xfId="3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/>
    </xf>
    <xf numFmtId="1" fontId="8" fillId="4" borderId="0" xfId="3" applyNumberFormat="1" applyFont="1" applyFill="1"/>
    <xf numFmtId="2" fontId="8" fillId="4" borderId="0" xfId="3" applyNumberFormat="1" applyFont="1" applyFill="1"/>
    <xf numFmtId="0" fontId="8" fillId="4" borderId="0" xfId="3" applyFont="1" applyFill="1"/>
    <xf numFmtId="0" fontId="9" fillId="0" borderId="4" xfId="3" applyFont="1" applyFill="1" applyBorder="1" applyAlignment="1">
      <alignment horizontal="left"/>
    </xf>
    <xf numFmtId="0" fontId="9" fillId="4" borderId="4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10" fillId="4" borderId="1" xfId="3" applyFont="1" applyFill="1" applyBorder="1"/>
    <xf numFmtId="0" fontId="9" fillId="4" borderId="1" xfId="3" applyFont="1" applyFill="1" applyBorder="1"/>
    <xf numFmtId="0" fontId="10" fillId="4" borderId="4" xfId="3" applyFont="1" applyFill="1" applyBorder="1" applyAlignment="1">
      <alignment horizontal="left" vertical="top"/>
    </xf>
    <xf numFmtId="165" fontId="39" fillId="0" borderId="1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/>
    <xf numFmtId="0" fontId="5" fillId="4" borderId="4" xfId="3" applyFont="1" applyFill="1" applyBorder="1" applyAlignment="1">
      <alignment horizontal="left"/>
    </xf>
    <xf numFmtId="0" fontId="10" fillId="4" borderId="1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/>
    </xf>
    <xf numFmtId="0" fontId="7" fillId="4" borderId="1" xfId="3" applyFont="1" applyFill="1" applyBorder="1"/>
    <xf numFmtId="0" fontId="8" fillId="4" borderId="4" xfId="3" applyFont="1" applyFill="1" applyBorder="1" applyAlignment="1">
      <alignment horizontal="left"/>
    </xf>
    <xf numFmtId="0" fontId="10" fillId="4" borderId="0" xfId="3" applyNumberFormat="1" applyFont="1" applyFill="1"/>
    <xf numFmtId="0" fontId="8" fillId="4" borderId="1" xfId="3" applyFont="1" applyFill="1" applyBorder="1"/>
    <xf numFmtId="0" fontId="8" fillId="4" borderId="1" xfId="3" applyFont="1" applyFill="1" applyBorder="1" applyAlignment="1">
      <alignment horizontal="center"/>
    </xf>
    <xf numFmtId="165" fontId="38" fillId="0" borderId="1" xfId="3" applyNumberFormat="1" applyFont="1" applyFill="1" applyBorder="1" applyAlignment="1">
      <alignment horizontal="center"/>
    </xf>
    <xf numFmtId="0" fontId="8" fillId="4" borderId="0" xfId="3" applyFont="1" applyFill="1" applyBorder="1"/>
    <xf numFmtId="0" fontId="8" fillId="4" borderId="0" xfId="3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1" fontId="8" fillId="0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2" fontId="10" fillId="0" borderId="0" xfId="3" applyNumberFormat="1" applyFont="1" applyFill="1" applyBorder="1"/>
    <xf numFmtId="0" fontId="10" fillId="0" borderId="0" xfId="3" applyFont="1" applyFill="1" applyBorder="1"/>
    <xf numFmtId="165" fontId="10" fillId="0" borderId="10" xfId="3" applyNumberFormat="1" applyFont="1" applyFill="1" applyBorder="1"/>
    <xf numFmtId="165" fontId="8" fillId="0" borderId="2" xfId="3" applyNumberFormat="1" applyFont="1" applyFill="1" applyBorder="1"/>
    <xf numFmtId="2" fontId="22" fillId="4" borderId="0" xfId="3" applyNumberFormat="1" applyFont="1" applyFill="1"/>
    <xf numFmtId="2" fontId="10" fillId="0" borderId="0" xfId="3" applyNumberFormat="1" applyFont="1" applyFill="1"/>
    <xf numFmtId="1" fontId="10" fillId="0" borderId="0" xfId="3" applyNumberFormat="1" applyFont="1" applyFill="1" applyAlignment="1">
      <alignment horizontal="center"/>
    </xf>
    <xf numFmtId="0" fontId="10" fillId="0" borderId="10" xfId="3" applyFont="1" applyFill="1" applyBorder="1"/>
    <xf numFmtId="2" fontId="8" fillId="0" borderId="2" xfId="3" applyNumberFormat="1" applyFont="1" applyFill="1" applyBorder="1"/>
    <xf numFmtId="0" fontId="10" fillId="7" borderId="0" xfId="3" applyFont="1" applyFill="1"/>
    <xf numFmtId="0" fontId="10" fillId="7" borderId="0" xfId="3" applyFont="1" applyFill="1" applyAlignment="1">
      <alignment horizontal="center"/>
    </xf>
    <xf numFmtId="1" fontId="10" fillId="7" borderId="0" xfId="3" applyNumberFormat="1" applyFont="1" applyFill="1"/>
    <xf numFmtId="2" fontId="10" fillId="7" borderId="0" xfId="3" applyNumberFormat="1" applyFont="1" applyFill="1" applyAlignment="1">
      <alignment horizontal="center"/>
    </xf>
    <xf numFmtId="2" fontId="10" fillId="0" borderId="0" xfId="3" applyNumberFormat="1" applyFont="1" applyFill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left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0" xfId="3" applyNumberFormat="1" applyFont="1"/>
    <xf numFmtId="0" fontId="11" fillId="0" borderId="1" xfId="3" applyFont="1" applyFill="1" applyBorder="1" applyAlignment="1">
      <alignment horizontal="left" vertical="center" wrapText="1"/>
    </xf>
    <xf numFmtId="165" fontId="11" fillId="0" borderId="0" xfId="3" applyNumberFormat="1" applyFont="1" applyFill="1"/>
    <xf numFmtId="0" fontId="11" fillId="0" borderId="0" xfId="3" applyFont="1" applyFill="1"/>
    <xf numFmtId="0" fontId="12" fillId="0" borderId="1" xfId="3" applyFont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0" xfId="3" applyFont="1" applyBorder="1"/>
    <xf numFmtId="165" fontId="11" fillId="0" borderId="0" xfId="3" applyNumberFormat="1" applyFont="1" applyFill="1" applyBorder="1" applyAlignment="1">
      <alignment horizontal="center" vertical="center" wrapText="1"/>
    </xf>
    <xf numFmtId="165" fontId="11" fillId="0" borderId="0" xfId="3" applyNumberFormat="1" applyFont="1" applyBorder="1" applyAlignment="1">
      <alignment horizontal="center" vertical="center" wrapText="1"/>
    </xf>
    <xf numFmtId="0" fontId="3" fillId="4" borderId="4" xfId="3" applyFont="1" applyFill="1" applyBorder="1" applyAlignment="1">
      <alignment horizontal="left"/>
    </xf>
    <xf numFmtId="0" fontId="3" fillId="4" borderId="4" xfId="3" applyFont="1" applyFill="1" applyBorder="1"/>
    <xf numFmtId="166" fontId="38" fillId="0" borderId="1" xfId="3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/>
    <xf numFmtId="1" fontId="5" fillId="0" borderId="4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165" fontId="11" fillId="0" borderId="1" xfId="3" applyNumberFormat="1" applyFont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69" fontId="27" fillId="0" borderId="1" xfId="0" applyNumberFormat="1" applyFont="1" applyFill="1" applyBorder="1" applyAlignment="1">
      <alignment horizontal="center"/>
    </xf>
    <xf numFmtId="2" fontId="28" fillId="3" borderId="1" xfId="0" applyNumberFormat="1" applyFont="1" applyFill="1" applyBorder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13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0" fontId="10" fillId="3" borderId="19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right"/>
    </xf>
    <xf numFmtId="0" fontId="23" fillId="4" borderId="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65" fontId="23" fillId="0" borderId="10" xfId="3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left"/>
    </xf>
    <xf numFmtId="0" fontId="10" fillId="0" borderId="10" xfId="3" applyFont="1" applyFill="1" applyBorder="1" applyAlignment="1">
      <alignment horizontal="left"/>
    </xf>
    <xf numFmtId="0" fontId="10" fillId="0" borderId="2" xfId="3" applyFont="1" applyFill="1" applyBorder="1" applyAlignment="1">
      <alignment horizontal="left"/>
    </xf>
    <xf numFmtId="0" fontId="10" fillId="3" borderId="12" xfId="3" applyFont="1" applyFill="1" applyBorder="1" applyAlignment="1">
      <alignment horizontal="center" vertical="center" wrapText="1"/>
    </xf>
    <xf numFmtId="0" fontId="27" fillId="6" borderId="13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7" fillId="6" borderId="17" xfId="3" applyFont="1" applyFill="1" applyBorder="1" applyAlignment="1">
      <alignment horizontal="center" vertical="center" wrapText="1"/>
    </xf>
    <xf numFmtId="0" fontId="27" fillId="6" borderId="3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textRotation="90" wrapText="1"/>
    </xf>
    <xf numFmtId="0" fontId="27" fillId="6" borderId="5" xfId="3" applyFont="1" applyFill="1" applyBorder="1" applyAlignment="1">
      <alignment horizontal="center" vertical="center" textRotation="90" wrapText="1"/>
    </xf>
    <xf numFmtId="0" fontId="27" fillId="6" borderId="6" xfId="3" applyFont="1" applyFill="1" applyBorder="1" applyAlignment="1">
      <alignment horizontal="center" vertical="center" textRotation="90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0" fontId="27" fillId="6" borderId="6" xfId="3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wrapText="1"/>
    </xf>
    <xf numFmtId="2" fontId="27" fillId="6" borderId="5" xfId="0" applyNumberFormat="1" applyFont="1" applyFill="1" applyBorder="1" applyAlignment="1">
      <alignment horizontal="center" vertical="center" wrapText="1"/>
    </xf>
    <xf numFmtId="2" fontId="27" fillId="6" borderId="6" xfId="0" applyNumberFormat="1" applyFont="1" applyFill="1" applyBorder="1" applyAlignment="1">
      <alignment horizontal="center" vertical="center" wrapText="1"/>
    </xf>
    <xf numFmtId="165" fontId="17" fillId="0" borderId="12" xfId="1" applyNumberFormat="1" applyFont="1" applyFill="1" applyBorder="1" applyAlignment="1">
      <alignment horizontal="center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I6">
            <v>0</v>
          </cell>
          <cell r="M6">
            <v>0</v>
          </cell>
          <cell r="P6">
            <v>0</v>
          </cell>
          <cell r="T6">
            <v>0</v>
          </cell>
        </row>
        <row r="8">
          <cell r="I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H9">
            <v>0</v>
          </cell>
          <cell r="I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</row>
        <row r="10">
          <cell r="M10">
            <v>0</v>
          </cell>
          <cell r="N10">
            <v>0</v>
          </cell>
        </row>
        <row r="12">
          <cell r="I12">
            <v>0</v>
          </cell>
          <cell r="M12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I20">
            <v>0</v>
          </cell>
          <cell r="M20">
            <v>0</v>
          </cell>
          <cell r="R20">
            <v>0</v>
          </cell>
        </row>
        <row r="22">
          <cell r="H22">
            <v>0</v>
          </cell>
          <cell r="P22">
            <v>0</v>
          </cell>
        </row>
        <row r="23">
          <cell r="H23">
            <v>0</v>
          </cell>
          <cell r="I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H24">
            <v>0</v>
          </cell>
          <cell r="I24">
            <v>0</v>
          </cell>
          <cell r="L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M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H27">
            <v>0</v>
          </cell>
          <cell r="I27">
            <v>0</v>
          </cell>
          <cell r="M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P32">
            <v>0</v>
          </cell>
        </row>
        <row r="33">
          <cell r="I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K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S36">
            <v>0</v>
          </cell>
        </row>
        <row r="38">
          <cell r="I38">
            <v>0</v>
          </cell>
          <cell r="M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</row>
        <row r="42">
          <cell r="I42">
            <v>0</v>
          </cell>
          <cell r="M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M43">
            <v>0</v>
          </cell>
          <cell r="P43">
            <v>0</v>
          </cell>
          <cell r="S43">
            <v>0</v>
          </cell>
        </row>
        <row r="45">
          <cell r="I45">
            <v>0</v>
          </cell>
          <cell r="M45">
            <v>0</v>
          </cell>
          <cell r="P45">
            <v>0</v>
          </cell>
          <cell r="S45">
            <v>0</v>
          </cell>
        </row>
        <row r="54">
          <cell r="I54">
            <v>0</v>
          </cell>
          <cell r="M54">
            <v>0</v>
          </cell>
        </row>
        <row r="55">
          <cell r="I55">
            <v>0</v>
          </cell>
          <cell r="M55">
            <v>0</v>
          </cell>
          <cell r="P55">
            <v>0</v>
          </cell>
          <cell r="S55">
            <v>0</v>
          </cell>
        </row>
        <row r="57">
          <cell r="I57">
            <v>0</v>
          </cell>
          <cell r="M57">
            <v>0</v>
          </cell>
          <cell r="P57">
            <v>0</v>
          </cell>
          <cell r="S57">
            <v>0</v>
          </cell>
        </row>
        <row r="58">
          <cell r="I58">
            <v>0</v>
          </cell>
          <cell r="M58">
            <v>0</v>
          </cell>
          <cell r="P58">
            <v>0</v>
          </cell>
          <cell r="S58">
            <v>0</v>
          </cell>
        </row>
        <row r="59">
          <cell r="I59">
            <v>0</v>
          </cell>
          <cell r="M59">
            <v>0</v>
          </cell>
          <cell r="S59">
            <v>0</v>
          </cell>
        </row>
        <row r="60">
          <cell r="I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M61">
            <v>0</v>
          </cell>
          <cell r="P61">
            <v>0</v>
          </cell>
          <cell r="S61">
            <v>0</v>
          </cell>
        </row>
        <row r="62">
          <cell r="I62">
            <v>0</v>
          </cell>
          <cell r="M62">
            <v>0</v>
          </cell>
          <cell r="P62">
            <v>0</v>
          </cell>
          <cell r="S62">
            <v>0</v>
          </cell>
        </row>
        <row r="63">
          <cell r="G63">
            <v>0</v>
          </cell>
        </row>
        <row r="65">
          <cell r="I65">
            <v>0</v>
          </cell>
          <cell r="M65">
            <v>0</v>
          </cell>
          <cell r="P65">
            <v>0</v>
          </cell>
          <cell r="S65">
            <v>0</v>
          </cell>
        </row>
        <row r="67">
          <cell r="I67">
            <v>0</v>
          </cell>
          <cell r="M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80">
          <cell r="I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I81">
            <v>0</v>
          </cell>
          <cell r="M81">
            <v>0</v>
          </cell>
          <cell r="N81">
            <v>0</v>
          </cell>
          <cell r="P81">
            <v>0</v>
          </cell>
          <cell r="S81">
            <v>0</v>
          </cell>
        </row>
        <row r="82">
          <cell r="N82">
            <v>0</v>
          </cell>
        </row>
        <row r="84">
          <cell r="I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I86">
            <v>0</v>
          </cell>
          <cell r="P86">
            <v>0</v>
          </cell>
        </row>
        <row r="87">
          <cell r="I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P88">
            <v>0</v>
          </cell>
          <cell r="R88">
            <v>0</v>
          </cell>
          <cell r="T88">
            <v>0</v>
          </cell>
        </row>
        <row r="89">
          <cell r="I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I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I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I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P93">
            <v>0</v>
          </cell>
          <cell r="S93">
            <v>0</v>
          </cell>
          <cell r="T93">
            <v>0</v>
          </cell>
        </row>
        <row r="95">
          <cell r="N95">
            <v>0</v>
          </cell>
          <cell r="P95">
            <v>0</v>
          </cell>
          <cell r="S95">
            <v>0</v>
          </cell>
          <cell r="T95">
            <v>0</v>
          </cell>
        </row>
        <row r="96">
          <cell r="I96">
            <v>0</v>
          </cell>
          <cell r="P96">
            <v>0</v>
          </cell>
        </row>
        <row r="99">
          <cell r="O99">
            <v>0</v>
          </cell>
        </row>
        <row r="101">
          <cell r="I101">
            <v>0</v>
          </cell>
          <cell r="P101">
            <v>0</v>
          </cell>
          <cell r="R101">
            <v>0</v>
          </cell>
        </row>
        <row r="102">
          <cell r="I102">
            <v>0</v>
          </cell>
          <cell r="R102">
            <v>0</v>
          </cell>
          <cell r="T102">
            <v>0</v>
          </cell>
        </row>
        <row r="103">
          <cell r="I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P104">
            <v>0</v>
          </cell>
          <cell r="R104">
            <v>0</v>
          </cell>
          <cell r="S104">
            <v>0</v>
          </cell>
        </row>
        <row r="106">
          <cell r="I106">
            <v>0</v>
          </cell>
          <cell r="P106">
            <v>0</v>
          </cell>
          <cell r="R106">
            <v>0</v>
          </cell>
          <cell r="T106">
            <v>0</v>
          </cell>
        </row>
        <row r="107">
          <cell r="I107">
            <v>0</v>
          </cell>
          <cell r="R107">
            <v>0</v>
          </cell>
          <cell r="T107">
            <v>0</v>
          </cell>
        </row>
        <row r="108">
          <cell r="I108">
            <v>0</v>
          </cell>
          <cell r="P108">
            <v>0</v>
          </cell>
          <cell r="R108">
            <v>0</v>
          </cell>
          <cell r="T108">
            <v>0</v>
          </cell>
        </row>
        <row r="109">
          <cell r="I109">
            <v>0</v>
          </cell>
          <cell r="R109">
            <v>0</v>
          </cell>
        </row>
        <row r="112">
          <cell r="I112">
            <v>0</v>
          </cell>
          <cell r="R112">
            <v>0</v>
          </cell>
          <cell r="T112">
            <v>0</v>
          </cell>
        </row>
        <row r="113">
          <cell r="I113">
            <v>0</v>
          </cell>
          <cell r="P113">
            <v>0</v>
          </cell>
          <cell r="R113">
            <v>0</v>
          </cell>
          <cell r="T113">
            <v>0</v>
          </cell>
        </row>
      </sheetData>
      <sheetData sheetId="7">
        <row r="30">
          <cell r="M30">
            <v>1290650.1399999999</v>
          </cell>
        </row>
      </sheetData>
      <sheetData sheetId="8">
        <row r="111">
          <cell r="C111">
            <v>0</v>
          </cell>
        </row>
      </sheetData>
      <sheetData sheetId="9"/>
      <sheetData sheetId="10">
        <row r="113">
          <cell r="C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H6">
            <v>0</v>
          </cell>
          <cell r="K6">
            <v>0</v>
          </cell>
          <cell r="N6">
            <v>0</v>
          </cell>
          <cell r="R6">
            <v>0</v>
          </cell>
          <cell r="S6">
            <v>0</v>
          </cell>
        </row>
        <row r="8">
          <cell r="H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G9">
            <v>0</v>
          </cell>
          <cell r="H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</row>
        <row r="10">
          <cell r="H10">
            <v>0</v>
          </cell>
          <cell r="K10">
            <v>0</v>
          </cell>
          <cell r="L10">
            <v>0</v>
          </cell>
          <cell r="N10">
            <v>0</v>
          </cell>
        </row>
        <row r="12">
          <cell r="H12">
            <v>0</v>
          </cell>
          <cell r="K12">
            <v>0</v>
          </cell>
        </row>
        <row r="15"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H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3">
          <cell r="G23">
            <v>0</v>
          </cell>
          <cell r="H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G24">
            <v>0</v>
          </cell>
          <cell r="H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G26">
            <v>0</v>
          </cell>
          <cell r="H26">
            <v>0</v>
          </cell>
          <cell r="J26">
            <v>0</v>
          </cell>
          <cell r="P26">
            <v>0</v>
          </cell>
        </row>
        <row r="27">
          <cell r="G27">
            <v>0</v>
          </cell>
          <cell r="H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P28">
            <v>0</v>
          </cell>
          <cell r="Q28">
            <v>0</v>
          </cell>
        </row>
        <row r="29">
          <cell r="N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G31">
            <v>0</v>
          </cell>
          <cell r="H31">
            <v>0</v>
          </cell>
          <cell r="K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G32">
            <v>0</v>
          </cell>
          <cell r="H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H38">
            <v>0</v>
          </cell>
          <cell r="N38">
            <v>0</v>
          </cell>
          <cell r="R38">
            <v>0</v>
          </cell>
        </row>
        <row r="39">
          <cell r="L39">
            <v>0</v>
          </cell>
          <cell r="N39">
            <v>0</v>
          </cell>
        </row>
        <row r="40">
          <cell r="H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H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H42">
            <v>0</v>
          </cell>
          <cell r="K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H44">
            <v>0</v>
          </cell>
          <cell r="K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H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H46">
            <v>0</v>
          </cell>
          <cell r="K46">
            <v>0</v>
          </cell>
          <cell r="N46">
            <v>0</v>
          </cell>
          <cell r="R46">
            <v>0</v>
          </cell>
        </row>
        <row r="47">
          <cell r="H47">
            <v>0</v>
          </cell>
          <cell r="K47">
            <v>0</v>
          </cell>
          <cell r="N47">
            <v>0</v>
          </cell>
          <cell r="R47">
            <v>0</v>
          </cell>
        </row>
        <row r="48">
          <cell r="H48">
            <v>0</v>
          </cell>
          <cell r="K48">
            <v>0</v>
          </cell>
          <cell r="R48">
            <v>0</v>
          </cell>
        </row>
        <row r="49">
          <cell r="H49">
            <v>0</v>
          </cell>
          <cell r="K49">
            <v>0</v>
          </cell>
          <cell r="N49">
            <v>0</v>
          </cell>
          <cell r="R49">
            <v>0</v>
          </cell>
        </row>
        <row r="50">
          <cell r="H50">
            <v>0</v>
          </cell>
          <cell r="K50">
            <v>0</v>
          </cell>
          <cell r="N50">
            <v>0</v>
          </cell>
          <cell r="R50">
            <v>0</v>
          </cell>
        </row>
        <row r="51">
          <cell r="H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H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4">
          <cell r="H54">
            <v>0</v>
          </cell>
          <cell r="K54">
            <v>0</v>
          </cell>
          <cell r="Q54">
            <v>0</v>
          </cell>
        </row>
        <row r="55">
          <cell r="H55">
            <v>0</v>
          </cell>
          <cell r="K55">
            <v>0</v>
          </cell>
          <cell r="N55">
            <v>0</v>
          </cell>
          <cell r="R55">
            <v>0</v>
          </cell>
        </row>
        <row r="56">
          <cell r="H56">
            <v>0</v>
          </cell>
          <cell r="K56">
            <v>0</v>
          </cell>
          <cell r="N56">
            <v>0</v>
          </cell>
          <cell r="R56">
            <v>0</v>
          </cell>
        </row>
        <row r="57">
          <cell r="H57">
            <v>0</v>
          </cell>
          <cell r="K57">
            <v>0</v>
          </cell>
          <cell r="R57">
            <v>0</v>
          </cell>
        </row>
        <row r="58">
          <cell r="H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H59">
            <v>0</v>
          </cell>
          <cell r="K59">
            <v>0</v>
          </cell>
          <cell r="N59">
            <v>0</v>
          </cell>
          <cell r="R59">
            <v>0</v>
          </cell>
        </row>
        <row r="60">
          <cell r="H60">
            <v>0</v>
          </cell>
          <cell r="K60">
            <v>0</v>
          </cell>
          <cell r="N60">
            <v>0</v>
          </cell>
          <cell r="R60">
            <v>0</v>
          </cell>
        </row>
        <row r="61">
          <cell r="F61">
            <v>0</v>
          </cell>
          <cell r="H61">
            <v>0</v>
          </cell>
          <cell r="K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H62">
            <v>0</v>
          </cell>
          <cell r="K62">
            <v>0</v>
          </cell>
          <cell r="N62">
            <v>0</v>
          </cell>
          <cell r="R62">
            <v>0</v>
          </cell>
        </row>
        <row r="63">
          <cell r="H63">
            <v>0</v>
          </cell>
          <cell r="K63">
            <v>0</v>
          </cell>
          <cell r="N63">
            <v>0</v>
          </cell>
          <cell r="P63">
            <v>0</v>
          </cell>
          <cell r="R63">
            <v>0</v>
          </cell>
        </row>
        <row r="65">
          <cell r="H65">
            <v>0</v>
          </cell>
          <cell r="K65">
            <v>0</v>
          </cell>
          <cell r="N65">
            <v>0</v>
          </cell>
          <cell r="R65">
            <v>0</v>
          </cell>
        </row>
        <row r="67">
          <cell r="H67">
            <v>0</v>
          </cell>
          <cell r="K67">
            <v>0</v>
          </cell>
          <cell r="N67">
            <v>0</v>
          </cell>
          <cell r="R67">
            <v>0</v>
          </cell>
        </row>
        <row r="68"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H80">
            <v>0</v>
          </cell>
          <cell r="K80">
            <v>0</v>
          </cell>
          <cell r="L80">
            <v>0</v>
          </cell>
          <cell r="N80">
            <v>0</v>
          </cell>
          <cell r="R80">
            <v>0</v>
          </cell>
        </row>
        <row r="82">
          <cell r="H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</row>
        <row r="83">
          <cell r="H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H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H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H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H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H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H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H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H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H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H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M99">
            <v>0</v>
          </cell>
          <cell r="N99">
            <v>0</v>
          </cell>
          <cell r="R99">
            <v>0</v>
          </cell>
          <cell r="S99">
            <v>0</v>
          </cell>
        </row>
        <row r="100">
          <cell r="N100">
            <v>0</v>
          </cell>
          <cell r="R100">
            <v>0</v>
          </cell>
          <cell r="S100">
            <v>0</v>
          </cell>
        </row>
        <row r="101">
          <cell r="N101">
            <v>0</v>
          </cell>
          <cell r="R101">
            <v>0</v>
          </cell>
          <cell r="S101">
            <v>0</v>
          </cell>
        </row>
        <row r="102">
          <cell r="H102">
            <v>0</v>
          </cell>
          <cell r="N102">
            <v>0</v>
          </cell>
        </row>
        <row r="105">
          <cell r="N105">
            <v>0</v>
          </cell>
          <cell r="R105">
            <v>0</v>
          </cell>
          <cell r="S105">
            <v>0</v>
          </cell>
        </row>
        <row r="107">
          <cell r="H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H108">
            <v>0</v>
          </cell>
          <cell r="N108">
            <v>0</v>
          </cell>
          <cell r="P108">
            <v>0</v>
          </cell>
          <cell r="S108">
            <v>0</v>
          </cell>
        </row>
        <row r="109">
          <cell r="H109">
            <v>0</v>
          </cell>
          <cell r="N109">
            <v>0</v>
          </cell>
          <cell r="P109">
            <v>0</v>
          </cell>
          <cell r="S109">
            <v>0</v>
          </cell>
        </row>
        <row r="110">
          <cell r="H110">
            <v>0</v>
          </cell>
          <cell r="N110">
            <v>0</v>
          </cell>
          <cell r="P110">
            <v>0</v>
          </cell>
        </row>
        <row r="111">
          <cell r="H111">
            <v>0</v>
          </cell>
          <cell r="N111">
            <v>0</v>
          </cell>
          <cell r="P111">
            <v>0</v>
          </cell>
          <cell r="S111">
            <v>0</v>
          </cell>
        </row>
        <row r="112">
          <cell r="H112">
            <v>0</v>
          </cell>
          <cell r="P112">
            <v>0</v>
          </cell>
          <cell r="S112">
            <v>0</v>
          </cell>
        </row>
        <row r="113">
          <cell r="H113">
            <v>0</v>
          </cell>
          <cell r="N113">
            <v>0</v>
          </cell>
          <cell r="P113">
            <v>0</v>
          </cell>
          <cell r="R113">
            <v>0</v>
          </cell>
        </row>
        <row r="114">
          <cell r="H114">
            <v>0</v>
          </cell>
          <cell r="N114">
            <v>0</v>
          </cell>
          <cell r="P114">
            <v>0</v>
          </cell>
          <cell r="S114">
            <v>0</v>
          </cell>
        </row>
        <row r="115">
          <cell r="H115">
            <v>0</v>
          </cell>
          <cell r="N115">
            <v>0</v>
          </cell>
          <cell r="P115">
            <v>0</v>
          </cell>
          <cell r="S115">
            <v>0</v>
          </cell>
        </row>
        <row r="116">
          <cell r="H116">
            <v>0</v>
          </cell>
          <cell r="N116">
            <v>0</v>
          </cell>
          <cell r="P116">
            <v>0</v>
          </cell>
          <cell r="S116">
            <v>0</v>
          </cell>
        </row>
        <row r="117">
          <cell r="H117">
            <v>0</v>
          </cell>
          <cell r="N117">
            <v>0</v>
          </cell>
          <cell r="P117">
            <v>0</v>
          </cell>
          <cell r="S117">
            <v>0</v>
          </cell>
        </row>
        <row r="118">
          <cell r="N118">
            <v>0</v>
          </cell>
        </row>
        <row r="120">
          <cell r="H120">
            <v>0</v>
          </cell>
          <cell r="P120">
            <v>0</v>
          </cell>
        </row>
        <row r="122">
          <cell r="H122">
            <v>0</v>
          </cell>
          <cell r="N122">
            <v>0</v>
          </cell>
          <cell r="S122">
            <v>0</v>
          </cell>
        </row>
        <row r="123">
          <cell r="H123">
            <v>0</v>
          </cell>
          <cell r="N123">
            <v>0</v>
          </cell>
          <cell r="P123">
            <v>0</v>
          </cell>
          <cell r="S123">
            <v>0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view="pageBreakPreview" zoomScaleSheetLayoutView="100" workbookViewId="0">
      <selection activeCell="D30" sqref="D30"/>
    </sheetView>
  </sheetViews>
  <sheetFormatPr defaultColWidth="8.85546875" defaultRowHeight="15"/>
  <cols>
    <col min="1" max="1" width="20" style="675" customWidth="1"/>
    <col min="2" max="2" width="11.5703125" style="675" customWidth="1"/>
    <col min="3" max="3" width="11.28515625" style="675" customWidth="1"/>
    <col min="4" max="4" width="14.42578125" style="675" customWidth="1"/>
    <col min="5" max="5" width="14.85546875" style="675" customWidth="1"/>
    <col min="6" max="6" width="13.85546875" style="675" customWidth="1"/>
    <col min="7" max="7" width="13.28515625" style="675" customWidth="1"/>
    <col min="8" max="8" width="16.42578125" style="675" customWidth="1"/>
    <col min="9" max="9" width="11.42578125" style="675" customWidth="1"/>
    <col min="10" max="10" width="11.140625" style="675" customWidth="1"/>
    <col min="11" max="16384" width="8.85546875" style="675"/>
  </cols>
  <sheetData>
    <row r="1" spans="1:11">
      <c r="H1" s="712" t="s">
        <v>453</v>
      </c>
      <c r="I1" s="712"/>
      <c r="J1" s="712"/>
    </row>
    <row r="3" spans="1:11" hidden="1"/>
    <row r="4" spans="1:11" hidden="1">
      <c r="H4" s="713"/>
      <c r="I4" s="713"/>
      <c r="J4" s="713"/>
    </row>
    <row r="5" spans="1:11" hidden="1">
      <c r="H5" s="676"/>
      <c r="I5" s="676"/>
      <c r="J5" s="676"/>
    </row>
    <row r="6" spans="1:11">
      <c r="H6" s="676"/>
      <c r="I6" s="676"/>
      <c r="J6" s="676"/>
    </row>
    <row r="7" spans="1:11" ht="15.75">
      <c r="A7" s="714" t="s">
        <v>452</v>
      </c>
      <c r="B7" s="714"/>
      <c r="C7" s="714"/>
      <c r="D7" s="714"/>
      <c r="E7" s="714"/>
      <c r="F7" s="714"/>
      <c r="G7" s="714"/>
      <c r="H7" s="714"/>
      <c r="I7" s="714"/>
      <c r="J7" s="714"/>
    </row>
    <row r="8" spans="1:11" ht="15.75">
      <c r="A8" s="714" t="s">
        <v>953</v>
      </c>
      <c r="B8" s="715"/>
      <c r="C8" s="715"/>
      <c r="D8" s="715"/>
      <c r="E8" s="715"/>
      <c r="F8" s="715"/>
      <c r="G8" s="715"/>
      <c r="H8" s="715"/>
      <c r="I8" s="715"/>
      <c r="J8" s="715"/>
    </row>
    <row r="9" spans="1:11">
      <c r="H9" s="676"/>
      <c r="I9" s="676"/>
      <c r="J9" s="676"/>
    </row>
    <row r="10" spans="1:11">
      <c r="H10" s="676"/>
      <c r="I10" s="676"/>
      <c r="J10" s="676"/>
    </row>
    <row r="11" spans="1:11">
      <c r="I11" s="716" t="s">
        <v>73</v>
      </c>
      <c r="J11" s="716"/>
    </row>
    <row r="12" spans="1:11">
      <c r="A12" s="711" t="s">
        <v>74</v>
      </c>
      <c r="B12" s="717" t="s">
        <v>951</v>
      </c>
      <c r="C12" s="718"/>
      <c r="D12" s="723" t="s">
        <v>955</v>
      </c>
      <c r="E12" s="726" t="s">
        <v>954</v>
      </c>
      <c r="F12" s="726"/>
      <c r="G12" s="726"/>
      <c r="H12" s="726"/>
      <c r="I12" s="717" t="s">
        <v>964</v>
      </c>
      <c r="J12" s="718"/>
    </row>
    <row r="13" spans="1:11">
      <c r="A13" s="711"/>
      <c r="B13" s="719"/>
      <c r="C13" s="720"/>
      <c r="D13" s="724"/>
      <c r="E13" s="711" t="s">
        <v>75</v>
      </c>
      <c r="F13" s="711" t="s">
        <v>76</v>
      </c>
      <c r="G13" s="711" t="s">
        <v>77</v>
      </c>
      <c r="H13" s="711" t="s">
        <v>963</v>
      </c>
      <c r="I13" s="719"/>
      <c r="J13" s="720"/>
    </row>
    <row r="14" spans="1:11" ht="63" customHeight="1">
      <c r="A14" s="711"/>
      <c r="B14" s="721"/>
      <c r="C14" s="722"/>
      <c r="D14" s="724"/>
      <c r="E14" s="711"/>
      <c r="F14" s="711"/>
      <c r="G14" s="711"/>
      <c r="H14" s="711"/>
      <c r="I14" s="721"/>
      <c r="J14" s="722"/>
    </row>
    <row r="15" spans="1:11" ht="65.25" customHeight="1">
      <c r="A15" s="711"/>
      <c r="B15" s="677" t="s">
        <v>78</v>
      </c>
      <c r="C15" s="677" t="s">
        <v>79</v>
      </c>
      <c r="D15" s="725"/>
      <c r="E15" s="711"/>
      <c r="F15" s="711"/>
      <c r="G15" s="711"/>
      <c r="H15" s="711"/>
      <c r="I15" s="677" t="s">
        <v>952</v>
      </c>
      <c r="J15" s="677" t="s">
        <v>79</v>
      </c>
    </row>
    <row r="16" spans="1:11" ht="24.95" customHeight="1">
      <c r="A16" s="678" t="s">
        <v>80</v>
      </c>
      <c r="B16" s="700"/>
      <c r="C16" s="701">
        <v>302.80811999999997</v>
      </c>
      <c r="D16" s="702">
        <v>9.1393400000000007</v>
      </c>
      <c r="E16" s="700">
        <v>1545.4118800000001</v>
      </c>
      <c r="F16" s="700">
        <v>1309.2325499999999</v>
      </c>
      <c r="G16" s="700">
        <v>1288.8424500000001</v>
      </c>
      <c r="H16" s="703">
        <f t="shared" ref="H16:H19" si="0">F16-G16+D16</f>
        <v>29.529439999999848</v>
      </c>
      <c r="I16" s="703"/>
      <c r="J16" s="701">
        <v>75.768129999999999</v>
      </c>
      <c r="K16" s="679"/>
    </row>
    <row r="17" spans="1:11" s="682" customFormat="1" ht="24.95" customHeight="1">
      <c r="A17" s="680" t="s">
        <v>81</v>
      </c>
      <c r="B17" s="700"/>
      <c r="C17" s="703">
        <v>8.2071500000000004</v>
      </c>
      <c r="D17" s="702">
        <v>13.570790000000001</v>
      </c>
      <c r="E17" s="703">
        <v>892.32357999999999</v>
      </c>
      <c r="F17" s="703">
        <v>851.62523999999996</v>
      </c>
      <c r="G17" s="703">
        <v>819.13725999999997</v>
      </c>
      <c r="H17" s="703">
        <f t="shared" si="0"/>
        <v>46.058769999999996</v>
      </c>
      <c r="I17" s="703">
        <f t="shared" ref="I17:I22" si="1">B17+E17-F17-C17-D17</f>
        <v>18.920400000000029</v>
      </c>
      <c r="J17" s="703"/>
      <c r="K17" s="681"/>
    </row>
    <row r="18" spans="1:11" ht="24.95" customHeight="1">
      <c r="A18" s="678" t="s">
        <v>86</v>
      </c>
      <c r="B18" s="700"/>
      <c r="C18" s="703">
        <v>106.25830000000001</v>
      </c>
      <c r="D18" s="702">
        <v>2.9249999999999998</v>
      </c>
      <c r="E18" s="700">
        <v>978.46248000000003</v>
      </c>
      <c r="F18" s="700">
        <v>862.53155000000004</v>
      </c>
      <c r="G18" s="700">
        <v>853.76327000000003</v>
      </c>
      <c r="H18" s="703">
        <f t="shared" si="0"/>
        <v>11.693280000000005</v>
      </c>
      <c r="I18" s="703">
        <f t="shared" si="1"/>
        <v>6.747629999999984</v>
      </c>
      <c r="J18" s="703"/>
      <c r="K18" s="679"/>
    </row>
    <row r="19" spans="1:11" ht="24.95" customHeight="1">
      <c r="A19" s="678" t="s">
        <v>85</v>
      </c>
      <c r="B19" s="700"/>
      <c r="C19" s="701">
        <v>15.80658</v>
      </c>
      <c r="D19" s="702">
        <v>31.76774</v>
      </c>
      <c r="E19" s="700">
        <v>1255.9644699999999</v>
      </c>
      <c r="F19" s="700">
        <v>1118.49847</v>
      </c>
      <c r="G19" s="700">
        <v>1132.8100199999999</v>
      </c>
      <c r="H19" s="703">
        <f t="shared" si="0"/>
        <v>17.456190000000102</v>
      </c>
      <c r="I19" s="703">
        <f t="shared" si="1"/>
        <v>89.891679999999894</v>
      </c>
      <c r="J19" s="701"/>
      <c r="K19" s="679"/>
    </row>
    <row r="20" spans="1:11" ht="24.95" customHeight="1">
      <c r="A20" s="678" t="s">
        <v>84</v>
      </c>
      <c r="B20" s="700"/>
      <c r="C20" s="703">
        <v>34.609450000000002</v>
      </c>
      <c r="D20" s="702">
        <v>1.875</v>
      </c>
      <c r="E20" s="700">
        <v>374.70814999999999</v>
      </c>
      <c r="F20" s="700">
        <v>310.85027000000002</v>
      </c>
      <c r="G20" s="700">
        <v>288.54509999999999</v>
      </c>
      <c r="H20" s="703">
        <f>F20-G20+D20</f>
        <v>24.180170000000032</v>
      </c>
      <c r="I20" s="703">
        <f t="shared" si="1"/>
        <v>27.373429999999964</v>
      </c>
      <c r="J20" s="703"/>
      <c r="K20" s="679"/>
    </row>
    <row r="21" spans="1:11" ht="24.95" customHeight="1">
      <c r="A21" s="678" t="s">
        <v>82</v>
      </c>
      <c r="B21" s="700"/>
      <c r="C21" s="701">
        <v>46.83858</v>
      </c>
      <c r="D21" s="702">
        <v>0</v>
      </c>
      <c r="E21" s="700">
        <v>388.63763</v>
      </c>
      <c r="F21" s="700">
        <v>330.66503</v>
      </c>
      <c r="G21" s="700">
        <v>311.20627999999999</v>
      </c>
      <c r="H21" s="703">
        <f t="shared" ref="H21" si="2">F21-G21+D21</f>
        <v>19.458750000000009</v>
      </c>
      <c r="I21" s="703">
        <f t="shared" si="1"/>
        <v>11.13402</v>
      </c>
      <c r="J21" s="701"/>
      <c r="K21" s="679"/>
    </row>
    <row r="22" spans="1:11" ht="24.95" customHeight="1">
      <c r="A22" s="678" t="s">
        <v>83</v>
      </c>
      <c r="B22" s="700"/>
      <c r="C22" s="701">
        <v>16.375139999999998</v>
      </c>
      <c r="D22" s="702">
        <v>10.15504</v>
      </c>
      <c r="E22" s="700">
        <v>1990.9964399999999</v>
      </c>
      <c r="F22" s="700">
        <v>1820.40814</v>
      </c>
      <c r="G22" s="700">
        <v>1780.422</v>
      </c>
      <c r="H22" s="703">
        <f t="shared" ref="H22" si="3">F22-G22+D22</f>
        <v>50.141179999999977</v>
      </c>
      <c r="I22" s="703">
        <f t="shared" si="1"/>
        <v>144.05811999999992</v>
      </c>
      <c r="J22" s="701"/>
      <c r="K22" s="679"/>
    </row>
    <row r="23" spans="1:11" ht="24.95" customHeight="1">
      <c r="A23" s="683" t="s">
        <v>87</v>
      </c>
      <c r="B23" s="704">
        <f t="shared" ref="B23" si="4">SUM(B17:B22)</f>
        <v>0</v>
      </c>
      <c r="C23" s="705">
        <f t="shared" ref="C23:J23" si="5">SUM(C16:C22)</f>
        <v>530.90332000000001</v>
      </c>
      <c r="D23" s="705">
        <f t="shared" si="5"/>
        <v>69.432909999999993</v>
      </c>
      <c r="E23" s="704">
        <f t="shared" si="5"/>
        <v>7426.5046300000004</v>
      </c>
      <c r="F23" s="704">
        <f t="shared" si="5"/>
        <v>6603.8112500000007</v>
      </c>
      <c r="G23" s="704">
        <f t="shared" si="5"/>
        <v>6474.7263800000001</v>
      </c>
      <c r="H23" s="704">
        <f t="shared" si="5"/>
        <v>198.51777999999996</v>
      </c>
      <c r="I23" s="704">
        <f t="shared" si="5"/>
        <v>298.12527999999975</v>
      </c>
      <c r="J23" s="705">
        <f t="shared" si="5"/>
        <v>75.768129999999999</v>
      </c>
      <c r="K23" s="679"/>
    </row>
    <row r="24" spans="1:11" ht="24.95" hidden="1" customHeight="1">
      <c r="A24" s="684" t="s">
        <v>71</v>
      </c>
      <c r="B24" s="701">
        <v>0</v>
      </c>
      <c r="C24" s="701">
        <v>0</v>
      </c>
      <c r="D24" s="701">
        <v>0</v>
      </c>
      <c r="E24" s="701">
        <v>0</v>
      </c>
      <c r="F24" s="701">
        <v>0</v>
      </c>
      <c r="G24" s="701">
        <v>0</v>
      </c>
      <c r="H24" s="701">
        <f>F24-G24</f>
        <v>0</v>
      </c>
      <c r="I24" s="701">
        <f>B24+E24-F24-C24</f>
        <v>0</v>
      </c>
      <c r="J24" s="700">
        <v>0</v>
      </c>
      <c r="K24" s="679"/>
    </row>
    <row r="25" spans="1:11" ht="24.95" customHeight="1">
      <c r="A25" s="685" t="s">
        <v>88</v>
      </c>
      <c r="B25" s="705">
        <f>B23+B24</f>
        <v>0</v>
      </c>
      <c r="C25" s="705">
        <f t="shared" ref="C25:H25" si="6">C23+C24</f>
        <v>530.90332000000001</v>
      </c>
      <c r="D25" s="705">
        <f t="shared" si="6"/>
        <v>69.432909999999993</v>
      </c>
      <c r="E25" s="705">
        <f>E23+E24</f>
        <v>7426.5046300000004</v>
      </c>
      <c r="F25" s="705">
        <f t="shared" si="6"/>
        <v>6603.8112500000007</v>
      </c>
      <c r="G25" s="705">
        <f t="shared" si="6"/>
        <v>6474.7263800000001</v>
      </c>
      <c r="H25" s="705">
        <f t="shared" si="6"/>
        <v>198.51777999999996</v>
      </c>
      <c r="I25" s="705">
        <f>I23+I24</f>
        <v>298.12527999999975</v>
      </c>
      <c r="J25" s="705">
        <f>J23+J24</f>
        <v>75.768129999999999</v>
      </c>
      <c r="K25" s="679"/>
    </row>
    <row r="26" spans="1:11">
      <c r="A26" s="686"/>
      <c r="D26" s="687"/>
      <c r="E26" s="688"/>
      <c r="F26" s="688"/>
      <c r="G26" s="687"/>
      <c r="H26" s="689"/>
      <c r="I26" s="689"/>
    </row>
    <row r="27" spans="1:11">
      <c r="H27" s="687"/>
      <c r="I27" s="687"/>
    </row>
    <row r="28" spans="1:11">
      <c r="B28" s="679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7"/>
  <sheetViews>
    <sheetView view="pageBreakPreview" zoomScaleSheetLayoutView="100" workbookViewId="0">
      <pane xSplit="2" ySplit="13" topLeftCell="H14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defaultColWidth="9.140625" defaultRowHeight="12"/>
  <cols>
    <col min="1" max="1" width="38.42578125" style="606" customWidth="1"/>
    <col min="2" max="2" width="6.28515625" style="607" customWidth="1"/>
    <col min="3" max="3" width="10.42578125" style="670" customWidth="1"/>
    <col min="4" max="4" width="11" style="670" customWidth="1"/>
    <col min="5" max="5" width="10.42578125" style="671" customWidth="1"/>
    <col min="6" max="6" width="10.5703125" style="609" hidden="1" customWidth="1"/>
    <col min="7" max="7" width="11.85546875" style="609" hidden="1" customWidth="1"/>
    <col min="8" max="8" width="9.5703125" style="670" customWidth="1"/>
    <col min="9" max="9" width="10.5703125" style="670" customWidth="1"/>
    <col min="10" max="10" width="11.140625" style="670" customWidth="1"/>
    <col min="11" max="11" width="11" style="670" hidden="1" customWidth="1"/>
    <col min="12" max="12" width="9.140625" style="670" customWidth="1"/>
    <col min="13" max="13" width="11.5703125" style="608" customWidth="1"/>
    <col min="14" max="14" width="13" style="670" customWidth="1"/>
    <col min="15" max="15" width="12.28515625" style="608" hidden="1" customWidth="1"/>
    <col min="16" max="16" width="10" style="670" customWidth="1"/>
    <col min="17" max="17" width="10.140625" style="670" customWidth="1"/>
    <col min="18" max="18" width="11.85546875" style="608" customWidth="1"/>
    <col min="19" max="19" width="15.42578125" style="606" customWidth="1"/>
    <col min="20" max="20" width="10.85546875" style="606" customWidth="1"/>
    <col min="21" max="21" width="9.7109375" style="606" bestFit="1" customWidth="1"/>
    <col min="22" max="22" width="11.140625" style="606" bestFit="1" customWidth="1"/>
    <col min="23" max="16384" width="9.140625" style="606"/>
  </cols>
  <sheetData>
    <row r="1" spans="1:22" ht="15" thickBot="1">
      <c r="C1" s="608"/>
      <c r="D1" s="608"/>
      <c r="E1" s="609"/>
      <c r="H1" s="608"/>
      <c r="I1" s="608"/>
      <c r="J1" s="608"/>
      <c r="K1" s="608"/>
      <c r="L1" s="608"/>
      <c r="N1" s="608"/>
      <c r="P1" s="729" t="s">
        <v>754</v>
      </c>
      <c r="Q1" s="729"/>
      <c r="R1" s="729"/>
    </row>
    <row r="2" spans="1:22" ht="15.75" customHeight="1" thickBot="1">
      <c r="A2" s="730" t="s">
        <v>956</v>
      </c>
      <c r="B2" s="730"/>
      <c r="C2" s="730"/>
      <c r="D2" s="730"/>
      <c r="E2" s="730"/>
      <c r="F2" s="610"/>
      <c r="G2" s="610"/>
      <c r="H2" s="731" t="s">
        <v>719</v>
      </c>
      <c r="I2" s="731"/>
      <c r="J2" s="731"/>
      <c r="K2" s="611"/>
      <c r="L2" s="732">
        <v>1064.6569999999999</v>
      </c>
      <c r="M2" s="732"/>
      <c r="N2" s="733" t="s">
        <v>681</v>
      </c>
      <c r="O2" s="733"/>
      <c r="P2" s="733"/>
      <c r="Q2" s="611" t="s">
        <v>829</v>
      </c>
      <c r="R2" s="612">
        <v>8761.3879899999993</v>
      </c>
    </row>
    <row r="3" spans="1:22" s="614" customFormat="1" ht="16.5" customHeight="1">
      <c r="A3" s="727" t="s">
        <v>89</v>
      </c>
      <c r="B3" s="727" t="s">
        <v>90</v>
      </c>
      <c r="C3" s="727" t="s">
        <v>720</v>
      </c>
      <c r="D3" s="727" t="s">
        <v>928</v>
      </c>
      <c r="E3" s="727" t="s">
        <v>672</v>
      </c>
      <c r="F3" s="727" t="s">
        <v>584</v>
      </c>
      <c r="G3" s="727" t="s">
        <v>274</v>
      </c>
      <c r="H3" s="727" t="s">
        <v>828</v>
      </c>
      <c r="I3" s="727" t="s">
        <v>721</v>
      </c>
      <c r="J3" s="727" t="s">
        <v>490</v>
      </c>
      <c r="K3" s="738" t="s">
        <v>616</v>
      </c>
      <c r="L3" s="727" t="s">
        <v>71</v>
      </c>
      <c r="M3" s="727" t="s">
        <v>95</v>
      </c>
      <c r="N3" s="727" t="s">
        <v>575</v>
      </c>
      <c r="O3" s="613"/>
      <c r="P3" s="738" t="s">
        <v>673</v>
      </c>
      <c r="Q3" s="734" t="s">
        <v>825</v>
      </c>
      <c r="R3" s="734" t="s">
        <v>97</v>
      </c>
    </row>
    <row r="4" spans="1:22" s="614" customFormat="1" ht="14.25" customHeight="1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615" t="s">
        <v>616</v>
      </c>
      <c r="P4" s="728"/>
      <c r="Q4" s="728"/>
      <c r="R4" s="728"/>
    </row>
    <row r="5" spans="1:22" ht="22.5" customHeight="1">
      <c r="A5" s="616" t="s">
        <v>99</v>
      </c>
      <c r="B5" s="617">
        <v>200</v>
      </c>
      <c r="C5" s="618">
        <f t="shared" ref="C5:M5" si="0">SUM(C6+C12+C81+C91+C97+C110+C118)</f>
        <v>1747.2242799999999</v>
      </c>
      <c r="D5" s="618">
        <f>SUM(D6+D12+D81+D91+D97+D110+D118)</f>
        <v>138.62387999999999</v>
      </c>
      <c r="E5" s="618">
        <f t="shared" ref="E5:N5" si="1">SUM(E6+E12+E81+E91+E97+E110+E118)</f>
        <v>86.627430000000004</v>
      </c>
      <c r="F5" s="618">
        <f t="shared" si="1"/>
        <v>0</v>
      </c>
      <c r="G5" s="618">
        <f t="shared" si="1"/>
        <v>0</v>
      </c>
      <c r="H5" s="618">
        <f t="shared" si="1"/>
        <v>25.036520000000003</v>
      </c>
      <c r="I5" s="618">
        <f t="shared" si="1"/>
        <v>1153.7452499999999</v>
      </c>
      <c r="J5" s="618">
        <f t="shared" si="1"/>
        <v>4047.1355899999994</v>
      </c>
      <c r="K5" s="618">
        <f t="shared" si="1"/>
        <v>0</v>
      </c>
      <c r="L5" s="618">
        <f t="shared" si="1"/>
        <v>10.406680000000001</v>
      </c>
      <c r="M5" s="618">
        <f t="shared" si="0"/>
        <v>4057.5422699999995</v>
      </c>
      <c r="N5" s="618">
        <f t="shared" si="1"/>
        <v>435.59899999999999</v>
      </c>
      <c r="O5" s="618">
        <f t="shared" ref="O5" si="2">SUM(O6+O12+O81+O91+O97+O110+O118)</f>
        <v>0</v>
      </c>
      <c r="P5" s="618">
        <f t="shared" ref="P5" si="3">SUM(P6+P12+P81+P91+P97+P110+P118)</f>
        <v>443.91300000000007</v>
      </c>
      <c r="Q5" s="618">
        <f t="shared" ref="Q5" si="4">SUM(Q6+Q12+Q81+Q91+Q97+Q110+Q118)</f>
        <v>171.71532000000002</v>
      </c>
      <c r="R5" s="619">
        <f>C5+D5+E5+H5+I5+M5+N5+O5+P5+Q5</f>
        <v>8260.0269499999995</v>
      </c>
      <c r="S5" s="620"/>
      <c r="T5" s="620"/>
      <c r="U5" s="621"/>
      <c r="V5" s="621"/>
    </row>
    <row r="6" spans="1:22" ht="15.75" customHeight="1">
      <c r="A6" s="622" t="s">
        <v>100</v>
      </c>
      <c r="B6" s="617">
        <v>210</v>
      </c>
      <c r="C6" s="618">
        <f t="shared" ref="C6:Q6" si="5">SUM(C7+C8+C11)</f>
        <v>103.20399999999999</v>
      </c>
      <c r="D6" s="618">
        <f t="shared" si="5"/>
        <v>0</v>
      </c>
      <c r="E6" s="618">
        <f t="shared" si="5"/>
        <v>0</v>
      </c>
      <c r="F6" s="618">
        <f t="shared" si="5"/>
        <v>0</v>
      </c>
      <c r="G6" s="618">
        <f t="shared" si="5"/>
        <v>0</v>
      </c>
      <c r="H6" s="618">
        <f t="shared" si="5"/>
        <v>0</v>
      </c>
      <c r="I6" s="618">
        <f t="shared" si="5"/>
        <v>0</v>
      </c>
      <c r="J6" s="618">
        <f t="shared" si="5"/>
        <v>0</v>
      </c>
      <c r="K6" s="618">
        <f t="shared" si="5"/>
        <v>0</v>
      </c>
      <c r="L6" s="618">
        <f t="shared" si="5"/>
        <v>0</v>
      </c>
      <c r="M6" s="619">
        <f t="shared" ref="M6:M70" si="6">J6+L6+K6</f>
        <v>0</v>
      </c>
      <c r="N6" s="618">
        <f t="shared" si="5"/>
        <v>0</v>
      </c>
      <c r="O6" s="618">
        <f t="shared" si="5"/>
        <v>0</v>
      </c>
      <c r="P6" s="618">
        <f t="shared" si="5"/>
        <v>0</v>
      </c>
      <c r="Q6" s="618">
        <f t="shared" si="5"/>
        <v>0</v>
      </c>
      <c r="R6" s="692">
        <f>C6+D6+E6+H6+I6+M6+N6+O6+P6+Q6</f>
        <v>103.20399999999999</v>
      </c>
      <c r="S6" s="620"/>
      <c r="T6" s="620"/>
      <c r="U6" s="621"/>
      <c r="V6" s="621"/>
    </row>
    <row r="7" spans="1:22" ht="16.5" customHeight="1">
      <c r="A7" s="623" t="s">
        <v>722</v>
      </c>
      <c r="B7" s="624">
        <v>211</v>
      </c>
      <c r="C7" s="625">
        <v>73.611999999999995</v>
      </c>
      <c r="D7" s="626"/>
      <c r="E7" s="626"/>
      <c r="F7" s="626">
        <v>0</v>
      </c>
      <c r="G7" s="626">
        <f>'[1]3кв'!I6+'[1]1 полуг'!H6</f>
        <v>0</v>
      </c>
      <c r="H7" s="626"/>
      <c r="I7" s="626">
        <f>'[1]3кв'!M6+'[1]1 полуг'!K6</f>
        <v>0</v>
      </c>
      <c r="J7" s="626"/>
      <c r="K7" s="626"/>
      <c r="L7" s="626">
        <f>'[1]3кв'!P6+'[1]1 полуг'!N6</f>
        <v>0</v>
      </c>
      <c r="M7" s="619">
        <f t="shared" si="6"/>
        <v>0</v>
      </c>
      <c r="N7" s="626">
        <v>0</v>
      </c>
      <c r="O7" s="626"/>
      <c r="P7" s="626">
        <f>'[1]3кв'!S6+'[1]1 полуг'!R6</f>
        <v>0</v>
      </c>
      <c r="Q7" s="626">
        <f>'[1]3кв'!T6+'[1]1 полуг'!S6</f>
        <v>0</v>
      </c>
      <c r="R7" s="619">
        <f t="shared" ref="R7:R10" si="7">C7+D7+E7+H7+I7+M7+N7+O7+P7+Q7</f>
        <v>73.611999999999995</v>
      </c>
      <c r="S7" s="620"/>
      <c r="T7" s="620"/>
      <c r="U7" s="621"/>
      <c r="V7" s="621"/>
    </row>
    <row r="8" spans="1:22">
      <c r="A8" s="623" t="s">
        <v>102</v>
      </c>
      <c r="B8" s="624">
        <v>212</v>
      </c>
      <c r="C8" s="618">
        <f t="shared" ref="C8:Q8" si="8">SUM(C9:C10)</f>
        <v>29.591999999999999</v>
      </c>
      <c r="D8" s="618">
        <f t="shared" si="8"/>
        <v>0</v>
      </c>
      <c r="E8" s="618">
        <f t="shared" si="8"/>
        <v>0</v>
      </c>
      <c r="F8" s="618">
        <f>SUM(F9:F10)</f>
        <v>0</v>
      </c>
      <c r="G8" s="618">
        <f t="shared" si="8"/>
        <v>0</v>
      </c>
      <c r="H8" s="618">
        <f t="shared" si="8"/>
        <v>0</v>
      </c>
      <c r="I8" s="618">
        <f t="shared" si="8"/>
        <v>0</v>
      </c>
      <c r="J8" s="618">
        <f>SUM(J9:J10)</f>
        <v>0</v>
      </c>
      <c r="K8" s="618">
        <f>SUM(K9:K10)</f>
        <v>0</v>
      </c>
      <c r="L8" s="618">
        <f t="shared" si="8"/>
        <v>0</v>
      </c>
      <c r="M8" s="619">
        <f t="shared" si="6"/>
        <v>0</v>
      </c>
      <c r="N8" s="618">
        <f t="shared" si="8"/>
        <v>0</v>
      </c>
      <c r="O8" s="618">
        <f t="shared" si="8"/>
        <v>0</v>
      </c>
      <c r="P8" s="618">
        <f t="shared" si="8"/>
        <v>0</v>
      </c>
      <c r="Q8" s="618">
        <f t="shared" si="8"/>
        <v>0</v>
      </c>
      <c r="R8" s="619">
        <f t="shared" si="7"/>
        <v>29.591999999999999</v>
      </c>
      <c r="S8" s="620"/>
      <c r="T8" s="620"/>
      <c r="U8" s="621"/>
      <c r="V8" s="621"/>
    </row>
    <row r="9" spans="1:22" ht="12.75" customHeight="1">
      <c r="A9" s="623" t="s">
        <v>103</v>
      </c>
      <c r="B9" s="624">
        <v>212</v>
      </c>
      <c r="C9" s="625">
        <v>29.591999999999999</v>
      </c>
      <c r="D9" s="626"/>
      <c r="E9" s="626"/>
      <c r="F9" s="626">
        <f>'[1]3кв'!I8+'[1]1 полуг'!H8</f>
        <v>0</v>
      </c>
      <c r="G9" s="626">
        <f>'[1]3кв'!I8+'[1]1 полуг'!H8</f>
        <v>0</v>
      </c>
      <c r="H9" s="626"/>
      <c r="I9" s="626">
        <f>'[1]3кв'!M8+'[1]1 полуг'!K8</f>
        <v>0</v>
      </c>
      <c r="J9" s="626">
        <f>'[1]3кв'!N8+'[1]1 полуг'!L8</f>
        <v>0</v>
      </c>
      <c r="K9" s="626"/>
      <c r="L9" s="626"/>
      <c r="M9" s="619">
        <f t="shared" si="6"/>
        <v>0</v>
      </c>
      <c r="N9" s="626"/>
      <c r="O9" s="626"/>
      <c r="P9" s="626"/>
      <c r="Q9" s="626">
        <f>'[1]3кв'!T8+'[1]1 полуг'!S8</f>
        <v>0</v>
      </c>
      <c r="R9" s="619">
        <f t="shared" si="7"/>
        <v>29.591999999999999</v>
      </c>
      <c r="S9" s="620"/>
      <c r="T9" s="620"/>
      <c r="U9" s="621"/>
      <c r="V9" s="621"/>
    </row>
    <row r="10" spans="1:22" ht="12" customHeight="1">
      <c r="A10" s="623" t="s">
        <v>104</v>
      </c>
      <c r="B10" s="624">
        <v>212</v>
      </c>
      <c r="C10" s="626"/>
      <c r="D10" s="626"/>
      <c r="E10" s="626">
        <f>'[1]3кв'!H9+'[1]1 полуг'!G9</f>
        <v>0</v>
      </c>
      <c r="F10" s="626">
        <f>'[1]3кв'!I9+'[1]1 полуг'!H9</f>
        <v>0</v>
      </c>
      <c r="G10" s="626">
        <f>'[1]3кв'!I9+'[1]1 полуг'!H9</f>
        <v>0</v>
      </c>
      <c r="H10" s="626"/>
      <c r="I10" s="626">
        <f>'[1]3кв'!M9+'[1]1 полуг'!K9</f>
        <v>0</v>
      </c>
      <c r="J10" s="626">
        <f>'[1]3кв'!N9+'[1]1 полуг'!L9</f>
        <v>0</v>
      </c>
      <c r="K10" s="626"/>
      <c r="L10" s="626">
        <f>'[1]3кв'!P9+'[1]1 полуг'!N9</f>
        <v>0</v>
      </c>
      <c r="M10" s="619">
        <f t="shared" si="6"/>
        <v>0</v>
      </c>
      <c r="N10" s="626">
        <f>'[1]3кв'!R9+'[1]1 полуг'!P9</f>
        <v>0</v>
      </c>
      <c r="O10" s="626"/>
      <c r="P10" s="626"/>
      <c r="Q10" s="626">
        <f>'[1]3кв'!T9+'[1]1 полуг'!S9</f>
        <v>0</v>
      </c>
      <c r="R10" s="619">
        <f t="shared" si="7"/>
        <v>0</v>
      </c>
      <c r="S10" s="620"/>
      <c r="T10" s="620"/>
      <c r="U10" s="621"/>
      <c r="V10" s="621"/>
    </row>
    <row r="11" spans="1:22" ht="12" customHeight="1">
      <c r="A11" s="623" t="s">
        <v>105</v>
      </c>
      <c r="B11" s="624">
        <v>213</v>
      </c>
      <c r="C11" s="626"/>
      <c r="D11" s="626"/>
      <c r="E11" s="626"/>
      <c r="F11" s="626">
        <f>'[1]3кв'!I10+'[1]1 полуг'!H10</f>
        <v>0</v>
      </c>
      <c r="G11" s="626">
        <f>'[1]3кв'!I10+'[1]1 полуг'!H10</f>
        <v>0</v>
      </c>
      <c r="H11" s="626"/>
      <c r="I11" s="626">
        <f>'[1]3кв'!M10+'[1]1 полуг'!K10</f>
        <v>0</v>
      </c>
      <c r="J11" s="626">
        <f>'[1]3кв'!N10+'[1]1 полуг'!L10</f>
        <v>0</v>
      </c>
      <c r="K11" s="626"/>
      <c r="L11" s="626">
        <f>'[1]3кв'!P10+'[1]1 полуг'!N10</f>
        <v>0</v>
      </c>
      <c r="M11" s="619">
        <f t="shared" si="6"/>
        <v>0</v>
      </c>
      <c r="N11" s="626"/>
      <c r="O11" s="626"/>
      <c r="P11" s="626"/>
      <c r="Q11" s="626"/>
      <c r="R11" s="619">
        <f>C11+D11+E11+H11+I11+M11+N11+O11+P11+Q11</f>
        <v>0</v>
      </c>
      <c r="S11" s="620"/>
      <c r="T11" s="620"/>
      <c r="U11" s="621"/>
      <c r="V11" s="621"/>
    </row>
    <row r="12" spans="1:22" s="630" customFormat="1" ht="12" customHeight="1">
      <c r="A12" s="627" t="s">
        <v>929</v>
      </c>
      <c r="B12" s="617">
        <v>220</v>
      </c>
      <c r="C12" s="618">
        <f>SUM(C13+C14+C17+C21+C22+C90+C39)</f>
        <v>762.99460999999997</v>
      </c>
      <c r="D12" s="618">
        <f t="shared" ref="D12:Q12" si="9">SUM(D13+D14+D17+D21+D22+D90+D39)</f>
        <v>102.12388</v>
      </c>
      <c r="E12" s="618">
        <f>SUM(E13+E14+E17+E21+E22+E90+E39)</f>
        <v>74.558430000000001</v>
      </c>
      <c r="F12" s="618">
        <f t="shared" si="9"/>
        <v>0</v>
      </c>
      <c r="G12" s="618">
        <f t="shared" si="9"/>
        <v>0</v>
      </c>
      <c r="H12" s="618">
        <f>SUM(H13+H14+H17+H21+H22+H90+H39)</f>
        <v>21.936520000000002</v>
      </c>
      <c r="I12" s="618">
        <f t="shared" si="9"/>
        <v>909.19100000000003</v>
      </c>
      <c r="J12" s="618">
        <f t="shared" si="9"/>
        <v>3358.4925899999994</v>
      </c>
      <c r="K12" s="618">
        <f t="shared" si="9"/>
        <v>0</v>
      </c>
      <c r="L12" s="618">
        <f t="shared" si="9"/>
        <v>10.406680000000001</v>
      </c>
      <c r="M12" s="618">
        <f>SUM(M13+M14+M17+M21+M22+M90+M39)</f>
        <v>3368.8992699999994</v>
      </c>
      <c r="N12" s="618">
        <f t="shared" si="9"/>
        <v>378.58699999999999</v>
      </c>
      <c r="O12" s="618">
        <f t="shared" si="9"/>
        <v>0</v>
      </c>
      <c r="P12" s="618">
        <f t="shared" si="9"/>
        <v>373.65900000000005</v>
      </c>
      <c r="Q12" s="618">
        <f t="shared" si="9"/>
        <v>83.491320000000002</v>
      </c>
      <c r="R12" s="619">
        <f>C12+D12+E12+H12+I12+M12+N12+O12+P12+Q12</f>
        <v>6075.441029999999</v>
      </c>
      <c r="S12" s="628"/>
      <c r="T12" s="628"/>
      <c r="U12" s="629"/>
      <c r="V12" s="629"/>
    </row>
    <row r="13" spans="1:22" ht="15" customHeight="1">
      <c r="A13" s="631" t="s">
        <v>107</v>
      </c>
      <c r="B13" s="624">
        <v>221</v>
      </c>
      <c r="C13" s="625">
        <v>54.930669999999999</v>
      </c>
      <c r="D13" s="625"/>
      <c r="E13" s="626">
        <v>38.006430000000002</v>
      </c>
      <c r="F13" s="626">
        <v>0</v>
      </c>
      <c r="G13" s="626">
        <f>'[1]3кв'!I12+'[1]1 полуг'!H12</f>
        <v>0</v>
      </c>
      <c r="H13" s="626">
        <v>11.91652</v>
      </c>
      <c r="I13" s="626">
        <f>'[1]3кв'!M12+'[1]1 полуг'!K12</f>
        <v>0</v>
      </c>
      <c r="J13" s="625">
        <f>63.64051+27.0068</f>
        <v>90.647310000000004</v>
      </c>
      <c r="K13" s="626"/>
      <c r="L13" s="626">
        <v>5.8496800000000002</v>
      </c>
      <c r="M13" s="619">
        <f t="shared" si="6"/>
        <v>96.496990000000011</v>
      </c>
      <c r="N13" s="626">
        <v>0</v>
      </c>
      <c r="O13" s="626"/>
      <c r="P13" s="626">
        <v>0</v>
      </c>
      <c r="Q13" s="626">
        <v>29.323550000000001</v>
      </c>
      <c r="R13" s="619">
        <f>C13+D13+E13+H13+I13+M13+N13+O13+P13+Q13</f>
        <v>230.67416000000003</v>
      </c>
      <c r="S13" s="620"/>
      <c r="T13" s="620"/>
      <c r="U13" s="621"/>
      <c r="V13" s="621"/>
    </row>
    <row r="14" spans="1:22" ht="12.75">
      <c r="A14" s="632" t="s">
        <v>108</v>
      </c>
      <c r="B14" s="624">
        <v>222</v>
      </c>
      <c r="C14" s="619">
        <f>C15+C16</f>
        <v>0</v>
      </c>
      <c r="D14" s="619">
        <f>D15+D16</f>
        <v>0</v>
      </c>
      <c r="E14" s="619">
        <f t="shared" ref="E14:Q14" si="10">E15+E16</f>
        <v>0</v>
      </c>
      <c r="F14" s="619">
        <f t="shared" si="10"/>
        <v>0</v>
      </c>
      <c r="G14" s="619">
        <f t="shared" si="10"/>
        <v>0</v>
      </c>
      <c r="H14" s="619">
        <f t="shared" si="10"/>
        <v>0</v>
      </c>
      <c r="I14" s="619">
        <f t="shared" si="10"/>
        <v>0</v>
      </c>
      <c r="J14" s="619">
        <f t="shared" si="10"/>
        <v>0</v>
      </c>
      <c r="K14" s="619">
        <f t="shared" si="10"/>
        <v>0</v>
      </c>
      <c r="L14" s="619">
        <f t="shared" si="10"/>
        <v>0</v>
      </c>
      <c r="M14" s="619">
        <f>J14+L14+K14</f>
        <v>0</v>
      </c>
      <c r="N14" s="619">
        <f t="shared" si="10"/>
        <v>0</v>
      </c>
      <c r="O14" s="619">
        <f t="shared" si="10"/>
        <v>0</v>
      </c>
      <c r="P14" s="619">
        <f t="shared" si="10"/>
        <v>0</v>
      </c>
      <c r="Q14" s="619">
        <f t="shared" si="10"/>
        <v>0</v>
      </c>
      <c r="R14" s="619">
        <f t="shared" ref="R14:R77" si="11">C14+D14+E14+H14+I14+M14+N14+O14+P14+Q14</f>
        <v>0</v>
      </c>
      <c r="S14" s="620"/>
      <c r="T14" s="620"/>
      <c r="U14" s="621"/>
      <c r="V14" s="621"/>
    </row>
    <row r="15" spans="1:22" ht="12.75" customHeight="1">
      <c r="A15" s="633" t="s">
        <v>109</v>
      </c>
      <c r="B15" s="624">
        <v>222</v>
      </c>
      <c r="C15" s="625"/>
      <c r="D15" s="625"/>
      <c r="E15" s="626">
        <f>'[1]3кв'!H14+'[1]1 полуг'!G15</f>
        <v>0</v>
      </c>
      <c r="F15" s="626">
        <f>'[1]3кв'!I14+'[1]1 полуг'!H15</f>
        <v>0</v>
      </c>
      <c r="G15" s="626">
        <f>'[1]3кв'!I14+'[1]1 полуг'!H15</f>
        <v>0</v>
      </c>
      <c r="H15" s="626">
        <f>'[1]3кв'!L14+'[1]1 полуг'!J15</f>
        <v>0</v>
      </c>
      <c r="I15" s="626"/>
      <c r="J15" s="625"/>
      <c r="K15" s="625"/>
      <c r="L15" s="626">
        <f>'[1]3кв'!P14+'[1]1 полуг'!N15</f>
        <v>0</v>
      </c>
      <c r="M15" s="619">
        <f t="shared" si="6"/>
        <v>0</v>
      </c>
      <c r="N15" s="626">
        <f>'[1]3кв'!R14+'[1]1 полуг'!P15</f>
        <v>0</v>
      </c>
      <c r="O15" s="626">
        <f>'[1]3кв'!K14</f>
        <v>0</v>
      </c>
      <c r="P15" s="626">
        <f>'[1]3кв'!S14+'[1]1 полуг'!R15</f>
        <v>0</v>
      </c>
      <c r="Q15" s="626"/>
      <c r="R15" s="619">
        <f t="shared" si="11"/>
        <v>0</v>
      </c>
      <c r="S15" s="620"/>
      <c r="T15" s="620"/>
      <c r="U15" s="621"/>
      <c r="V15" s="621"/>
    </row>
    <row r="16" spans="1:22" ht="15" customHeight="1">
      <c r="A16" s="633" t="s">
        <v>110</v>
      </c>
      <c r="B16" s="624">
        <v>222</v>
      </c>
      <c r="C16" s="625"/>
      <c r="D16" s="625"/>
      <c r="E16" s="626">
        <f>'[1]3кв'!H15+'[1]1 полуг'!G16</f>
        <v>0</v>
      </c>
      <c r="F16" s="626">
        <f>'[1]3кв'!I15+'[1]1 полуг'!H16</f>
        <v>0</v>
      </c>
      <c r="G16" s="626">
        <f>'[1]3кв'!I15+'[1]1 полуг'!H16</f>
        <v>0</v>
      </c>
      <c r="H16" s="626">
        <f>'[1]3кв'!L15+'[1]1 полуг'!J16</f>
        <v>0</v>
      </c>
      <c r="I16" s="626">
        <f>'[1]3кв'!M15+'[1]1 полуг'!K16</f>
        <v>0</v>
      </c>
      <c r="J16" s="625"/>
      <c r="K16" s="626">
        <f>'[1]1 полуг'!M16+'[1]3кв'!O15</f>
        <v>0</v>
      </c>
      <c r="L16" s="626">
        <f>'[1]3кв'!P15+'[1]1 полуг'!N16</f>
        <v>0</v>
      </c>
      <c r="M16" s="619">
        <f t="shared" si="6"/>
        <v>0</v>
      </c>
      <c r="N16" s="626">
        <f>'[1]3кв'!R15+'[1]1 полуг'!P16</f>
        <v>0</v>
      </c>
      <c r="O16" s="626"/>
      <c r="P16" s="626">
        <f>'[1]3кв'!S15+'[1]1 полуг'!R16</f>
        <v>0</v>
      </c>
      <c r="Q16" s="626">
        <f>'[1]3кв'!T15+'[1]1 полуг'!S16</f>
        <v>0</v>
      </c>
      <c r="R16" s="619">
        <f t="shared" si="11"/>
        <v>0</v>
      </c>
      <c r="S16" s="620"/>
      <c r="T16" s="620"/>
      <c r="U16" s="621"/>
      <c r="V16" s="621"/>
    </row>
    <row r="17" spans="1:22" s="630" customFormat="1" ht="13.5">
      <c r="A17" s="690" t="s">
        <v>111</v>
      </c>
      <c r="B17" s="617">
        <v>223</v>
      </c>
      <c r="C17" s="619">
        <f t="shared" ref="C17:Q17" si="12">SUM(C18:C20)</f>
        <v>86.288939999999997</v>
      </c>
      <c r="D17" s="619">
        <f t="shared" si="12"/>
        <v>0</v>
      </c>
      <c r="E17" s="619">
        <f t="shared" si="12"/>
        <v>0</v>
      </c>
      <c r="F17" s="619">
        <f t="shared" si="12"/>
        <v>0</v>
      </c>
      <c r="G17" s="619">
        <f t="shared" si="12"/>
        <v>0</v>
      </c>
      <c r="H17" s="619">
        <f t="shared" si="12"/>
        <v>0</v>
      </c>
      <c r="I17" s="619">
        <f t="shared" si="12"/>
        <v>882.86300000000006</v>
      </c>
      <c r="J17" s="619">
        <f t="shared" si="12"/>
        <v>2915.0079999999998</v>
      </c>
      <c r="K17" s="619">
        <f t="shared" si="12"/>
        <v>0</v>
      </c>
      <c r="L17" s="619">
        <f t="shared" si="12"/>
        <v>0</v>
      </c>
      <c r="M17" s="619">
        <f t="shared" si="12"/>
        <v>2915.0079999999998</v>
      </c>
      <c r="N17" s="619">
        <f t="shared" si="12"/>
        <v>201.30099999999999</v>
      </c>
      <c r="O17" s="619">
        <f t="shared" si="12"/>
        <v>0</v>
      </c>
      <c r="P17" s="619">
        <f t="shared" si="12"/>
        <v>373.65900000000005</v>
      </c>
      <c r="Q17" s="619">
        <f t="shared" si="12"/>
        <v>0</v>
      </c>
      <c r="R17" s="619">
        <f t="shared" si="11"/>
        <v>4459.1199399999996</v>
      </c>
      <c r="S17" s="628"/>
      <c r="T17" s="628"/>
      <c r="U17" s="629"/>
      <c r="V17" s="629"/>
    </row>
    <row r="18" spans="1:22" ht="12.75" customHeight="1">
      <c r="A18" s="633" t="s">
        <v>112</v>
      </c>
      <c r="B18" s="624">
        <v>223</v>
      </c>
      <c r="C18" s="625"/>
      <c r="D18" s="625"/>
      <c r="E18" s="626">
        <f>'[1]3кв'!H17+'[1]1 полуг'!G18</f>
        <v>0</v>
      </c>
      <c r="F18" s="626">
        <f>'[1]3кв'!I17+'[1]1 полуг'!H18</f>
        <v>0</v>
      </c>
      <c r="G18" s="626">
        <f>'[1]3кв'!I17+'[1]1 полуг'!H18</f>
        <v>0</v>
      </c>
      <c r="H18" s="626">
        <f>'[1]3кв'!L17+'[1]1 полуг'!J18</f>
        <v>0</v>
      </c>
      <c r="I18" s="626">
        <f>'[1]3кв'!M17+'[1]1 полуг'!K18</f>
        <v>0</v>
      </c>
      <c r="J18" s="625">
        <v>604</v>
      </c>
      <c r="K18" s="626"/>
      <c r="L18" s="626">
        <f>'[1]3кв'!P17+'[1]1 полуг'!N18</f>
        <v>0</v>
      </c>
      <c r="M18" s="619">
        <f t="shared" si="6"/>
        <v>604</v>
      </c>
      <c r="N18" s="626"/>
      <c r="O18" s="626"/>
      <c r="P18" s="626">
        <v>239.74</v>
      </c>
      <c r="Q18" s="626">
        <f>'[1]3кв'!T17+'[1]1 полуг'!S18</f>
        <v>0</v>
      </c>
      <c r="R18" s="619">
        <f t="shared" si="11"/>
        <v>843.74</v>
      </c>
      <c r="S18" s="620"/>
      <c r="T18" s="620"/>
      <c r="U18" s="621"/>
      <c r="V18" s="621"/>
    </row>
    <row r="19" spans="1:22">
      <c r="A19" s="633" t="s">
        <v>113</v>
      </c>
      <c r="B19" s="624">
        <v>223</v>
      </c>
      <c r="C19" s="625">
        <v>79.777940000000001</v>
      </c>
      <c r="D19" s="625"/>
      <c r="E19" s="626">
        <f>'[1]3кв'!H18+'[1]1 полуг'!G19</f>
        <v>0</v>
      </c>
      <c r="F19" s="626">
        <f>'[1]3кв'!I18+'[1]1 полуг'!H19</f>
        <v>0</v>
      </c>
      <c r="G19" s="626">
        <f>'[1]3кв'!I18+'[1]1 полуг'!H19</f>
        <v>0</v>
      </c>
      <c r="H19" s="626">
        <f>'[1]3кв'!L18+'[1]1 полуг'!J19</f>
        <v>0</v>
      </c>
      <c r="I19" s="626">
        <v>882.86300000000006</v>
      </c>
      <c r="J19" s="625">
        <v>2018.8689999999999</v>
      </c>
      <c r="K19" s="626"/>
      <c r="L19" s="626">
        <f>'[1]3кв'!P18+'[1]1 полуг'!N19</f>
        <v>0</v>
      </c>
      <c r="M19" s="619">
        <f t="shared" si="6"/>
        <v>2018.8689999999999</v>
      </c>
      <c r="N19" s="626">
        <v>188.929</v>
      </c>
      <c r="O19" s="626"/>
      <c r="P19" s="626">
        <v>76.771000000000001</v>
      </c>
      <c r="Q19" s="626">
        <f>'[1]3кв'!T18+'[1]1 полуг'!S19</f>
        <v>0</v>
      </c>
      <c r="R19" s="619">
        <f t="shared" si="11"/>
        <v>3247.2099400000002</v>
      </c>
      <c r="S19" s="620"/>
      <c r="T19" s="620"/>
      <c r="U19" s="621"/>
      <c r="V19" s="621"/>
    </row>
    <row r="20" spans="1:22">
      <c r="A20" s="634" t="s">
        <v>114</v>
      </c>
      <c r="B20" s="624">
        <v>223</v>
      </c>
      <c r="C20" s="625">
        <v>6.5110000000000001</v>
      </c>
      <c r="D20" s="625"/>
      <c r="E20" s="626">
        <f>'[1]3кв'!H19+'[1]1 полуг'!G20</f>
        <v>0</v>
      </c>
      <c r="F20" s="626">
        <f>'[1]3кв'!I19+'[1]1 полуг'!H20</f>
        <v>0</v>
      </c>
      <c r="G20" s="626">
        <f>'[1]3кв'!I19+'[1]1 полуг'!H20</f>
        <v>0</v>
      </c>
      <c r="H20" s="626">
        <f>'[1]3кв'!L19+'[1]1 полуг'!J20</f>
        <v>0</v>
      </c>
      <c r="I20" s="626">
        <f>'[1]3кв'!M19+'[1]1 полуг'!K20</f>
        <v>0</v>
      </c>
      <c r="J20" s="626">
        <v>292.13900000000001</v>
      </c>
      <c r="K20" s="626"/>
      <c r="L20" s="626">
        <f>'[1]3кв'!P19+'[1]1 полуг'!N20</f>
        <v>0</v>
      </c>
      <c r="M20" s="619">
        <f t="shared" si="6"/>
        <v>292.13900000000001</v>
      </c>
      <c r="N20" s="626">
        <v>12.372</v>
      </c>
      <c r="O20" s="626"/>
      <c r="P20" s="626">
        <v>57.148000000000003</v>
      </c>
      <c r="Q20" s="626">
        <f>'[1]3кв'!T19+'[1]1 полуг'!S20</f>
        <v>0</v>
      </c>
      <c r="R20" s="619">
        <f t="shared" si="11"/>
        <v>368.17000000000007</v>
      </c>
      <c r="S20" s="620"/>
      <c r="T20" s="620"/>
      <c r="U20" s="621"/>
      <c r="V20" s="621"/>
    </row>
    <row r="21" spans="1:22" ht="12" customHeight="1">
      <c r="A21" s="635" t="s">
        <v>930</v>
      </c>
      <c r="B21" s="624">
        <v>224</v>
      </c>
      <c r="C21" s="625"/>
      <c r="D21" s="625"/>
      <c r="E21" s="626">
        <v>0</v>
      </c>
      <c r="F21" s="626">
        <f>'[1]3кв'!I20+'[1]1 полуг'!H21</f>
        <v>0</v>
      </c>
      <c r="G21" s="626">
        <f>'[1]3кв'!I20+'[1]1 полуг'!H21</f>
        <v>0</v>
      </c>
      <c r="H21" s="626"/>
      <c r="I21" s="626">
        <f>'[1]3кв'!M20+'[1]1 полуг'!K21</f>
        <v>0</v>
      </c>
      <c r="J21" s="626"/>
      <c r="K21" s="626"/>
      <c r="L21" s="626">
        <f>'[1]3кв'!P20+'[1]1 полуг'!N21</f>
        <v>0</v>
      </c>
      <c r="M21" s="625">
        <f t="shared" si="6"/>
        <v>0</v>
      </c>
      <c r="N21" s="626">
        <f>'[1]3кв'!R20+'[1]1 полуг'!P21</f>
        <v>0</v>
      </c>
      <c r="O21" s="626"/>
      <c r="P21" s="626">
        <f>'[1]3кв'!S20+'[1]1 полуг'!R21</f>
        <v>0</v>
      </c>
      <c r="Q21" s="626">
        <f>'[1]3кв'!T20+'[1]1 полуг'!S21</f>
        <v>0</v>
      </c>
      <c r="R21" s="619">
        <f t="shared" si="11"/>
        <v>0</v>
      </c>
      <c r="S21" s="620"/>
      <c r="T21" s="620"/>
      <c r="U21" s="621"/>
      <c r="V21" s="621"/>
    </row>
    <row r="22" spans="1:22" s="630" customFormat="1" ht="13.5">
      <c r="A22" s="691" t="s">
        <v>115</v>
      </c>
      <c r="B22" s="617">
        <v>225</v>
      </c>
      <c r="C22" s="619">
        <f t="shared" ref="C22:Q22" si="13">SUM(C23:C38)</f>
        <v>67.52</v>
      </c>
      <c r="D22" s="619">
        <f t="shared" si="13"/>
        <v>68.203879999999998</v>
      </c>
      <c r="E22" s="619">
        <f t="shared" si="13"/>
        <v>0</v>
      </c>
      <c r="F22" s="619">
        <f t="shared" si="13"/>
        <v>0</v>
      </c>
      <c r="G22" s="619">
        <f t="shared" si="13"/>
        <v>0</v>
      </c>
      <c r="H22" s="619">
        <f t="shared" si="13"/>
        <v>1.8</v>
      </c>
      <c r="I22" s="619">
        <f t="shared" si="13"/>
        <v>0</v>
      </c>
      <c r="J22" s="619">
        <f t="shared" si="13"/>
        <v>161.238</v>
      </c>
      <c r="K22" s="619">
        <f t="shared" si="13"/>
        <v>0</v>
      </c>
      <c r="L22" s="619">
        <f t="shared" si="13"/>
        <v>0</v>
      </c>
      <c r="M22" s="619">
        <f t="shared" si="13"/>
        <v>161.238</v>
      </c>
      <c r="N22" s="619">
        <f t="shared" si="13"/>
        <v>4.4000000000000004</v>
      </c>
      <c r="O22" s="619">
        <f t="shared" si="13"/>
        <v>0</v>
      </c>
      <c r="P22" s="619">
        <f t="shared" si="13"/>
        <v>0</v>
      </c>
      <c r="Q22" s="619">
        <f t="shared" si="13"/>
        <v>0</v>
      </c>
      <c r="R22" s="619">
        <f t="shared" si="11"/>
        <v>303.16188</v>
      </c>
      <c r="S22" s="628"/>
      <c r="T22" s="628"/>
      <c r="U22" s="629"/>
      <c r="V22" s="629"/>
    </row>
    <row r="23" spans="1:22" ht="14.25" customHeight="1">
      <c r="A23" s="636" t="s">
        <v>723</v>
      </c>
      <c r="B23" s="624">
        <v>225</v>
      </c>
      <c r="C23" s="625"/>
      <c r="D23" s="625"/>
      <c r="E23" s="626">
        <f>'[1]3кв'!H22+'[1]1 полуг'!G23</f>
        <v>0</v>
      </c>
      <c r="F23" s="626">
        <f>'[1]3кв'!I22+'[1]1 полуг'!H23</f>
        <v>0</v>
      </c>
      <c r="G23" s="626">
        <f>'[1]3кв'!I22+'[1]1 полуг'!H23</f>
        <v>0</v>
      </c>
      <c r="H23" s="626"/>
      <c r="I23" s="626">
        <f>'[1]3кв'!M22+'[1]1 полуг'!K23</f>
        <v>0</v>
      </c>
      <c r="J23" s="626"/>
      <c r="K23" s="626"/>
      <c r="L23" s="626">
        <f>'[1]3кв'!P22+'[1]1 полуг'!N23</f>
        <v>0</v>
      </c>
      <c r="M23" s="619">
        <f t="shared" si="6"/>
        <v>0</v>
      </c>
      <c r="N23" s="626">
        <f>'[1]3кв'!R22+'[1]1 полуг'!P23</f>
        <v>0</v>
      </c>
      <c r="O23" s="626"/>
      <c r="P23" s="626">
        <f>'[1]3кв'!S22+'[1]1 полуг'!R23</f>
        <v>0</v>
      </c>
      <c r="Q23" s="626">
        <f>'[1]3кв'!T22+'[1]1 полуг'!S23</f>
        <v>0</v>
      </c>
      <c r="R23" s="619">
        <f t="shared" si="11"/>
        <v>0</v>
      </c>
      <c r="S23" s="620"/>
      <c r="T23" s="620"/>
      <c r="U23" s="621"/>
      <c r="V23" s="621"/>
    </row>
    <row r="24" spans="1:22" ht="15" customHeight="1">
      <c r="A24" s="636" t="s">
        <v>826</v>
      </c>
      <c r="B24" s="624">
        <v>225</v>
      </c>
      <c r="C24" s="625"/>
      <c r="D24" s="625">
        <v>68.203879999999998</v>
      </c>
      <c r="E24" s="626">
        <f>'[1]3кв'!H23+'[1]1 полуг'!G24</f>
        <v>0</v>
      </c>
      <c r="F24" s="626">
        <f>'[1]3кв'!I23+'[1]1 полуг'!H24</f>
        <v>0</v>
      </c>
      <c r="G24" s="626">
        <f>'[1]3кв'!I23+'[1]1 полуг'!H24</f>
        <v>0</v>
      </c>
      <c r="H24" s="626"/>
      <c r="I24" s="626">
        <f>'[1]3кв'!M23+'[1]1 полуг'!K24</f>
        <v>0</v>
      </c>
      <c r="J24" s="626">
        <v>159.18799999999999</v>
      </c>
      <c r="K24" s="626"/>
      <c r="L24" s="626">
        <f>'[1]3кв'!P23+'[1]1 полуг'!N24</f>
        <v>0</v>
      </c>
      <c r="M24" s="619">
        <f t="shared" si="6"/>
        <v>159.18799999999999</v>
      </c>
      <c r="N24" s="626">
        <v>4.4000000000000004</v>
      </c>
      <c r="O24" s="626"/>
      <c r="P24" s="626">
        <f>'[1]3кв'!S23+'[1]1 полуг'!R24</f>
        <v>0</v>
      </c>
      <c r="Q24" s="626">
        <f>'[1]3кв'!T23+'[1]1 полуг'!S24</f>
        <v>0</v>
      </c>
      <c r="R24" s="619">
        <f t="shared" si="11"/>
        <v>231.79187999999999</v>
      </c>
      <c r="S24" s="620"/>
      <c r="T24" s="620"/>
      <c r="U24" s="621"/>
      <c r="V24" s="621"/>
    </row>
    <row r="25" spans="1:22" ht="12.75" customHeight="1">
      <c r="A25" s="636" t="s">
        <v>724</v>
      </c>
      <c r="B25" s="624">
        <v>225</v>
      </c>
      <c r="C25" s="625"/>
      <c r="D25" s="625"/>
      <c r="E25" s="626">
        <f>'[1]3кв'!H24</f>
        <v>0</v>
      </c>
      <c r="F25" s="626">
        <f>'[1]3кв'!I24</f>
        <v>0</v>
      </c>
      <c r="G25" s="626">
        <f>'[1]3кв'!I24</f>
        <v>0</v>
      </c>
      <c r="H25" s="626"/>
      <c r="I25" s="626">
        <f>'[1]3кв'!L24</f>
        <v>0</v>
      </c>
      <c r="J25" s="626"/>
      <c r="K25" s="626"/>
      <c r="L25" s="626"/>
      <c r="M25" s="619">
        <f t="shared" si="6"/>
        <v>0</v>
      </c>
      <c r="N25" s="626"/>
      <c r="O25" s="626">
        <f>'[1]3кв'!R24</f>
        <v>0</v>
      </c>
      <c r="P25" s="626">
        <f>'[1]3кв'!S24</f>
        <v>0</v>
      </c>
      <c r="Q25" s="626">
        <f>'[1]3кв'!T24</f>
        <v>0</v>
      </c>
      <c r="R25" s="619">
        <f t="shared" si="11"/>
        <v>0</v>
      </c>
      <c r="S25" s="620"/>
      <c r="T25" s="620"/>
      <c r="U25" s="621"/>
      <c r="V25" s="621"/>
    </row>
    <row r="26" spans="1:22">
      <c r="A26" s="636" t="s">
        <v>827</v>
      </c>
      <c r="B26" s="624">
        <v>225</v>
      </c>
      <c r="C26" s="625">
        <v>67.52</v>
      </c>
      <c r="D26" s="625"/>
      <c r="E26" s="626">
        <f>'[1]1 полуг'!G26</f>
        <v>0</v>
      </c>
      <c r="F26" s="626">
        <f>'[1]1 полуг'!H26</f>
        <v>0</v>
      </c>
      <c r="G26" s="626">
        <f>'[1]1 полуг'!H26</f>
        <v>0</v>
      </c>
      <c r="H26" s="626"/>
      <c r="I26" s="626">
        <f>'[1]1 полуг'!J26</f>
        <v>0</v>
      </c>
      <c r="J26" s="626"/>
      <c r="K26" s="626"/>
      <c r="L26" s="626"/>
      <c r="M26" s="619">
        <f t="shared" si="6"/>
        <v>0</v>
      </c>
      <c r="N26" s="626"/>
      <c r="O26" s="626">
        <f>'[1]1 полуг'!P26</f>
        <v>0</v>
      </c>
      <c r="P26" s="626">
        <f>'[1]1 полуг'!Q26</f>
        <v>0</v>
      </c>
      <c r="Q26" s="626">
        <f>'[1]1 полуг'!R26</f>
        <v>0</v>
      </c>
      <c r="R26" s="619">
        <f t="shared" si="11"/>
        <v>67.52</v>
      </c>
      <c r="S26" s="620"/>
      <c r="T26" s="620"/>
      <c r="U26" s="621"/>
      <c r="V26" s="621"/>
    </row>
    <row r="27" spans="1:22" ht="15" customHeight="1">
      <c r="A27" s="636" t="s">
        <v>674</v>
      </c>
      <c r="B27" s="624">
        <v>225</v>
      </c>
      <c r="C27" s="637"/>
      <c r="D27" s="625"/>
      <c r="E27" s="626">
        <f>'[1]1 полуг'!G27</f>
        <v>0</v>
      </c>
      <c r="F27" s="626">
        <f>'[1]1 полуг'!H27</f>
        <v>0</v>
      </c>
      <c r="G27" s="626">
        <f>'[1]1 полуг'!H27</f>
        <v>0</v>
      </c>
      <c r="H27" s="626"/>
      <c r="I27" s="626"/>
      <c r="J27" s="626"/>
      <c r="K27" s="626"/>
      <c r="L27" s="626">
        <f>'[1]1 полуг'!L27</f>
        <v>0</v>
      </c>
      <c r="M27" s="619">
        <f t="shared" si="6"/>
        <v>0</v>
      </c>
      <c r="N27" s="626">
        <f>'[1]1 полуг'!O27</f>
        <v>0</v>
      </c>
      <c r="O27" s="626">
        <f>'[1]1 полуг'!P27</f>
        <v>0</v>
      </c>
      <c r="P27" s="626">
        <f>'[1]1 полуг'!Q27</f>
        <v>0</v>
      </c>
      <c r="Q27" s="626">
        <f>'[1]1 полуг'!R27</f>
        <v>0</v>
      </c>
      <c r="R27" s="619">
        <f t="shared" si="11"/>
        <v>0</v>
      </c>
      <c r="S27" s="620"/>
      <c r="T27" s="620"/>
      <c r="U27" s="621"/>
      <c r="V27" s="621"/>
    </row>
    <row r="28" spans="1:22" ht="12.75" customHeight="1">
      <c r="A28" s="636" t="s">
        <v>931</v>
      </c>
      <c r="B28" s="624">
        <v>225</v>
      </c>
      <c r="C28" s="625"/>
      <c r="D28" s="625"/>
      <c r="E28" s="626">
        <f>'[1]1 полуг'!G28</f>
        <v>0</v>
      </c>
      <c r="F28" s="626">
        <v>0</v>
      </c>
      <c r="G28" s="626">
        <f>'[1]1 полуг'!H28</f>
        <v>0</v>
      </c>
      <c r="H28" s="626"/>
      <c r="I28" s="626">
        <f>'[1]1 полуг'!K28</f>
        <v>0</v>
      </c>
      <c r="J28" s="626"/>
      <c r="K28" s="626">
        <v>0</v>
      </c>
      <c r="L28" s="626"/>
      <c r="M28" s="619">
        <f t="shared" si="6"/>
        <v>0</v>
      </c>
      <c r="N28" s="626"/>
      <c r="O28" s="626">
        <f>'[1]1 полуг'!P28</f>
        <v>0</v>
      </c>
      <c r="P28" s="626">
        <f>'[1]1 полуг'!Q28</f>
        <v>0</v>
      </c>
      <c r="Q28" s="626"/>
      <c r="R28" s="619">
        <f t="shared" si="11"/>
        <v>0</v>
      </c>
      <c r="S28" s="620"/>
      <c r="T28" s="620"/>
      <c r="U28" s="621"/>
      <c r="V28" s="621"/>
    </row>
    <row r="29" spans="1:22" ht="15" customHeight="1">
      <c r="A29" s="636" t="s">
        <v>675</v>
      </c>
      <c r="B29" s="624">
        <v>225</v>
      </c>
      <c r="C29" s="625"/>
      <c r="D29" s="625"/>
      <c r="E29" s="626">
        <f>'[1]3кв'!H26+'[1]1 полуг'!G30</f>
        <v>0</v>
      </c>
      <c r="F29" s="626">
        <f>'[1]3кв'!J26</f>
        <v>0</v>
      </c>
      <c r="G29" s="626">
        <f>'[1]3кв'!I26+'[1]1 полуг'!H30</f>
        <v>0</v>
      </c>
      <c r="H29" s="626"/>
      <c r="I29" s="626">
        <f>'[1]3кв'!M26+'[1]1 полуг'!K30</f>
        <v>0</v>
      </c>
      <c r="J29" s="626"/>
      <c r="K29" s="626"/>
      <c r="L29" s="626">
        <f>'[1]3кв'!P26+'[1]1 полуг'!N29</f>
        <v>0</v>
      </c>
      <c r="M29" s="619">
        <f t="shared" si="6"/>
        <v>0</v>
      </c>
      <c r="N29" s="626">
        <f>'[1]3кв'!R26+'[1]1 полуг'!P29</f>
        <v>0</v>
      </c>
      <c r="O29" s="626"/>
      <c r="P29" s="626">
        <f>'[1]3кв'!S26+'[1]1 полуг'!R30</f>
        <v>0</v>
      </c>
      <c r="Q29" s="626">
        <f>'[1]3кв'!T26+'[1]1 полуг'!S30</f>
        <v>0</v>
      </c>
      <c r="R29" s="619">
        <f t="shared" si="11"/>
        <v>0</v>
      </c>
      <c r="S29" s="620"/>
      <c r="T29" s="620"/>
      <c r="U29" s="621"/>
      <c r="V29" s="621"/>
    </row>
    <row r="30" spans="1:22" ht="15" customHeight="1">
      <c r="A30" s="636" t="s">
        <v>932</v>
      </c>
      <c r="B30" s="624">
        <v>225</v>
      </c>
      <c r="C30" s="625"/>
      <c r="D30" s="625"/>
      <c r="E30" s="626"/>
      <c r="F30" s="626"/>
      <c r="G30" s="626"/>
      <c r="H30" s="626"/>
      <c r="I30" s="626"/>
      <c r="J30" s="626"/>
      <c r="K30" s="626"/>
      <c r="L30" s="626">
        <f>'[1]1 полуг'!N30</f>
        <v>0</v>
      </c>
      <c r="M30" s="619">
        <f t="shared" si="6"/>
        <v>0</v>
      </c>
      <c r="N30" s="626"/>
      <c r="O30" s="626"/>
      <c r="P30" s="626"/>
      <c r="Q30" s="626"/>
      <c r="R30" s="619">
        <f t="shared" si="11"/>
        <v>0</v>
      </c>
      <c r="S30" s="620"/>
      <c r="T30" s="620"/>
      <c r="U30" s="621"/>
      <c r="V30" s="621"/>
    </row>
    <row r="31" spans="1:22" ht="15" customHeight="1">
      <c r="A31" s="636" t="s">
        <v>782</v>
      </c>
      <c r="B31" s="624">
        <v>225</v>
      </c>
      <c r="C31" s="625"/>
      <c r="D31" s="625"/>
      <c r="E31" s="626">
        <f>'[1]1 полуг'!G31</f>
        <v>0</v>
      </c>
      <c r="F31" s="626">
        <f>'[1]1 полуг'!H31</f>
        <v>0</v>
      </c>
      <c r="G31" s="626">
        <f>'[1]1 полуг'!H31</f>
        <v>0</v>
      </c>
      <c r="H31" s="626"/>
      <c r="I31" s="626">
        <f>'[1]1 полуг'!K31</f>
        <v>0</v>
      </c>
      <c r="J31" s="626"/>
      <c r="K31" s="626"/>
      <c r="L31" s="626"/>
      <c r="M31" s="619">
        <f t="shared" si="6"/>
        <v>0</v>
      </c>
      <c r="N31" s="626">
        <f>'[1]1 полуг'!P31</f>
        <v>0</v>
      </c>
      <c r="O31" s="626"/>
      <c r="P31" s="626">
        <f>'[1]1 полуг'!R31</f>
        <v>0</v>
      </c>
      <c r="Q31" s="626">
        <f>'[1]1 полуг'!S31</f>
        <v>0</v>
      </c>
      <c r="R31" s="619">
        <f t="shared" si="11"/>
        <v>0</v>
      </c>
      <c r="S31" s="620"/>
      <c r="T31" s="620"/>
      <c r="U31" s="621"/>
      <c r="V31" s="621"/>
    </row>
    <row r="32" spans="1:22" ht="15" customHeight="1">
      <c r="A32" s="636" t="s">
        <v>676</v>
      </c>
      <c r="B32" s="624">
        <v>225</v>
      </c>
      <c r="C32" s="625"/>
      <c r="D32" s="625"/>
      <c r="E32" s="626">
        <f>'[1]1 полуг'!G32</f>
        <v>0</v>
      </c>
      <c r="F32" s="626">
        <f>'[1]1 полуг'!H32</f>
        <v>0</v>
      </c>
      <c r="G32" s="626">
        <f>'[1]1 полуг'!H32</f>
        <v>0</v>
      </c>
      <c r="H32" s="626"/>
      <c r="I32" s="626">
        <f>'[1]1 полуг'!K32</f>
        <v>0</v>
      </c>
      <c r="J32" s="626"/>
      <c r="K32" s="626"/>
      <c r="L32" s="626">
        <f>'[1]1 полуг'!N32</f>
        <v>0</v>
      </c>
      <c r="M32" s="619">
        <f t="shared" si="6"/>
        <v>0</v>
      </c>
      <c r="N32" s="626">
        <f>'[1]1 полуг'!P32</f>
        <v>0</v>
      </c>
      <c r="O32" s="626"/>
      <c r="P32" s="626">
        <f>'[1]1 полуг'!R32</f>
        <v>0</v>
      </c>
      <c r="Q32" s="626">
        <f>'[1]1 полуг'!S32</f>
        <v>0</v>
      </c>
      <c r="R32" s="619">
        <f t="shared" si="11"/>
        <v>0</v>
      </c>
      <c r="S32" s="620"/>
      <c r="T32" s="620"/>
      <c r="U32" s="621"/>
      <c r="V32" s="621"/>
    </row>
    <row r="33" spans="1:22" ht="15" customHeight="1">
      <c r="A33" s="636" t="s">
        <v>276</v>
      </c>
      <c r="B33" s="624">
        <v>225</v>
      </c>
      <c r="C33" s="625"/>
      <c r="D33" s="625"/>
      <c r="E33" s="626">
        <f>'[1]1 полуг'!G34</f>
        <v>0</v>
      </c>
      <c r="F33" s="626">
        <f>'[1]1 полуг'!H34</f>
        <v>0</v>
      </c>
      <c r="G33" s="626">
        <f>'[1]1 полуг'!H34</f>
        <v>0</v>
      </c>
      <c r="H33" s="626"/>
      <c r="I33" s="626">
        <f>'[1]1 полуг'!K34</f>
        <v>0</v>
      </c>
      <c r="J33" s="626"/>
      <c r="K33" s="626"/>
      <c r="L33" s="626">
        <f>'[1]1 полуг'!N34</f>
        <v>0</v>
      </c>
      <c r="M33" s="619">
        <f t="shared" si="6"/>
        <v>0</v>
      </c>
      <c r="N33" s="626">
        <f>'[1]1 полуг'!P34</f>
        <v>0</v>
      </c>
      <c r="O33" s="626"/>
      <c r="P33" s="626">
        <f>'[1]1 полуг'!R34</f>
        <v>0</v>
      </c>
      <c r="Q33" s="626">
        <f>'[1]1 полуг'!S34</f>
        <v>0</v>
      </c>
      <c r="R33" s="619">
        <f t="shared" si="11"/>
        <v>0</v>
      </c>
      <c r="S33" s="620"/>
      <c r="T33" s="620"/>
      <c r="U33" s="621"/>
      <c r="V33" s="621"/>
    </row>
    <row r="34" spans="1:22" ht="15" customHeight="1">
      <c r="A34" s="636" t="s">
        <v>725</v>
      </c>
      <c r="B34" s="624">
        <v>225</v>
      </c>
      <c r="C34" s="625"/>
      <c r="D34" s="625"/>
      <c r="E34" s="626">
        <f>'[1]3кв'!H27+'[1]1 полуг'!G25</f>
        <v>0</v>
      </c>
      <c r="F34" s="626">
        <f>'[1]3кв'!I27+'[1]1 полуг'!H25</f>
        <v>0</v>
      </c>
      <c r="G34" s="626">
        <f>'[1]3кв'!I27+'[1]1 полуг'!H25</f>
        <v>0</v>
      </c>
      <c r="H34" s="626"/>
      <c r="I34" s="626">
        <f>'[1]3кв'!M27+'[1]1 полуг'!K25</f>
        <v>0</v>
      </c>
      <c r="J34" s="626"/>
      <c r="K34" s="626"/>
      <c r="L34" s="626">
        <f>'[1]3кв'!P27+'[1]1 полуг'!N25</f>
        <v>0</v>
      </c>
      <c r="M34" s="619">
        <f t="shared" si="6"/>
        <v>0</v>
      </c>
      <c r="N34" s="626">
        <f>'[1]3кв'!R27+'[1]1 полуг'!P25</f>
        <v>0</v>
      </c>
      <c r="O34" s="626"/>
      <c r="P34" s="626">
        <f>'[1]3кв'!S27+'[1]1 полуг'!R25</f>
        <v>0</v>
      </c>
      <c r="Q34" s="626">
        <f>'[1]3кв'!T27+'[1]1 полуг'!S25</f>
        <v>0</v>
      </c>
      <c r="R34" s="619">
        <f t="shared" si="11"/>
        <v>0</v>
      </c>
      <c r="S34" s="620"/>
      <c r="T34" s="620"/>
      <c r="U34" s="621"/>
      <c r="V34" s="621"/>
    </row>
    <row r="35" spans="1:22" ht="14.25" customHeight="1">
      <c r="A35" s="636" t="s">
        <v>392</v>
      </c>
      <c r="B35" s="624">
        <v>225</v>
      </c>
      <c r="C35" s="625"/>
      <c r="D35" s="625"/>
      <c r="E35" s="626">
        <f>'[1]1 полуг'!G33</f>
        <v>0</v>
      </c>
      <c r="F35" s="626"/>
      <c r="G35" s="626"/>
      <c r="H35" s="626"/>
      <c r="I35" s="626">
        <f>'[1]1 полуг'!K33</f>
        <v>0</v>
      </c>
      <c r="J35" s="626"/>
      <c r="K35" s="626">
        <f>'[1]1 полуг'!M33</f>
        <v>0</v>
      </c>
      <c r="L35" s="626">
        <f>'[1]3кв'!P28+'[1]1 полуг'!N33</f>
        <v>0</v>
      </c>
      <c r="M35" s="619">
        <f t="shared" si="6"/>
        <v>0</v>
      </c>
      <c r="N35" s="626"/>
      <c r="O35" s="626"/>
      <c r="P35" s="626"/>
      <c r="Q35" s="626"/>
      <c r="R35" s="619">
        <f t="shared" si="11"/>
        <v>0</v>
      </c>
      <c r="S35" s="620"/>
      <c r="T35" s="620"/>
      <c r="U35" s="621"/>
      <c r="V35" s="621"/>
    </row>
    <row r="36" spans="1:22" ht="15" customHeight="1">
      <c r="A36" s="638" t="s">
        <v>726</v>
      </c>
      <c r="B36" s="624">
        <v>225</v>
      </c>
      <c r="C36" s="625"/>
      <c r="D36" s="625">
        <f>'[1]3кв'!G25</f>
        <v>0</v>
      </c>
      <c r="E36" s="626">
        <f>'[1]3кв'!H25</f>
        <v>0</v>
      </c>
      <c r="F36" s="626">
        <f>'[1]3кв'!I25</f>
        <v>0</v>
      </c>
      <c r="G36" s="626">
        <f>'[1]3кв'!I25</f>
        <v>0</v>
      </c>
      <c r="H36" s="626"/>
      <c r="I36" s="626">
        <f>'[1]3кв'!M25</f>
        <v>0</v>
      </c>
      <c r="J36" s="626"/>
      <c r="K36" s="626"/>
      <c r="L36" s="626">
        <f>'[1]3кв'!P25</f>
        <v>0</v>
      </c>
      <c r="M36" s="619">
        <f t="shared" si="6"/>
        <v>0</v>
      </c>
      <c r="N36" s="626">
        <f>'[1]3кв'!R25</f>
        <v>0</v>
      </c>
      <c r="O36" s="626"/>
      <c r="P36" s="626">
        <f>'[1]3кв'!S25</f>
        <v>0</v>
      </c>
      <c r="Q36" s="626">
        <f>'[1]3кв'!T25</f>
        <v>0</v>
      </c>
      <c r="R36" s="619">
        <f t="shared" si="11"/>
        <v>0</v>
      </c>
      <c r="S36" s="620"/>
      <c r="T36" s="620"/>
      <c r="U36" s="621"/>
      <c r="V36" s="621"/>
    </row>
    <row r="37" spans="1:22" ht="15" customHeight="1">
      <c r="A37" s="638" t="s">
        <v>229</v>
      </c>
      <c r="B37" s="624">
        <v>225</v>
      </c>
      <c r="C37" s="625"/>
      <c r="D37" s="625">
        <f>'[1]3кв'!F29+'[1]1 полуг'!F35</f>
        <v>0</v>
      </c>
      <c r="E37" s="626">
        <f>'[1]3кв'!H29+'[1]1 полуг'!G35</f>
        <v>0</v>
      </c>
      <c r="F37" s="626">
        <v>0</v>
      </c>
      <c r="G37" s="626">
        <f>'[1]3кв'!I29+'[1]1 полуг'!H35</f>
        <v>0</v>
      </c>
      <c r="H37" s="626">
        <v>1.8</v>
      </c>
      <c r="I37" s="626">
        <f>'[1]3кв'!M29+'[1]1 полуг'!K35</f>
        <v>0</v>
      </c>
      <c r="J37" s="626">
        <v>2.0499999999999998</v>
      </c>
      <c r="K37" s="626">
        <f>'[1]1 полуг'!M35</f>
        <v>0</v>
      </c>
      <c r="L37" s="626"/>
      <c r="M37" s="619">
        <f t="shared" si="6"/>
        <v>2.0499999999999998</v>
      </c>
      <c r="N37" s="626">
        <f>'[1]3кв'!R29+'[1]1 полуг'!P35</f>
        <v>0</v>
      </c>
      <c r="O37" s="626"/>
      <c r="P37" s="626">
        <f>'[1]3кв'!S29+'[1]1 полуг'!R35</f>
        <v>0</v>
      </c>
      <c r="Q37" s="626"/>
      <c r="R37" s="619">
        <f t="shared" si="11"/>
        <v>3.8499999999999996</v>
      </c>
      <c r="S37" s="620"/>
      <c r="T37" s="620"/>
      <c r="U37" s="621"/>
      <c r="V37" s="621"/>
    </row>
    <row r="38" spans="1:22" ht="15" customHeight="1">
      <c r="A38" s="638" t="s">
        <v>933</v>
      </c>
      <c r="B38" s="624">
        <v>225</v>
      </c>
      <c r="C38" s="625"/>
      <c r="D38" s="625"/>
      <c r="E38" s="626"/>
      <c r="F38" s="626"/>
      <c r="G38" s="626"/>
      <c r="H38" s="626"/>
      <c r="I38" s="626"/>
      <c r="J38" s="626"/>
      <c r="K38" s="626"/>
      <c r="L38" s="626"/>
      <c r="M38" s="619">
        <f t="shared" si="6"/>
        <v>0</v>
      </c>
      <c r="N38" s="626"/>
      <c r="O38" s="626"/>
      <c r="P38" s="626"/>
      <c r="Q38" s="626"/>
      <c r="R38" s="619">
        <f t="shared" si="11"/>
        <v>0</v>
      </c>
      <c r="S38" s="620"/>
      <c r="T38" s="620"/>
      <c r="U38" s="621"/>
      <c r="V38" s="621"/>
    </row>
    <row r="39" spans="1:22" s="630" customFormat="1" ht="15" customHeight="1">
      <c r="A39" s="690" t="s">
        <v>934</v>
      </c>
      <c r="B39" s="617">
        <v>226</v>
      </c>
      <c r="C39" s="619">
        <f t="shared" ref="C39:Q39" si="14">SUM(C40:C80)</f>
        <v>554.255</v>
      </c>
      <c r="D39" s="619">
        <f t="shared" si="14"/>
        <v>33.92</v>
      </c>
      <c r="E39" s="619">
        <f t="shared" si="14"/>
        <v>36.552</v>
      </c>
      <c r="F39" s="619">
        <f t="shared" si="14"/>
        <v>0</v>
      </c>
      <c r="G39" s="619">
        <f t="shared" si="14"/>
        <v>0</v>
      </c>
      <c r="H39" s="619">
        <f t="shared" si="14"/>
        <v>8.2200000000000006</v>
      </c>
      <c r="I39" s="619">
        <f t="shared" si="14"/>
        <v>26.327999999999999</v>
      </c>
      <c r="J39" s="619">
        <f t="shared" si="14"/>
        <v>181.29219000000001</v>
      </c>
      <c r="K39" s="619">
        <f t="shared" si="14"/>
        <v>0</v>
      </c>
      <c r="L39" s="619">
        <f t="shared" si="14"/>
        <v>4.5570000000000004</v>
      </c>
      <c r="M39" s="619">
        <f>SUM(M40:M80)</f>
        <v>185.84919000000002</v>
      </c>
      <c r="N39" s="619">
        <f t="shared" si="14"/>
        <v>172.886</v>
      </c>
      <c r="O39" s="619">
        <f t="shared" si="14"/>
        <v>0</v>
      </c>
      <c r="P39" s="619">
        <f t="shared" si="14"/>
        <v>0</v>
      </c>
      <c r="Q39" s="619">
        <f t="shared" si="14"/>
        <v>54.167769999999997</v>
      </c>
      <c r="R39" s="619">
        <f t="shared" si="11"/>
        <v>1072.17796</v>
      </c>
      <c r="S39" s="629"/>
      <c r="T39" s="628"/>
      <c r="U39" s="629"/>
      <c r="V39" s="629"/>
    </row>
    <row r="40" spans="1:22" ht="15" customHeight="1">
      <c r="A40" s="633" t="s">
        <v>727</v>
      </c>
      <c r="B40" s="624">
        <v>226</v>
      </c>
      <c r="C40" s="625"/>
      <c r="D40" s="625"/>
      <c r="E40" s="626"/>
      <c r="F40" s="626">
        <f>'[1]3кв'!I31+'[1]1 полуг'!H37</f>
        <v>0</v>
      </c>
      <c r="G40" s="626">
        <f>'[1]3кв'!I31+'[1]1 полуг'!H37</f>
        <v>0</v>
      </c>
      <c r="H40" s="626">
        <f>'[1]3кв'!L31+'[1]1 полуг'!J37</f>
        <v>0</v>
      </c>
      <c r="I40" s="626">
        <f>'[1]3кв'!M31+'[1]1 полуг'!K37</f>
        <v>0</v>
      </c>
      <c r="J40" s="626"/>
      <c r="K40" s="626"/>
      <c r="L40" s="626">
        <f>'[1]3кв'!P31+'[1]1 полуг'!N37</f>
        <v>0</v>
      </c>
      <c r="M40" s="619">
        <f t="shared" si="6"/>
        <v>0</v>
      </c>
      <c r="N40" s="626">
        <f>'[1]3кв'!R31+'[1]1 полуг'!P37</f>
        <v>0</v>
      </c>
      <c r="O40" s="626"/>
      <c r="P40" s="626">
        <f>'[1]3кв'!S31+'[1]1 полуг'!R37</f>
        <v>0</v>
      </c>
      <c r="Q40" s="626">
        <f>'[1]3кв'!T31+'[1]1 полуг'!S37</f>
        <v>0</v>
      </c>
      <c r="R40" s="619">
        <f t="shared" si="11"/>
        <v>0</v>
      </c>
      <c r="T40" s="620"/>
      <c r="U40" s="621"/>
      <c r="V40" s="621"/>
    </row>
    <row r="41" spans="1:22" ht="15" customHeight="1">
      <c r="A41" s="633" t="s">
        <v>935</v>
      </c>
      <c r="B41" s="624">
        <v>226</v>
      </c>
      <c r="C41" s="625"/>
      <c r="D41" s="625"/>
      <c r="E41" s="626"/>
      <c r="F41" s="626"/>
      <c r="G41" s="626"/>
      <c r="H41" s="626"/>
      <c r="I41" s="626"/>
      <c r="J41" s="626"/>
      <c r="K41" s="626"/>
      <c r="L41" s="626"/>
      <c r="M41" s="619">
        <f t="shared" si="6"/>
        <v>0</v>
      </c>
      <c r="N41" s="626"/>
      <c r="O41" s="626"/>
      <c r="P41" s="626"/>
      <c r="Q41" s="626"/>
      <c r="R41" s="619">
        <f t="shared" si="11"/>
        <v>0</v>
      </c>
      <c r="T41" s="620"/>
      <c r="U41" s="621"/>
      <c r="V41" s="621"/>
    </row>
    <row r="42" spans="1:22" ht="15" customHeight="1">
      <c r="A42" s="633" t="s">
        <v>936</v>
      </c>
      <c r="B42" s="624">
        <v>226</v>
      </c>
      <c r="C42" s="625"/>
      <c r="D42" s="625"/>
      <c r="E42" s="626"/>
      <c r="F42" s="626"/>
      <c r="G42" s="626"/>
      <c r="H42" s="626"/>
      <c r="I42" s="626"/>
      <c r="J42" s="626"/>
      <c r="K42" s="626"/>
      <c r="L42" s="626"/>
      <c r="M42" s="619">
        <f t="shared" si="6"/>
        <v>0</v>
      </c>
      <c r="N42" s="626"/>
      <c r="O42" s="626"/>
      <c r="P42" s="626"/>
      <c r="Q42" s="626"/>
      <c r="R42" s="619">
        <f t="shared" si="11"/>
        <v>0</v>
      </c>
      <c r="T42" s="620"/>
      <c r="U42" s="621"/>
      <c r="V42" s="621"/>
    </row>
    <row r="43" spans="1:22">
      <c r="A43" s="633" t="s">
        <v>728</v>
      </c>
      <c r="B43" s="624">
        <v>226</v>
      </c>
      <c r="C43" s="625"/>
      <c r="D43" s="625"/>
      <c r="E43" s="626"/>
      <c r="F43" s="626">
        <f>'[1]1 полуг'!H38</f>
        <v>0</v>
      </c>
      <c r="G43" s="626">
        <f>'[1]1 полуг'!H38</f>
        <v>0</v>
      </c>
      <c r="H43" s="626"/>
      <c r="I43" s="626">
        <v>26.327999999999999</v>
      </c>
      <c r="J43" s="626"/>
      <c r="K43" s="626"/>
      <c r="L43" s="626">
        <f>'[1]3кв'!P32+'[1]1 полуг'!N38</f>
        <v>0</v>
      </c>
      <c r="M43" s="619">
        <f t="shared" si="6"/>
        <v>0</v>
      </c>
      <c r="N43" s="626"/>
      <c r="O43" s="626"/>
      <c r="P43" s="626">
        <f>'[1]1 полуг'!R38</f>
        <v>0</v>
      </c>
      <c r="Q43" s="626">
        <v>34.570999999999998</v>
      </c>
      <c r="R43" s="619">
        <f t="shared" si="11"/>
        <v>60.899000000000001</v>
      </c>
      <c r="T43" s="620"/>
      <c r="U43" s="621"/>
      <c r="V43" s="621"/>
    </row>
    <row r="44" spans="1:22" ht="12.75" customHeight="1">
      <c r="A44" s="633" t="s">
        <v>729</v>
      </c>
      <c r="B44" s="624">
        <v>226</v>
      </c>
      <c r="C44" s="625"/>
      <c r="D44" s="625"/>
      <c r="E44" s="626"/>
      <c r="F44" s="626"/>
      <c r="G44" s="626"/>
      <c r="H44" s="626"/>
      <c r="I44" s="626"/>
      <c r="J44" s="626">
        <f>'[1]1 полуг'!L39</f>
        <v>0</v>
      </c>
      <c r="K44" s="626">
        <f>'[1]1 полуг'!M41+'[1]3кв'!O35</f>
        <v>0</v>
      </c>
      <c r="L44" s="626">
        <f>'[1]1 полуг'!N39</f>
        <v>0</v>
      </c>
      <c r="M44" s="619">
        <f t="shared" si="6"/>
        <v>0</v>
      </c>
      <c r="N44" s="626">
        <f>'[1]1 полуг'!P39</f>
        <v>0</v>
      </c>
      <c r="O44" s="626">
        <f>'[1]3кв'!K35</f>
        <v>0</v>
      </c>
      <c r="P44" s="626"/>
      <c r="Q44" s="626"/>
      <c r="R44" s="619">
        <f t="shared" si="11"/>
        <v>0</v>
      </c>
      <c r="T44" s="620"/>
      <c r="U44" s="621"/>
      <c r="V44" s="621"/>
    </row>
    <row r="45" spans="1:22" ht="15" customHeight="1">
      <c r="A45" s="633" t="s">
        <v>730</v>
      </c>
      <c r="B45" s="624">
        <v>226</v>
      </c>
      <c r="C45" s="625">
        <v>2.2080000000000002</v>
      </c>
      <c r="D45" s="625"/>
      <c r="E45" s="626"/>
      <c r="F45" s="626">
        <f>'[1]3кв'!I33+'[1]1 полуг'!H40</f>
        <v>0</v>
      </c>
      <c r="G45" s="626">
        <f>'[1]3кв'!I33+'[1]1 полуг'!H40</f>
        <v>0</v>
      </c>
      <c r="H45" s="626"/>
      <c r="I45" s="626">
        <f>'[1]3кв'!M33+'[1]1 полуг'!K40</f>
        <v>0</v>
      </c>
      <c r="J45" s="626"/>
      <c r="K45" s="626"/>
      <c r="L45" s="626">
        <f>'[1]3кв'!P33+'[1]1 полуг'!N40</f>
        <v>0</v>
      </c>
      <c r="M45" s="619">
        <f t="shared" si="6"/>
        <v>0</v>
      </c>
      <c r="N45" s="626">
        <f>'[1]3кв'!R33+'[1]1 полуг'!P40</f>
        <v>0</v>
      </c>
      <c r="O45" s="626"/>
      <c r="P45" s="626">
        <f>'[1]3кв'!S33+'[1]1 полуг'!R40</f>
        <v>0</v>
      </c>
      <c r="Q45" s="626">
        <f>'[1]3кв'!T33+'[1]1 полуг'!S40</f>
        <v>0</v>
      </c>
      <c r="R45" s="619">
        <f t="shared" si="11"/>
        <v>2.2080000000000002</v>
      </c>
      <c r="T45" s="620"/>
      <c r="U45" s="621"/>
      <c r="V45" s="621"/>
    </row>
    <row r="46" spans="1:22" ht="15.75" customHeight="1">
      <c r="A46" s="633" t="s">
        <v>169</v>
      </c>
      <c r="B46" s="624">
        <v>226</v>
      </c>
      <c r="C46" s="625"/>
      <c r="D46" s="625"/>
      <c r="E46" s="626"/>
      <c r="F46" s="626">
        <f>'[1]3кв'!I34+'[1]1 полуг'!H41</f>
        <v>0</v>
      </c>
      <c r="G46" s="626">
        <f>'[1]3кв'!I34+'[1]1 полуг'!H41</f>
        <v>0</v>
      </c>
      <c r="H46" s="626"/>
      <c r="I46" s="626">
        <f>'[1]3кв'!M34+'[1]1 полуг'!K41</f>
        <v>0</v>
      </c>
      <c r="J46" s="626">
        <f>'[1]3кв'!N34+'[1]1 полуг'!L41</f>
        <v>0</v>
      </c>
      <c r="K46" s="626"/>
      <c r="L46" s="626">
        <f>'[1]3кв'!P34+'[1]1 полуг'!N41</f>
        <v>0</v>
      </c>
      <c r="M46" s="619">
        <f t="shared" si="6"/>
        <v>0</v>
      </c>
      <c r="N46" s="626">
        <f>'[1]3кв'!R34+'[1]1 полуг'!P41</f>
        <v>0</v>
      </c>
      <c r="O46" s="626"/>
      <c r="P46" s="626">
        <f>'[1]3кв'!S34+'[1]1 полуг'!R41</f>
        <v>0</v>
      </c>
      <c r="Q46" s="626">
        <f>'[1]3кв'!T34+'[1]1 полуг'!S41</f>
        <v>0</v>
      </c>
      <c r="R46" s="619">
        <f t="shared" si="11"/>
        <v>0</v>
      </c>
      <c r="T46" s="620"/>
      <c r="U46" s="621"/>
      <c r="V46" s="621"/>
    </row>
    <row r="47" spans="1:22" ht="12.75" customHeight="1">
      <c r="A47" s="633" t="s">
        <v>728</v>
      </c>
      <c r="B47" s="624">
        <v>226</v>
      </c>
      <c r="C47" s="625"/>
      <c r="D47" s="625"/>
      <c r="E47" s="626"/>
      <c r="F47" s="626">
        <f>'[1]3кв'!I35</f>
        <v>0</v>
      </c>
      <c r="G47" s="626">
        <f>'[1]3кв'!I35</f>
        <v>0</v>
      </c>
      <c r="H47" s="626"/>
      <c r="I47" s="626">
        <v>0</v>
      </c>
      <c r="J47" s="626"/>
      <c r="K47" s="626"/>
      <c r="L47" s="626"/>
      <c r="M47" s="619">
        <f t="shared" si="6"/>
        <v>0</v>
      </c>
      <c r="N47" s="626">
        <f>'[1]3кв'!R35</f>
        <v>0</v>
      </c>
      <c r="O47" s="626"/>
      <c r="P47" s="626">
        <f>'[1]3кв'!S35</f>
        <v>0</v>
      </c>
      <c r="Q47" s="626">
        <f>'[1]3кв'!T35</f>
        <v>0</v>
      </c>
      <c r="R47" s="619">
        <f t="shared" si="11"/>
        <v>0</v>
      </c>
      <c r="T47" s="620"/>
      <c r="U47" s="621"/>
      <c r="V47" s="621"/>
    </row>
    <row r="48" spans="1:22">
      <c r="A48" s="633" t="s">
        <v>731</v>
      </c>
      <c r="B48" s="624">
        <v>226</v>
      </c>
      <c r="C48" s="625"/>
      <c r="D48" s="625"/>
      <c r="E48" s="626"/>
      <c r="F48" s="626">
        <f>'[1]1 полуг'!H44+'[1]3кв'!I38</f>
        <v>0</v>
      </c>
      <c r="G48" s="626">
        <f>'[1]1 полуг'!H44+'[1]3кв'!I38</f>
        <v>0</v>
      </c>
      <c r="H48" s="626"/>
      <c r="I48" s="626">
        <f>'[1]1 полуг'!K44+'[1]3кв'!M38</f>
        <v>0</v>
      </c>
      <c r="J48" s="626"/>
      <c r="K48" s="626"/>
      <c r="L48" s="626">
        <f>'[1]1 полуг'!N44+'[1]3кв'!P38</f>
        <v>0</v>
      </c>
      <c r="M48" s="619">
        <f t="shared" si="6"/>
        <v>0</v>
      </c>
      <c r="N48" s="626">
        <f>'[1]1 полуг'!P44+'[1]3кв'!R38</f>
        <v>0</v>
      </c>
      <c r="O48" s="626"/>
      <c r="P48" s="626">
        <f>'[1]1 полуг'!R44+'[1]3кв'!S38</f>
        <v>0</v>
      </c>
      <c r="Q48" s="626">
        <f>'[1]1 полуг'!S44+'[1]3кв'!T38</f>
        <v>0</v>
      </c>
      <c r="R48" s="619">
        <f t="shared" si="11"/>
        <v>0</v>
      </c>
      <c r="T48" s="620"/>
      <c r="U48" s="621"/>
      <c r="V48" s="621"/>
    </row>
    <row r="49" spans="1:22" ht="12.75" customHeight="1">
      <c r="A49" s="633" t="s">
        <v>824</v>
      </c>
      <c r="B49" s="624">
        <v>226</v>
      </c>
      <c r="C49" s="625">
        <v>22.247</v>
      </c>
      <c r="D49" s="625"/>
      <c r="E49" s="626"/>
      <c r="F49" s="626">
        <f>'[1]1 полуг'!H48</f>
        <v>0</v>
      </c>
      <c r="G49" s="626">
        <f>'[1]1 полуг'!H48</f>
        <v>0</v>
      </c>
      <c r="H49" s="626"/>
      <c r="I49" s="626">
        <f>'[1]1 полуг'!K48</f>
        <v>0</v>
      </c>
      <c r="J49" s="626">
        <v>51.011000000000003</v>
      </c>
      <c r="K49" s="626"/>
      <c r="L49" s="626">
        <v>4.5570000000000004</v>
      </c>
      <c r="M49" s="619">
        <f t="shared" si="6"/>
        <v>55.568000000000005</v>
      </c>
      <c r="N49" s="626">
        <v>0</v>
      </c>
      <c r="O49" s="626"/>
      <c r="P49" s="626">
        <f>'[1]1 полуг'!R48+'[1]3кв'!S36</f>
        <v>0</v>
      </c>
      <c r="Q49" s="626">
        <v>19.596769999999999</v>
      </c>
      <c r="R49" s="619">
        <f t="shared" si="11"/>
        <v>97.41176999999999</v>
      </c>
      <c r="T49" s="620"/>
      <c r="U49" s="621"/>
      <c r="V49" s="621"/>
    </row>
    <row r="50" spans="1:22" ht="12" customHeight="1">
      <c r="A50" s="633" t="s">
        <v>732</v>
      </c>
      <c r="B50" s="624">
        <v>226</v>
      </c>
      <c r="C50" s="625"/>
      <c r="D50" s="625"/>
      <c r="E50" s="626"/>
      <c r="F50" s="626">
        <f>'[1]1 полуг'!H63</f>
        <v>0</v>
      </c>
      <c r="G50" s="626">
        <f>'[1]1 полуг'!H63</f>
        <v>0</v>
      </c>
      <c r="H50" s="626"/>
      <c r="I50" s="626">
        <f>'[1]1 полуг'!K63</f>
        <v>0</v>
      </c>
      <c r="J50" s="626"/>
      <c r="K50" s="626"/>
      <c r="L50" s="626">
        <f>'[1]1 полуг'!N63</f>
        <v>0</v>
      </c>
      <c r="M50" s="619">
        <f t="shared" si="6"/>
        <v>0</v>
      </c>
      <c r="N50" s="626">
        <f>'[1]1 полуг'!P63</f>
        <v>0</v>
      </c>
      <c r="O50" s="626"/>
      <c r="P50" s="626">
        <f>'[1]1 полуг'!R63</f>
        <v>0</v>
      </c>
      <c r="Q50" s="626"/>
      <c r="R50" s="619">
        <f t="shared" si="11"/>
        <v>0</v>
      </c>
      <c r="T50" s="620"/>
      <c r="U50" s="621"/>
      <c r="V50" s="621"/>
    </row>
    <row r="51" spans="1:22" ht="15" customHeight="1">
      <c r="A51" s="633" t="s">
        <v>677</v>
      </c>
      <c r="B51" s="624">
        <v>226</v>
      </c>
      <c r="C51" s="625"/>
      <c r="D51" s="625"/>
      <c r="E51" s="626"/>
      <c r="F51" s="626">
        <f>'[1]3кв'!I42</f>
        <v>0</v>
      </c>
      <c r="G51" s="626">
        <f>'[1]3кв'!I42</f>
        <v>0</v>
      </c>
      <c r="H51" s="626"/>
      <c r="I51" s="626">
        <f>'[1]3кв'!M42</f>
        <v>0</v>
      </c>
      <c r="J51" s="626"/>
      <c r="K51" s="626"/>
      <c r="L51" s="626">
        <f>'[1]3кв'!P42</f>
        <v>0</v>
      </c>
      <c r="M51" s="619">
        <f t="shared" si="6"/>
        <v>0</v>
      </c>
      <c r="N51" s="625">
        <f>'[1]3кв'!R42</f>
        <v>0</v>
      </c>
      <c r="O51" s="626"/>
      <c r="P51" s="626">
        <f>'[1]3кв'!S42</f>
        <v>0</v>
      </c>
      <c r="Q51" s="626"/>
      <c r="R51" s="619">
        <f t="shared" si="11"/>
        <v>0</v>
      </c>
      <c r="T51" s="620"/>
      <c r="U51" s="621"/>
      <c r="V51" s="621"/>
    </row>
    <row r="52" spans="1:22">
      <c r="A52" s="639" t="s">
        <v>733</v>
      </c>
      <c r="B52" s="624">
        <v>226</v>
      </c>
      <c r="C52" s="625"/>
      <c r="D52" s="625"/>
      <c r="E52" s="626"/>
      <c r="F52" s="626">
        <f>'[1]1 полуг'!H42</f>
        <v>0</v>
      </c>
      <c r="G52" s="626">
        <f>'[1]1 полуг'!H42</f>
        <v>0</v>
      </c>
      <c r="H52" s="626"/>
      <c r="I52" s="626">
        <f>'[1]1 полуг'!K42</f>
        <v>0</v>
      </c>
      <c r="J52" s="626"/>
      <c r="K52" s="626"/>
      <c r="L52" s="626">
        <f>'[1]1 полуг'!N42</f>
        <v>0</v>
      </c>
      <c r="M52" s="619">
        <f t="shared" si="6"/>
        <v>0</v>
      </c>
      <c r="N52" s="625">
        <f>'[1]1 полуг'!P42</f>
        <v>0</v>
      </c>
      <c r="O52" s="626"/>
      <c r="P52" s="626">
        <f>'[1]1 полуг'!R42</f>
        <v>0</v>
      </c>
      <c r="Q52" s="626"/>
      <c r="R52" s="619">
        <f t="shared" si="11"/>
        <v>0</v>
      </c>
      <c r="T52" s="620"/>
      <c r="U52" s="621"/>
      <c r="V52" s="621"/>
    </row>
    <row r="53" spans="1:22" ht="15" customHeight="1">
      <c r="A53" s="633" t="s">
        <v>781</v>
      </c>
      <c r="B53" s="624">
        <v>226</v>
      </c>
      <c r="C53" s="625"/>
      <c r="D53" s="625"/>
      <c r="E53" s="626"/>
      <c r="F53" s="626"/>
      <c r="G53" s="626"/>
      <c r="H53" s="626"/>
      <c r="I53" s="626"/>
      <c r="J53" s="626"/>
      <c r="K53" s="626"/>
      <c r="L53" s="626"/>
      <c r="M53" s="619">
        <f t="shared" si="6"/>
        <v>0</v>
      </c>
      <c r="N53" s="625"/>
      <c r="O53" s="626"/>
      <c r="P53" s="626"/>
      <c r="Q53" s="626"/>
      <c r="R53" s="619">
        <f t="shared" si="11"/>
        <v>0</v>
      </c>
      <c r="T53" s="620"/>
      <c r="U53" s="621"/>
      <c r="V53" s="621"/>
    </row>
    <row r="54" spans="1:22" ht="15" customHeight="1">
      <c r="A54" s="633" t="s">
        <v>734</v>
      </c>
      <c r="B54" s="624">
        <v>226</v>
      </c>
      <c r="C54" s="625"/>
      <c r="D54" s="625"/>
      <c r="E54" s="626"/>
      <c r="F54" s="626">
        <f>'[1]3кв'!I45</f>
        <v>0</v>
      </c>
      <c r="G54" s="626">
        <f>'[1]3кв'!I45</f>
        <v>0</v>
      </c>
      <c r="H54" s="626"/>
      <c r="I54" s="626">
        <f>'[1]3кв'!M45</f>
        <v>0</v>
      </c>
      <c r="J54" s="626"/>
      <c r="K54" s="626"/>
      <c r="L54" s="626">
        <f>'[1]3кв'!P45</f>
        <v>0</v>
      </c>
      <c r="M54" s="619">
        <f t="shared" si="6"/>
        <v>0</v>
      </c>
      <c r="N54" s="625"/>
      <c r="O54" s="626"/>
      <c r="P54" s="626">
        <f>'[1]3кв'!S45</f>
        <v>0</v>
      </c>
      <c r="Q54" s="626"/>
      <c r="R54" s="619">
        <f t="shared" si="11"/>
        <v>0</v>
      </c>
      <c r="T54" s="620"/>
      <c r="U54" s="621"/>
      <c r="V54" s="621"/>
    </row>
    <row r="55" spans="1:22" ht="12.75" customHeight="1">
      <c r="A55" s="633" t="s">
        <v>393</v>
      </c>
      <c r="B55" s="624">
        <v>226</v>
      </c>
      <c r="C55" s="625"/>
      <c r="D55" s="625"/>
      <c r="E55" s="626"/>
      <c r="F55" s="626">
        <f>'[1]1 полуг'!H65</f>
        <v>0</v>
      </c>
      <c r="G55" s="626">
        <f>'[1]1 полуг'!H65</f>
        <v>0</v>
      </c>
      <c r="H55" s="626"/>
      <c r="I55" s="626">
        <f>'[1]1 полуг'!K65</f>
        <v>0</v>
      </c>
      <c r="J55" s="626"/>
      <c r="K55" s="626"/>
      <c r="L55" s="626">
        <f>'[1]1 полуг'!N65</f>
        <v>0</v>
      </c>
      <c r="M55" s="619">
        <f t="shared" si="6"/>
        <v>0</v>
      </c>
      <c r="N55" s="625"/>
      <c r="O55" s="626"/>
      <c r="P55" s="626">
        <f>'[1]1 полуг'!R65</f>
        <v>0</v>
      </c>
      <c r="Q55" s="626"/>
      <c r="R55" s="619">
        <f t="shared" si="11"/>
        <v>0</v>
      </c>
      <c r="T55" s="620"/>
      <c r="U55" s="621"/>
      <c r="V55" s="621"/>
    </row>
    <row r="56" spans="1:22" ht="12" customHeight="1">
      <c r="A56" s="633" t="s">
        <v>173</v>
      </c>
      <c r="B56" s="624">
        <v>226</v>
      </c>
      <c r="C56" s="625"/>
      <c r="D56" s="625"/>
      <c r="E56" s="626"/>
      <c r="F56" s="626">
        <f>'[1]1 полуг'!H49+'[1]3кв'!I62</f>
        <v>0</v>
      </c>
      <c r="G56" s="626">
        <f>'[1]1 полуг'!H49+'[1]3кв'!I62</f>
        <v>0</v>
      </c>
      <c r="H56" s="626"/>
      <c r="I56" s="626">
        <f>'[1]1 полуг'!K49+'[1]3кв'!M62</f>
        <v>0</v>
      </c>
      <c r="J56" s="626"/>
      <c r="K56" s="626"/>
      <c r="L56" s="626">
        <f>'[1]1 полуг'!N49+'[1]3кв'!P62</f>
        <v>0</v>
      </c>
      <c r="M56" s="619">
        <f t="shared" si="6"/>
        <v>0</v>
      </c>
      <c r="N56" s="625"/>
      <c r="O56" s="626"/>
      <c r="P56" s="626">
        <f>'[1]1 полуг'!R49+'[1]3кв'!S62</f>
        <v>0</v>
      </c>
      <c r="Q56" s="626"/>
      <c r="R56" s="619">
        <f t="shared" si="11"/>
        <v>0</v>
      </c>
      <c r="T56" s="620"/>
      <c r="U56" s="621"/>
      <c r="V56" s="621"/>
    </row>
    <row r="57" spans="1:22" ht="12.75" customHeight="1">
      <c r="A57" s="633" t="str">
        <f>'[1]1 кв'!A67</f>
        <v xml:space="preserve"> - аттестация рабочих мест</v>
      </c>
      <c r="B57" s="640">
        <v>226</v>
      </c>
      <c r="C57" s="625"/>
      <c r="D57" s="625"/>
      <c r="E57" s="626"/>
      <c r="F57" s="626">
        <f>'[1]1 полуг'!H50</f>
        <v>0</v>
      </c>
      <c r="G57" s="626">
        <f>'[1]1 полуг'!H50</f>
        <v>0</v>
      </c>
      <c r="H57" s="626"/>
      <c r="I57" s="626">
        <f>'[1]1 полуг'!K50</f>
        <v>0</v>
      </c>
      <c r="J57" s="626"/>
      <c r="K57" s="626"/>
      <c r="L57" s="626">
        <f>'[1]1 полуг'!N50</f>
        <v>0</v>
      </c>
      <c r="M57" s="619">
        <f t="shared" si="6"/>
        <v>0</v>
      </c>
      <c r="N57" s="625"/>
      <c r="O57" s="626"/>
      <c r="P57" s="626">
        <f>'[1]1 полуг'!R50</f>
        <v>0</v>
      </c>
      <c r="Q57" s="626"/>
      <c r="R57" s="619">
        <f t="shared" si="11"/>
        <v>0</v>
      </c>
      <c r="T57" s="620"/>
      <c r="U57" s="621"/>
      <c r="V57" s="621"/>
    </row>
    <row r="58" spans="1:22" ht="15" customHeight="1">
      <c r="A58" s="633" t="s">
        <v>961</v>
      </c>
      <c r="B58" s="640">
        <v>226</v>
      </c>
      <c r="C58" s="626"/>
      <c r="D58" s="626"/>
      <c r="E58" s="626"/>
      <c r="F58" s="626">
        <f>'[1]1 полуг'!H62</f>
        <v>0</v>
      </c>
      <c r="G58" s="626">
        <f>'[1]1 полуг'!H62</f>
        <v>0</v>
      </c>
      <c r="H58" s="626"/>
      <c r="I58" s="626">
        <f>'[1]1 полуг'!K62</f>
        <v>0</v>
      </c>
      <c r="J58" s="626"/>
      <c r="K58" s="626"/>
      <c r="L58" s="626">
        <f>'[1]1 полуг'!N62</f>
        <v>0</v>
      </c>
      <c r="M58" s="619">
        <f t="shared" si="6"/>
        <v>0</v>
      </c>
      <c r="N58" s="625"/>
      <c r="O58" s="626"/>
      <c r="P58" s="626">
        <f>'[1]1 полуг'!R62</f>
        <v>0</v>
      </c>
      <c r="Q58" s="626"/>
      <c r="R58" s="619">
        <f t="shared" si="11"/>
        <v>0</v>
      </c>
      <c r="T58" s="620"/>
      <c r="U58" s="621"/>
      <c r="V58" s="621"/>
    </row>
    <row r="59" spans="1:22" ht="15" customHeight="1">
      <c r="A59" s="633" t="s">
        <v>123</v>
      </c>
      <c r="B59" s="640">
        <v>226</v>
      </c>
      <c r="C59" s="625">
        <v>18.8</v>
      </c>
      <c r="D59" s="626"/>
      <c r="E59" s="626">
        <v>33.752000000000002</v>
      </c>
      <c r="F59" s="626">
        <v>0</v>
      </c>
      <c r="G59" s="626">
        <f>'[1]3кв'!I54+'[1]1 полуг'!H54</f>
        <v>0</v>
      </c>
      <c r="H59" s="626">
        <v>8.2200000000000006</v>
      </c>
      <c r="I59" s="626">
        <f>'[1]3кв'!M54+'[1]1 полуг'!K54</f>
        <v>0</v>
      </c>
      <c r="J59" s="626">
        <v>58.6</v>
      </c>
      <c r="K59" s="626"/>
      <c r="L59" s="626"/>
      <c r="M59" s="619">
        <f t="shared" si="6"/>
        <v>58.6</v>
      </c>
      <c r="N59" s="625"/>
      <c r="O59" s="626"/>
      <c r="P59" s="626">
        <f>'[1]1 полуг'!Q54</f>
        <v>0</v>
      </c>
      <c r="Q59" s="626"/>
      <c r="R59" s="619">
        <f t="shared" si="11"/>
        <v>119.37200000000001</v>
      </c>
      <c r="T59" s="620"/>
      <c r="U59" s="621"/>
      <c r="V59" s="621"/>
    </row>
    <row r="60" spans="1:22" ht="15" customHeight="1">
      <c r="A60" s="633" t="s">
        <v>281</v>
      </c>
      <c r="B60" s="624">
        <v>226</v>
      </c>
      <c r="C60" s="625"/>
      <c r="D60" s="626"/>
      <c r="E60" s="626"/>
      <c r="F60" s="626">
        <f>'[1]1 полуг'!H55</f>
        <v>0</v>
      </c>
      <c r="G60" s="626">
        <f>'[1]1 полуг'!H55</f>
        <v>0</v>
      </c>
      <c r="H60" s="626"/>
      <c r="I60" s="626">
        <f>'[1]1 полуг'!K55</f>
        <v>0</v>
      </c>
      <c r="J60" s="626"/>
      <c r="K60" s="626"/>
      <c r="L60" s="626">
        <f>'[1]1 полуг'!N55</f>
        <v>0</v>
      </c>
      <c r="M60" s="619">
        <f t="shared" si="6"/>
        <v>0</v>
      </c>
      <c r="N60" s="625"/>
      <c r="O60" s="626"/>
      <c r="P60" s="626">
        <f>'[1]1 полуг'!R55</f>
        <v>0</v>
      </c>
      <c r="Q60" s="626"/>
      <c r="R60" s="619">
        <f t="shared" si="11"/>
        <v>0</v>
      </c>
      <c r="T60" s="620"/>
      <c r="U60" s="621"/>
      <c r="V60" s="621"/>
    </row>
    <row r="61" spans="1:22" ht="15" customHeight="1">
      <c r="A61" s="633" t="s">
        <v>395</v>
      </c>
      <c r="B61" s="624">
        <v>226</v>
      </c>
      <c r="C61" s="625"/>
      <c r="D61" s="626"/>
      <c r="E61" s="626"/>
      <c r="F61" s="626">
        <f>'[1]1 полуг'!H56+'[1]3кв'!I57</f>
        <v>0</v>
      </c>
      <c r="G61" s="626">
        <f>'[1]1 полуг'!H56+'[1]3кв'!I57</f>
        <v>0</v>
      </c>
      <c r="H61" s="626"/>
      <c r="I61" s="626">
        <f>'[1]1 полуг'!K56+'[1]3кв'!M57</f>
        <v>0</v>
      </c>
      <c r="J61" s="626"/>
      <c r="K61" s="626"/>
      <c r="L61" s="626">
        <f>'[1]1 полуг'!N56+'[1]3кв'!P57</f>
        <v>0</v>
      </c>
      <c r="M61" s="619">
        <f t="shared" si="6"/>
        <v>0</v>
      </c>
      <c r="N61" s="625"/>
      <c r="O61" s="626"/>
      <c r="P61" s="626">
        <f>'[1]1 полуг'!R56+'[1]3кв'!S57</f>
        <v>0</v>
      </c>
      <c r="Q61" s="626"/>
      <c r="R61" s="619">
        <f t="shared" si="11"/>
        <v>0</v>
      </c>
      <c r="T61" s="620"/>
      <c r="U61" s="621"/>
      <c r="V61" s="621"/>
    </row>
    <row r="62" spans="1:22" ht="15" customHeight="1">
      <c r="A62" s="633" t="s">
        <v>124</v>
      </c>
      <c r="B62" s="624">
        <v>226</v>
      </c>
      <c r="C62" s="625"/>
      <c r="D62" s="626"/>
      <c r="E62" s="626"/>
      <c r="F62" s="626">
        <f>'[1]3кв'!I59+'[1]1 полуг'!H57</f>
        <v>0</v>
      </c>
      <c r="G62" s="626">
        <f>'[1]3кв'!I59+'[1]1 полуг'!H57</f>
        <v>0</v>
      </c>
      <c r="H62" s="626"/>
      <c r="I62" s="626">
        <f>'[1]3кв'!M59+'[1]1 полуг'!K57</f>
        <v>0</v>
      </c>
      <c r="J62" s="626"/>
      <c r="K62" s="626"/>
      <c r="L62" s="626"/>
      <c r="M62" s="619">
        <f t="shared" si="6"/>
        <v>0</v>
      </c>
      <c r="N62" s="625"/>
      <c r="O62" s="626"/>
      <c r="P62" s="626">
        <f>'[1]3кв'!S59+'[1]1 полуг'!R57</f>
        <v>0</v>
      </c>
      <c r="Q62" s="626"/>
      <c r="R62" s="619">
        <f t="shared" si="11"/>
        <v>0</v>
      </c>
      <c r="T62" s="620"/>
      <c r="U62" s="621"/>
      <c r="V62" s="621"/>
    </row>
    <row r="63" spans="1:22" ht="15" customHeight="1">
      <c r="A63" s="633" t="s">
        <v>735</v>
      </c>
      <c r="B63" s="624">
        <v>226</v>
      </c>
      <c r="C63" s="625"/>
      <c r="D63" s="626"/>
      <c r="E63" s="626"/>
      <c r="F63" s="626">
        <f>'[1]3кв'!I55</f>
        <v>0</v>
      </c>
      <c r="G63" s="626">
        <f>'[1]3кв'!I55</f>
        <v>0</v>
      </c>
      <c r="H63" s="626"/>
      <c r="I63" s="626">
        <f>'[1]3кв'!M55</f>
        <v>0</v>
      </c>
      <c r="J63" s="626"/>
      <c r="K63" s="626"/>
      <c r="L63" s="626">
        <f>'[1]3кв'!P55</f>
        <v>0</v>
      </c>
      <c r="M63" s="619">
        <f t="shared" si="6"/>
        <v>0</v>
      </c>
      <c r="N63" s="625"/>
      <c r="O63" s="626"/>
      <c r="P63" s="626">
        <f>'[1]3кв'!S55</f>
        <v>0</v>
      </c>
      <c r="Q63" s="626"/>
      <c r="R63" s="619">
        <f t="shared" si="11"/>
        <v>0</v>
      </c>
      <c r="T63" s="620"/>
      <c r="U63" s="621"/>
      <c r="V63" s="621"/>
    </row>
    <row r="64" spans="1:22" ht="15" customHeight="1">
      <c r="A64" s="633" t="s">
        <v>736</v>
      </c>
      <c r="B64" s="624">
        <v>226</v>
      </c>
      <c r="C64" s="626"/>
      <c r="D64" s="626"/>
      <c r="E64" s="626"/>
      <c r="F64" s="626">
        <f>'[1]1 полуг'!H59</f>
        <v>0</v>
      </c>
      <c r="G64" s="626">
        <f>'[1]1 полуг'!H59</f>
        <v>0</v>
      </c>
      <c r="H64" s="626"/>
      <c r="I64" s="626">
        <f>'[1]1 полуг'!K59</f>
        <v>0</v>
      </c>
      <c r="J64" s="626"/>
      <c r="K64" s="626"/>
      <c r="L64" s="626">
        <f>'[1]1 полуг'!N59</f>
        <v>0</v>
      </c>
      <c r="M64" s="619">
        <f t="shared" si="6"/>
        <v>0</v>
      </c>
      <c r="N64" s="625"/>
      <c r="O64" s="626"/>
      <c r="P64" s="626">
        <f>'[1]1 полуг'!R59</f>
        <v>0</v>
      </c>
      <c r="Q64" s="626"/>
      <c r="R64" s="619">
        <f t="shared" si="11"/>
        <v>0</v>
      </c>
      <c r="T64" s="620"/>
      <c r="U64" s="621"/>
      <c r="V64" s="621"/>
    </row>
    <row r="65" spans="1:22" ht="15" customHeight="1">
      <c r="A65" s="633" t="s">
        <v>960</v>
      </c>
      <c r="B65" s="624">
        <v>226</v>
      </c>
      <c r="C65" s="626"/>
      <c r="D65" s="626"/>
      <c r="E65" s="626"/>
      <c r="F65" s="626">
        <f>'[1]3кв'!I58+'[1]1 полуг'!H60</f>
        <v>0</v>
      </c>
      <c r="G65" s="626">
        <f>'[1]3кв'!I58+'[1]1 полуг'!H60</f>
        <v>0</v>
      </c>
      <c r="H65" s="626"/>
      <c r="I65" s="626">
        <f>'[1]3кв'!M58+'[1]1 полуг'!K60</f>
        <v>0</v>
      </c>
      <c r="J65" s="626"/>
      <c r="K65" s="626"/>
      <c r="L65" s="626">
        <f>'[1]3кв'!P58+'[1]1 полуг'!N60</f>
        <v>0</v>
      </c>
      <c r="M65" s="619">
        <f t="shared" si="6"/>
        <v>0</v>
      </c>
      <c r="N65" s="625"/>
      <c r="O65" s="626"/>
      <c r="P65" s="626">
        <f>'[1]3кв'!S58+'[1]1 полуг'!R60</f>
        <v>0</v>
      </c>
      <c r="Q65" s="626"/>
      <c r="R65" s="619">
        <f t="shared" si="11"/>
        <v>0</v>
      </c>
      <c r="T65" s="620"/>
      <c r="U65" s="621"/>
      <c r="V65" s="621"/>
    </row>
    <row r="66" spans="1:22" ht="12.75" customHeight="1">
      <c r="A66" s="633" t="s">
        <v>937</v>
      </c>
      <c r="B66" s="624">
        <v>226</v>
      </c>
      <c r="C66" s="626">
        <v>12</v>
      </c>
      <c r="D66" s="626"/>
      <c r="E66" s="626"/>
      <c r="F66" s="626">
        <f>'[1]3кв'!I43+'[1]1 полуг'!H46</f>
        <v>0</v>
      </c>
      <c r="G66" s="626">
        <f>'[1]3кв'!I43+'[1]1 полуг'!H46</f>
        <v>0</v>
      </c>
      <c r="H66" s="626"/>
      <c r="I66" s="626">
        <f>'[1]3кв'!M43+'[1]1 полуг'!K46</f>
        <v>0</v>
      </c>
      <c r="J66" s="626"/>
      <c r="K66" s="626"/>
      <c r="L66" s="626">
        <f>'[1]3кв'!P43+'[1]1 полуг'!N46</f>
        <v>0</v>
      </c>
      <c r="M66" s="619">
        <f t="shared" si="6"/>
        <v>0</v>
      </c>
      <c r="N66" s="625"/>
      <c r="O66" s="626"/>
      <c r="P66" s="626">
        <f>'[1]3кв'!S43+'[1]1 полуг'!R46</f>
        <v>0</v>
      </c>
      <c r="Q66" s="626"/>
      <c r="R66" s="619">
        <f t="shared" si="11"/>
        <v>12</v>
      </c>
      <c r="T66" s="620"/>
      <c r="U66" s="621"/>
      <c r="V66" s="621"/>
    </row>
    <row r="67" spans="1:22" ht="17.25" customHeight="1">
      <c r="A67" s="633" t="s">
        <v>678</v>
      </c>
      <c r="B67" s="624">
        <v>226</v>
      </c>
      <c r="C67" s="626"/>
      <c r="D67" s="626"/>
      <c r="E67" s="626"/>
      <c r="F67" s="626"/>
      <c r="G67" s="626">
        <f>'[1]1 полуг'!H63</f>
        <v>0</v>
      </c>
      <c r="H67" s="626"/>
      <c r="I67" s="626"/>
      <c r="J67" s="626"/>
      <c r="K67" s="626"/>
      <c r="L67" s="626"/>
      <c r="M67" s="619">
        <f t="shared" si="6"/>
        <v>0</v>
      </c>
      <c r="N67" s="625"/>
      <c r="O67" s="626"/>
      <c r="P67" s="626"/>
      <c r="Q67" s="626"/>
      <c r="R67" s="619">
        <f t="shared" si="11"/>
        <v>0</v>
      </c>
      <c r="T67" s="620"/>
      <c r="U67" s="621"/>
      <c r="V67" s="621"/>
    </row>
    <row r="68" spans="1:22" ht="17.25" customHeight="1">
      <c r="A68" s="633" t="s">
        <v>958</v>
      </c>
      <c r="B68" s="624">
        <v>226</v>
      </c>
      <c r="C68" s="626"/>
      <c r="D68" s="626"/>
      <c r="E68" s="626"/>
      <c r="F68" s="626"/>
      <c r="G68" s="626">
        <f>'[1]1 полуг'!H63</f>
        <v>0</v>
      </c>
      <c r="H68" s="626"/>
      <c r="I68" s="626">
        <f>'[1]1 полуг'!K63</f>
        <v>0</v>
      </c>
      <c r="J68" s="626"/>
      <c r="K68" s="626"/>
      <c r="L68" s="626">
        <f>'[1]1 полуг'!N63</f>
        <v>0</v>
      </c>
      <c r="M68" s="619">
        <f t="shared" si="6"/>
        <v>0</v>
      </c>
      <c r="N68" s="625"/>
      <c r="O68" s="626"/>
      <c r="P68" s="626">
        <f>'[1]1 полуг'!R63</f>
        <v>0</v>
      </c>
      <c r="Q68" s="626"/>
      <c r="R68" s="619">
        <f t="shared" si="11"/>
        <v>0</v>
      </c>
      <c r="T68" s="620"/>
      <c r="U68" s="621"/>
      <c r="V68" s="621"/>
    </row>
    <row r="69" spans="1:22" ht="15" customHeight="1">
      <c r="A69" s="633" t="s">
        <v>938</v>
      </c>
      <c r="B69" s="624">
        <v>226</v>
      </c>
      <c r="C69" s="626">
        <v>207</v>
      </c>
      <c r="D69" s="626"/>
      <c r="E69" s="626"/>
      <c r="F69" s="626">
        <f>'[1]1 полуг'!H64</f>
        <v>0</v>
      </c>
      <c r="G69" s="626">
        <f>'[1]1 полуг'!H64</f>
        <v>0</v>
      </c>
      <c r="H69" s="626"/>
      <c r="I69" s="626">
        <f>'[1]1 полуг'!K64</f>
        <v>0</v>
      </c>
      <c r="J69" s="626"/>
      <c r="K69" s="626"/>
      <c r="L69" s="626">
        <f>'[1]1 полуг'!N64</f>
        <v>0</v>
      </c>
      <c r="M69" s="619">
        <f t="shared" si="6"/>
        <v>0</v>
      </c>
      <c r="N69" s="625"/>
      <c r="O69" s="626"/>
      <c r="P69" s="626">
        <f>'[1]1 полуг'!R64</f>
        <v>0</v>
      </c>
      <c r="Q69" s="626"/>
      <c r="R69" s="619">
        <f t="shared" si="11"/>
        <v>207</v>
      </c>
      <c r="T69" s="620"/>
      <c r="U69" s="621"/>
      <c r="V69" s="621"/>
    </row>
    <row r="70" spans="1:22" ht="12.75" customHeight="1">
      <c r="A70" s="633" t="s">
        <v>737</v>
      </c>
      <c r="B70" s="624">
        <v>226</v>
      </c>
      <c r="C70" s="626"/>
      <c r="D70" s="626"/>
      <c r="E70" s="626"/>
      <c r="F70" s="626">
        <f>'[1]3кв'!I61</f>
        <v>0</v>
      </c>
      <c r="G70" s="626">
        <f>'[1]3кв'!I61</f>
        <v>0</v>
      </c>
      <c r="H70" s="626"/>
      <c r="I70" s="626">
        <f>'[1]3кв'!M61</f>
        <v>0</v>
      </c>
      <c r="J70" s="626"/>
      <c r="K70" s="626"/>
      <c r="L70" s="626">
        <f>'[1]3кв'!P61</f>
        <v>0</v>
      </c>
      <c r="M70" s="619">
        <f t="shared" si="6"/>
        <v>0</v>
      </c>
      <c r="N70" s="625"/>
      <c r="O70" s="626"/>
      <c r="P70" s="626">
        <f>'[1]3кв'!S61</f>
        <v>0</v>
      </c>
      <c r="Q70" s="626"/>
      <c r="R70" s="619">
        <f t="shared" si="11"/>
        <v>0</v>
      </c>
      <c r="T70" s="620"/>
      <c r="U70" s="621"/>
      <c r="V70" s="621"/>
    </row>
    <row r="71" spans="1:22" ht="15" customHeight="1">
      <c r="A71" s="633" t="s">
        <v>939</v>
      </c>
      <c r="B71" s="624">
        <v>226</v>
      </c>
      <c r="C71" s="626"/>
      <c r="D71" s="626"/>
      <c r="E71" s="626"/>
      <c r="F71" s="626">
        <f>'[1]1 полуг'!H67</f>
        <v>0</v>
      </c>
      <c r="G71" s="626">
        <f>'[1]1 полуг'!H67</f>
        <v>0</v>
      </c>
      <c r="H71" s="626"/>
      <c r="I71" s="626">
        <f>'[1]1 полуг'!K67</f>
        <v>0</v>
      </c>
      <c r="J71" s="626"/>
      <c r="K71" s="626"/>
      <c r="L71" s="626">
        <f>'[1]1 полуг'!N67</f>
        <v>0</v>
      </c>
      <c r="M71" s="619">
        <f t="shared" ref="M71:M139" si="15">J71+L71+K71</f>
        <v>0</v>
      </c>
      <c r="N71" s="625"/>
      <c r="O71" s="626"/>
      <c r="P71" s="626">
        <f>'[1]1 полуг'!R67</f>
        <v>0</v>
      </c>
      <c r="Q71" s="626"/>
      <c r="R71" s="619">
        <f t="shared" si="11"/>
        <v>0</v>
      </c>
      <c r="T71" s="620"/>
      <c r="U71" s="621"/>
      <c r="V71" s="621"/>
    </row>
    <row r="72" spans="1:22" ht="15" customHeight="1">
      <c r="A72" s="633" t="s">
        <v>172</v>
      </c>
      <c r="B72" s="624">
        <v>226</v>
      </c>
      <c r="C72" s="626"/>
      <c r="D72" s="626"/>
      <c r="E72" s="626"/>
      <c r="F72" s="626">
        <f>'[1]3кв'!I65+'[1]1 полуг'!H47</f>
        <v>0</v>
      </c>
      <c r="G72" s="626">
        <f>'[1]3кв'!I65+'[1]1 полуг'!H47</f>
        <v>0</v>
      </c>
      <c r="H72" s="626"/>
      <c r="I72" s="626">
        <f>'[1]3кв'!M65+'[1]1 полуг'!K47</f>
        <v>0</v>
      </c>
      <c r="J72" s="626"/>
      <c r="K72" s="626"/>
      <c r="L72" s="626">
        <f>'[1]3кв'!P65+'[1]1 полуг'!N47</f>
        <v>0</v>
      </c>
      <c r="M72" s="619">
        <f t="shared" si="15"/>
        <v>0</v>
      </c>
      <c r="N72" s="625"/>
      <c r="O72" s="626"/>
      <c r="P72" s="626">
        <f>'[1]3кв'!S65+'[1]1 полуг'!R47</f>
        <v>0</v>
      </c>
      <c r="Q72" s="626"/>
      <c r="R72" s="619">
        <f t="shared" si="11"/>
        <v>0</v>
      </c>
      <c r="T72" s="620"/>
      <c r="U72" s="621"/>
      <c r="V72" s="621"/>
    </row>
    <row r="73" spans="1:22" ht="18" customHeight="1">
      <c r="A73" s="633" t="s">
        <v>957</v>
      </c>
      <c r="B73" s="624">
        <v>226</v>
      </c>
      <c r="C73" s="626"/>
      <c r="D73" s="626"/>
      <c r="E73" s="626"/>
      <c r="F73" s="626">
        <f>'[1]1 полуг'!H42</f>
        <v>0</v>
      </c>
      <c r="G73" s="626">
        <f>'[1]1 полуг'!H42</f>
        <v>0</v>
      </c>
      <c r="H73" s="626"/>
      <c r="I73" s="626">
        <v>0</v>
      </c>
      <c r="J73" s="626"/>
      <c r="K73" s="626"/>
      <c r="L73" s="626">
        <f>'[1]1 полуг'!N42</f>
        <v>0</v>
      </c>
      <c r="M73" s="619">
        <f t="shared" si="15"/>
        <v>0</v>
      </c>
      <c r="N73" s="625"/>
      <c r="O73" s="626"/>
      <c r="P73" s="626">
        <f>'[1]1 полуг'!R42</f>
        <v>0</v>
      </c>
      <c r="Q73" s="626">
        <f>'[1]1 полуг'!S42</f>
        <v>0</v>
      </c>
      <c r="R73" s="619">
        <f t="shared" si="11"/>
        <v>0</v>
      </c>
      <c r="T73" s="620"/>
      <c r="U73" s="621"/>
      <c r="V73" s="621"/>
    </row>
    <row r="74" spans="1:22" ht="18" customHeight="1">
      <c r="A74" s="633" t="s">
        <v>940</v>
      </c>
      <c r="B74" s="624">
        <v>226</v>
      </c>
      <c r="C74" s="626"/>
      <c r="D74" s="626"/>
      <c r="E74" s="626"/>
      <c r="F74" s="626"/>
      <c r="G74" s="626"/>
      <c r="H74" s="626"/>
      <c r="I74" s="626"/>
      <c r="J74" s="626">
        <v>5</v>
      </c>
      <c r="K74" s="626"/>
      <c r="L74" s="626"/>
      <c r="M74" s="619">
        <f t="shared" si="15"/>
        <v>5</v>
      </c>
      <c r="N74" s="625"/>
      <c r="O74" s="626"/>
      <c r="P74" s="626"/>
      <c r="Q74" s="626"/>
      <c r="R74" s="619">
        <f t="shared" si="11"/>
        <v>5</v>
      </c>
      <c r="T74" s="620"/>
      <c r="U74" s="621"/>
      <c r="V74" s="621"/>
    </row>
    <row r="75" spans="1:22" ht="15.75" customHeight="1">
      <c r="A75" s="633" t="s">
        <v>941</v>
      </c>
      <c r="B75" s="624">
        <v>226</v>
      </c>
      <c r="C75" s="626">
        <v>40</v>
      </c>
      <c r="D75" s="626"/>
      <c r="E75" s="626"/>
      <c r="F75" s="626">
        <f>'[1]1 полуг'!H58</f>
        <v>0</v>
      </c>
      <c r="G75" s="626">
        <f>'[1]1 полуг'!H58</f>
        <v>0</v>
      </c>
      <c r="H75" s="626"/>
      <c r="I75" s="626"/>
      <c r="J75" s="626"/>
      <c r="K75" s="626"/>
      <c r="L75" s="626">
        <f>'[1]1 полуг'!N58</f>
        <v>0</v>
      </c>
      <c r="M75" s="619">
        <f t="shared" si="15"/>
        <v>0</v>
      </c>
      <c r="N75" s="625">
        <f>'[1]1 полуг'!P58</f>
        <v>0</v>
      </c>
      <c r="O75" s="626"/>
      <c r="P75" s="626">
        <f>'[1]1 полуг'!R58</f>
        <v>0</v>
      </c>
      <c r="Q75" s="626">
        <f>'[1]1 полуг'!S58</f>
        <v>0</v>
      </c>
      <c r="R75" s="619">
        <f t="shared" si="11"/>
        <v>40</v>
      </c>
      <c r="T75" s="620"/>
      <c r="U75" s="621"/>
      <c r="V75" s="621"/>
    </row>
    <row r="76" spans="1:22" ht="16.5" customHeight="1">
      <c r="A76" s="633" t="s">
        <v>738</v>
      </c>
      <c r="B76" s="624">
        <v>226</v>
      </c>
      <c r="C76" s="626"/>
      <c r="D76" s="626"/>
      <c r="E76" s="626"/>
      <c r="F76" s="626">
        <f>'[1]1 полуг'!H45</f>
        <v>0</v>
      </c>
      <c r="G76" s="626">
        <f>'[1]1 полуг'!H45</f>
        <v>0</v>
      </c>
      <c r="H76" s="626"/>
      <c r="I76" s="626"/>
      <c r="J76" s="626">
        <f>'[1]1 полуг'!L45</f>
        <v>0</v>
      </c>
      <c r="K76" s="626"/>
      <c r="L76" s="626">
        <f>'[1]1 полуг'!N45</f>
        <v>0</v>
      </c>
      <c r="M76" s="619">
        <f t="shared" si="15"/>
        <v>0</v>
      </c>
      <c r="N76" s="625">
        <f>'[1]1 полуг'!P45</f>
        <v>0</v>
      </c>
      <c r="O76" s="626"/>
      <c r="P76" s="626">
        <f>'[1]1 полуг'!R45</f>
        <v>0</v>
      </c>
      <c r="Q76" s="626">
        <f>'[1]1 полуг'!S45</f>
        <v>0</v>
      </c>
      <c r="R76" s="619">
        <f t="shared" si="11"/>
        <v>0</v>
      </c>
      <c r="T76" s="620"/>
      <c r="U76" s="621"/>
      <c r="V76" s="621"/>
    </row>
    <row r="77" spans="1:22" ht="15" customHeight="1">
      <c r="A77" s="633" t="s">
        <v>739</v>
      </c>
      <c r="B77" s="624">
        <v>226</v>
      </c>
      <c r="C77" s="626"/>
      <c r="D77" s="626"/>
      <c r="E77" s="626"/>
      <c r="F77" s="626">
        <f>'[1]3кв'!I60+'[1]1 полуг'!H51</f>
        <v>0</v>
      </c>
      <c r="G77" s="626">
        <f>'[1]3кв'!I60+'[1]1 полуг'!H51</f>
        <v>0</v>
      </c>
      <c r="H77" s="626"/>
      <c r="I77" s="626">
        <f>'[1]3кв'!M60+'[1]1 полуг'!K51</f>
        <v>0</v>
      </c>
      <c r="J77" s="626">
        <f>'[1]3кв'!N60+'[1]1 полуг'!L51</f>
        <v>0</v>
      </c>
      <c r="K77" s="626"/>
      <c r="L77" s="626">
        <f>'[1]3кв'!P60+'[1]1 полуг'!N51</f>
        <v>0</v>
      </c>
      <c r="M77" s="619">
        <f t="shared" si="15"/>
        <v>0</v>
      </c>
      <c r="N77" s="625">
        <f>'[1]3кв'!R60+'[1]1 полуг'!P51</f>
        <v>0</v>
      </c>
      <c r="O77" s="626"/>
      <c r="P77" s="626">
        <f>'[1]3кв'!S60+'[1]1 полуг'!R51</f>
        <v>0</v>
      </c>
      <c r="Q77" s="626">
        <f>'[1]3кв'!T60+'[1]1 полуг'!S51</f>
        <v>0</v>
      </c>
      <c r="R77" s="619">
        <f t="shared" si="11"/>
        <v>0</v>
      </c>
      <c r="T77" s="620"/>
      <c r="U77" s="621"/>
      <c r="V77" s="621"/>
    </row>
    <row r="78" spans="1:22" ht="15" customHeight="1">
      <c r="A78" s="633" t="s">
        <v>942</v>
      </c>
      <c r="B78" s="624">
        <v>226</v>
      </c>
      <c r="C78" s="626"/>
      <c r="D78" s="626"/>
      <c r="E78" s="626"/>
      <c r="F78" s="626">
        <f>'[1]1 полуг'!H52</f>
        <v>0</v>
      </c>
      <c r="G78" s="626">
        <f>'[1]1 полуг'!H52</f>
        <v>0</v>
      </c>
      <c r="H78" s="626"/>
      <c r="I78" s="626">
        <f>'[1]1 полуг'!K52</f>
        <v>0</v>
      </c>
      <c r="J78" s="626">
        <f>'[1]1 полуг'!L52</f>
        <v>0</v>
      </c>
      <c r="K78" s="626"/>
      <c r="L78" s="626">
        <f>'[1]1 полуг'!N52</f>
        <v>0</v>
      </c>
      <c r="M78" s="619">
        <f t="shared" si="15"/>
        <v>0</v>
      </c>
      <c r="N78" s="625">
        <f>'[1]1 полуг'!P52</f>
        <v>0</v>
      </c>
      <c r="O78" s="626"/>
      <c r="P78" s="626">
        <f>'[1]1 полуг'!R52</f>
        <v>0</v>
      </c>
      <c r="Q78" s="626">
        <f>'[1]1 полуг'!S52</f>
        <v>0</v>
      </c>
      <c r="R78" s="619">
        <f t="shared" ref="R78:R138" si="16">C78+D78+E78+H78+I78+M78+N78+O78+P78+Q78</f>
        <v>0</v>
      </c>
      <c r="T78" s="620"/>
      <c r="U78" s="621"/>
      <c r="V78" s="621"/>
    </row>
    <row r="79" spans="1:22" ht="15" customHeight="1">
      <c r="A79" s="633" t="s">
        <v>740</v>
      </c>
      <c r="B79" s="624">
        <v>226</v>
      </c>
      <c r="C79" s="626">
        <f>72+180</f>
        <v>252</v>
      </c>
      <c r="D79" s="626">
        <v>33.92</v>
      </c>
      <c r="E79" s="626">
        <v>2.8</v>
      </c>
      <c r="F79" s="626">
        <f>'[1]1 полуг'!H68</f>
        <v>0</v>
      </c>
      <c r="G79" s="626">
        <f>'[1]1 полуг'!H68</f>
        <v>0</v>
      </c>
      <c r="H79" s="626"/>
      <c r="I79" s="626"/>
      <c r="J79" s="626">
        <f>38.68+28.00119</f>
        <v>66.681190000000001</v>
      </c>
      <c r="K79" s="626"/>
      <c r="L79" s="626"/>
      <c r="M79" s="619">
        <f t="shared" si="15"/>
        <v>66.681190000000001</v>
      </c>
      <c r="N79" s="625">
        <v>172.886</v>
      </c>
      <c r="O79" s="626">
        <f>'[1]1 полуг'!P68</f>
        <v>0</v>
      </c>
      <c r="P79" s="626">
        <f>'[1]1 полуг'!Q68</f>
        <v>0</v>
      </c>
      <c r="Q79" s="626">
        <f>'[1]1 полуг'!R68</f>
        <v>0</v>
      </c>
      <c r="R79" s="619">
        <f t="shared" si="16"/>
        <v>528.28719000000001</v>
      </c>
      <c r="T79" s="620"/>
      <c r="U79" s="621"/>
      <c r="V79" s="621"/>
    </row>
    <row r="80" spans="1:22" ht="15" customHeight="1">
      <c r="A80" s="633" t="s">
        <v>943</v>
      </c>
      <c r="B80" s="624">
        <v>226</v>
      </c>
      <c r="C80" s="626"/>
      <c r="D80" s="626">
        <f>'[1]3кв'!G63+'[1]1 полуг'!F61</f>
        <v>0</v>
      </c>
      <c r="E80" s="626"/>
      <c r="F80" s="626">
        <f>'[1]3кв'!I67+'[1]1 полуг'!H61</f>
        <v>0</v>
      </c>
      <c r="G80" s="626">
        <f>'[1]3кв'!I67+'[1]1 полуг'!H61</f>
        <v>0</v>
      </c>
      <c r="H80" s="626"/>
      <c r="I80" s="626">
        <f>'[1]3кв'!M67+'[1]1 полуг'!K61</f>
        <v>0</v>
      </c>
      <c r="J80" s="626"/>
      <c r="K80" s="626"/>
      <c r="L80" s="626">
        <f>'[1]3кв'!P67+'[1]1 полуг'!N61</f>
        <v>0</v>
      </c>
      <c r="M80" s="619">
        <f t="shared" si="15"/>
        <v>0</v>
      </c>
      <c r="N80" s="625">
        <f>'[1]3кв'!R67+'[1]1 полуг'!P61</f>
        <v>0</v>
      </c>
      <c r="O80" s="626"/>
      <c r="P80" s="626">
        <f>'[1]3кв'!S67+'[1]1 полуг'!R61</f>
        <v>0</v>
      </c>
      <c r="Q80" s="626">
        <f>'[1]3кв'!T67+'[1]1 полуг'!S61</f>
        <v>0</v>
      </c>
      <c r="R80" s="619">
        <f t="shared" si="16"/>
        <v>0</v>
      </c>
      <c r="T80" s="620"/>
      <c r="U80" s="621"/>
      <c r="V80" s="621"/>
    </row>
    <row r="81" spans="1:22" s="630" customFormat="1" ht="15" customHeight="1">
      <c r="A81" s="641" t="s">
        <v>127</v>
      </c>
      <c r="B81" s="642">
        <v>242</v>
      </c>
      <c r="C81" s="618">
        <f>SUM(C82:C84)</f>
        <v>0</v>
      </c>
      <c r="D81" s="618">
        <f>SUM(D82:D84)</f>
        <v>0</v>
      </c>
      <c r="E81" s="618">
        <f>SUM(E82:E86)</f>
        <v>0</v>
      </c>
      <c r="F81" s="618">
        <f t="shared" ref="F81:Q81" si="17">SUM(F82:F84)</f>
        <v>0</v>
      </c>
      <c r="G81" s="618">
        <f t="shared" si="17"/>
        <v>0</v>
      </c>
      <c r="H81" s="618">
        <f t="shared" si="17"/>
        <v>0</v>
      </c>
      <c r="I81" s="618">
        <f t="shared" si="17"/>
        <v>0</v>
      </c>
      <c r="J81" s="618">
        <f t="shared" si="17"/>
        <v>0</v>
      </c>
      <c r="K81" s="618">
        <f t="shared" si="17"/>
        <v>0</v>
      </c>
      <c r="L81" s="618">
        <f t="shared" si="17"/>
        <v>0</v>
      </c>
      <c r="M81" s="619">
        <f t="shared" si="15"/>
        <v>0</v>
      </c>
      <c r="N81" s="618">
        <f>SUM(N82:N89)</f>
        <v>50</v>
      </c>
      <c r="O81" s="618">
        <f t="shared" si="17"/>
        <v>0</v>
      </c>
      <c r="P81" s="618">
        <f t="shared" si="17"/>
        <v>0</v>
      </c>
      <c r="Q81" s="618">
        <f t="shared" si="17"/>
        <v>0</v>
      </c>
      <c r="R81" s="619">
        <f t="shared" si="16"/>
        <v>50</v>
      </c>
      <c r="S81" s="628"/>
      <c r="T81" s="628"/>
      <c r="U81" s="629"/>
      <c r="V81" s="629"/>
    </row>
    <row r="82" spans="1:22" ht="15" customHeight="1">
      <c r="A82" s="633" t="s">
        <v>128</v>
      </c>
      <c r="B82" s="640">
        <v>242</v>
      </c>
      <c r="C82" s="626"/>
      <c r="D82" s="618"/>
      <c r="E82" s="618"/>
      <c r="F82" s="618"/>
      <c r="G82" s="618"/>
      <c r="H82" s="618"/>
      <c r="I82" s="618"/>
      <c r="J82" s="618"/>
      <c r="K82" s="618"/>
      <c r="L82" s="618"/>
      <c r="M82" s="619">
        <f t="shared" si="15"/>
        <v>0</v>
      </c>
      <c r="N82" s="618"/>
      <c r="O82" s="618"/>
      <c r="P82" s="618"/>
      <c r="Q82" s="618"/>
      <c r="R82" s="619">
        <f t="shared" si="16"/>
        <v>0</v>
      </c>
      <c r="T82" s="620"/>
      <c r="U82" s="621"/>
      <c r="V82" s="621"/>
    </row>
    <row r="83" spans="1:22" ht="12" customHeight="1">
      <c r="A83" s="633" t="s">
        <v>117</v>
      </c>
      <c r="B83" s="640">
        <v>242</v>
      </c>
      <c r="C83" s="626"/>
      <c r="D83" s="626"/>
      <c r="E83" s="626"/>
      <c r="F83" s="626"/>
      <c r="G83" s="626"/>
      <c r="H83" s="626"/>
      <c r="I83" s="626">
        <f>'[1]1 полуг'!K74</f>
        <v>0</v>
      </c>
      <c r="J83" s="626"/>
      <c r="K83" s="626"/>
      <c r="L83" s="626"/>
      <c r="M83" s="619">
        <f t="shared" si="15"/>
        <v>0</v>
      </c>
      <c r="N83" s="626"/>
      <c r="O83" s="626"/>
      <c r="P83" s="626"/>
      <c r="Q83" s="626"/>
      <c r="R83" s="619">
        <f t="shared" si="16"/>
        <v>0</v>
      </c>
      <c r="T83" s="620"/>
      <c r="U83" s="621"/>
      <c r="V83" s="621"/>
    </row>
    <row r="84" spans="1:22" ht="15" customHeight="1">
      <c r="A84" s="633" t="s">
        <v>741</v>
      </c>
      <c r="B84" s="640">
        <v>242</v>
      </c>
      <c r="C84" s="626"/>
      <c r="D84" s="626"/>
      <c r="E84" s="626">
        <f>'[1]3кв'!H74+'[1]1 полуг'!G72+'[1]1 полуг'!G73</f>
        <v>0</v>
      </c>
      <c r="F84" s="626">
        <f>'[1]3кв'!I74+'[1]1 полуг'!H72+'[1]1 полуг'!H73</f>
        <v>0</v>
      </c>
      <c r="G84" s="626">
        <f>'[1]3кв'!I74+'[1]1 полуг'!H72+'[1]1 полуг'!H73</f>
        <v>0</v>
      </c>
      <c r="H84" s="626">
        <f>'[1]3кв'!L74+'[1]1 полуг'!J72+'[1]1 полуг'!J73</f>
        <v>0</v>
      </c>
      <c r="I84" s="626"/>
      <c r="J84" s="626">
        <f>'[1]3кв'!N74+'[1]1 полуг'!L72+'[1]1 полуг'!L73</f>
        <v>0</v>
      </c>
      <c r="K84" s="626"/>
      <c r="L84" s="626">
        <f>'[1]3кв'!P74+'[1]1 полуг'!N72+'[1]1 полуг'!N73</f>
        <v>0</v>
      </c>
      <c r="M84" s="619">
        <f t="shared" si="15"/>
        <v>0</v>
      </c>
      <c r="N84" s="626">
        <f>'[1]3кв'!R74+'[1]1 полуг'!P72+'[1]1 полуг'!P73</f>
        <v>0</v>
      </c>
      <c r="O84" s="626"/>
      <c r="P84" s="626">
        <f>'[1]3кв'!S74+'[1]1 полуг'!R72+'[1]1 полуг'!R73</f>
        <v>0</v>
      </c>
      <c r="Q84" s="626">
        <f>'[1]3кв'!T74+'[1]1 полуг'!S72+'[1]1 полуг'!S73</f>
        <v>0</v>
      </c>
      <c r="R84" s="619">
        <f t="shared" si="16"/>
        <v>0</v>
      </c>
      <c r="T84" s="620"/>
      <c r="U84" s="621"/>
      <c r="V84" s="621"/>
    </row>
    <row r="85" spans="1:22" ht="12.75" customHeight="1">
      <c r="A85" s="633" t="s">
        <v>742</v>
      </c>
      <c r="B85" s="640">
        <v>242</v>
      </c>
      <c r="C85" s="626"/>
      <c r="D85" s="626"/>
      <c r="E85" s="626"/>
      <c r="F85" s="626"/>
      <c r="G85" s="626"/>
      <c r="H85" s="626"/>
      <c r="I85" s="626">
        <f>'[1]3кв'!M75</f>
        <v>0</v>
      </c>
      <c r="J85" s="626"/>
      <c r="K85" s="626"/>
      <c r="L85" s="626"/>
      <c r="M85" s="619">
        <f t="shared" si="15"/>
        <v>0</v>
      </c>
      <c r="N85" s="626"/>
      <c r="O85" s="626"/>
      <c r="P85" s="626"/>
      <c r="Q85" s="626"/>
      <c r="R85" s="619">
        <f t="shared" si="16"/>
        <v>0</v>
      </c>
      <c r="T85" s="620"/>
      <c r="U85" s="621"/>
      <c r="V85" s="621"/>
    </row>
    <row r="86" spans="1:22" ht="15" customHeight="1">
      <c r="A86" s="643" t="s">
        <v>959</v>
      </c>
      <c r="B86" s="640">
        <v>242</v>
      </c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19">
        <f t="shared" si="15"/>
        <v>0</v>
      </c>
      <c r="N86" s="626">
        <v>50</v>
      </c>
      <c r="O86" s="626"/>
      <c r="P86" s="626"/>
      <c r="Q86" s="626"/>
      <c r="R86" s="619">
        <f t="shared" si="16"/>
        <v>50</v>
      </c>
      <c r="T86" s="620"/>
      <c r="U86" s="621"/>
      <c r="V86" s="621"/>
    </row>
    <row r="87" spans="1:22" s="630" customFormat="1" ht="15" customHeight="1">
      <c r="A87" s="643" t="s">
        <v>779</v>
      </c>
      <c r="B87" s="640">
        <v>242</v>
      </c>
      <c r="C87" s="618"/>
      <c r="D87" s="618">
        <f>'[1]3кв'!F76</f>
        <v>0</v>
      </c>
      <c r="E87" s="618">
        <f>'[1]3кв'!H76</f>
        <v>0</v>
      </c>
      <c r="F87" s="618">
        <f>'[1]3кв'!I76</f>
        <v>0</v>
      </c>
      <c r="G87" s="618">
        <f>'[1]3кв'!I76</f>
        <v>0</v>
      </c>
      <c r="H87" s="626">
        <v>0</v>
      </c>
      <c r="I87" s="618"/>
      <c r="J87" s="618">
        <f>'[1]3кв'!N76</f>
        <v>0</v>
      </c>
      <c r="K87" s="618"/>
      <c r="L87" s="618">
        <f>'[1]3кв'!P76</f>
        <v>0</v>
      </c>
      <c r="M87" s="619">
        <f t="shared" si="15"/>
        <v>0</v>
      </c>
      <c r="N87" s="618">
        <f>'[1]3кв'!R76</f>
        <v>0</v>
      </c>
      <c r="O87" s="618"/>
      <c r="P87" s="618">
        <f>'[1]3кв'!S76</f>
        <v>0</v>
      </c>
      <c r="Q87" s="618">
        <f>'[1]3кв'!T76</f>
        <v>0</v>
      </c>
      <c r="R87" s="619">
        <f t="shared" si="16"/>
        <v>0</v>
      </c>
      <c r="T87" s="620"/>
      <c r="U87" s="621"/>
      <c r="V87" s="621"/>
    </row>
    <row r="88" spans="1:22">
      <c r="A88" s="606" t="s">
        <v>780</v>
      </c>
      <c r="B88" s="640">
        <v>242</v>
      </c>
      <c r="C88" s="626"/>
      <c r="D88" s="626"/>
      <c r="E88" s="626"/>
      <c r="F88" s="626">
        <f>'[1]1 полуг'!H74</f>
        <v>0</v>
      </c>
      <c r="G88" s="626">
        <f>'[1]1 полуг'!H74</f>
        <v>0</v>
      </c>
      <c r="H88" s="626">
        <f>'[1]1 полуг'!J74</f>
        <v>0</v>
      </c>
      <c r="I88" s="626"/>
      <c r="J88" s="626">
        <f>'[1]1 полуг'!L74</f>
        <v>0</v>
      </c>
      <c r="K88" s="626"/>
      <c r="L88" s="626">
        <f>'[1]1 полуг'!N74</f>
        <v>0</v>
      </c>
      <c r="M88" s="619">
        <f t="shared" si="15"/>
        <v>0</v>
      </c>
      <c r="N88" s="626">
        <f>'[1]1 полуг'!P74</f>
        <v>0</v>
      </c>
      <c r="O88" s="626"/>
      <c r="P88" s="626">
        <f>'[1]1 полуг'!R74</f>
        <v>0</v>
      </c>
      <c r="Q88" s="626">
        <f>'[1]1 полуг'!S74</f>
        <v>0</v>
      </c>
      <c r="R88" s="619">
        <f t="shared" si="16"/>
        <v>0</v>
      </c>
      <c r="T88" s="620"/>
      <c r="U88" s="621"/>
      <c r="V88" s="621"/>
    </row>
    <row r="89" spans="1:22" ht="15" customHeight="1">
      <c r="A89" s="634" t="s">
        <v>132</v>
      </c>
      <c r="B89" s="640">
        <v>242</v>
      </c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9">
        <f t="shared" si="15"/>
        <v>0</v>
      </c>
      <c r="N89" s="618"/>
      <c r="O89" s="618"/>
      <c r="P89" s="618"/>
      <c r="Q89" s="618"/>
      <c r="R89" s="619">
        <f t="shared" si="16"/>
        <v>0</v>
      </c>
      <c r="T89" s="620"/>
      <c r="U89" s="621"/>
      <c r="V89" s="621"/>
    </row>
    <row r="90" spans="1:22" ht="15" customHeight="1">
      <c r="A90" s="635" t="s">
        <v>944</v>
      </c>
      <c r="B90" s="642">
        <v>227</v>
      </c>
      <c r="C90" s="626"/>
      <c r="D90" s="618"/>
      <c r="E90" s="618"/>
      <c r="F90" s="618"/>
      <c r="G90" s="618"/>
      <c r="H90" s="618"/>
      <c r="I90" s="618"/>
      <c r="J90" s="626">
        <f>5.70934+4.59775</f>
        <v>10.307089999999999</v>
      </c>
      <c r="K90" s="618"/>
      <c r="L90" s="618"/>
      <c r="M90" s="619">
        <f t="shared" si="15"/>
        <v>10.307089999999999</v>
      </c>
      <c r="N90" s="618"/>
      <c r="O90" s="618"/>
      <c r="P90" s="618"/>
      <c r="Q90" s="618"/>
      <c r="R90" s="619">
        <f t="shared" si="16"/>
        <v>10.307089999999999</v>
      </c>
      <c r="T90" s="620"/>
      <c r="U90" s="621"/>
      <c r="V90" s="621"/>
    </row>
    <row r="91" spans="1:22" ht="12.75" customHeight="1">
      <c r="A91" s="644" t="s">
        <v>945</v>
      </c>
      <c r="B91" s="642">
        <v>260</v>
      </c>
      <c r="C91" s="618">
        <f>SUM(C92:C96)</f>
        <v>0</v>
      </c>
      <c r="D91" s="618">
        <f>SUM(D92:D96)</f>
        <v>0</v>
      </c>
      <c r="E91" s="618">
        <f t="shared" ref="E91:Q91" si="18">SUM(E92:E96)</f>
        <v>0</v>
      </c>
      <c r="F91" s="618">
        <f t="shared" si="18"/>
        <v>0</v>
      </c>
      <c r="G91" s="618">
        <f t="shared" si="18"/>
        <v>0</v>
      </c>
      <c r="H91" s="618">
        <f t="shared" si="18"/>
        <v>0</v>
      </c>
      <c r="I91" s="618">
        <f t="shared" si="18"/>
        <v>0</v>
      </c>
      <c r="J91" s="618">
        <f t="shared" si="18"/>
        <v>0</v>
      </c>
      <c r="K91" s="618">
        <f t="shared" si="18"/>
        <v>0</v>
      </c>
      <c r="L91" s="618">
        <f t="shared" si="18"/>
        <v>0</v>
      </c>
      <c r="M91" s="619">
        <f t="shared" si="15"/>
        <v>0</v>
      </c>
      <c r="N91" s="618">
        <f t="shared" si="18"/>
        <v>0</v>
      </c>
      <c r="O91" s="618">
        <f t="shared" si="18"/>
        <v>0</v>
      </c>
      <c r="P91" s="618">
        <f t="shared" si="18"/>
        <v>0</v>
      </c>
      <c r="Q91" s="618">
        <f t="shared" si="18"/>
        <v>0</v>
      </c>
      <c r="R91" s="619">
        <f t="shared" si="16"/>
        <v>0</v>
      </c>
      <c r="T91" s="620"/>
      <c r="U91" s="621"/>
      <c r="V91" s="621"/>
    </row>
    <row r="92" spans="1:22" ht="15" customHeight="1">
      <c r="A92" s="634" t="s">
        <v>783</v>
      </c>
      <c r="B92" s="640">
        <v>261</v>
      </c>
      <c r="C92" s="619"/>
      <c r="D92" s="625"/>
      <c r="E92" s="625"/>
      <c r="F92" s="625">
        <f>'[1]3кв'!I80</f>
        <v>0</v>
      </c>
      <c r="G92" s="625">
        <f>'[1]3кв'!I80</f>
        <v>0</v>
      </c>
      <c r="H92" s="625"/>
      <c r="I92" s="625">
        <f>'[1]3кв'!M80</f>
        <v>0</v>
      </c>
      <c r="J92" s="625">
        <f>'[1]3кв'!N80</f>
        <v>0</v>
      </c>
      <c r="K92" s="626"/>
      <c r="L92" s="626">
        <f>'[1]3кв'!P80</f>
        <v>0</v>
      </c>
      <c r="M92" s="619">
        <f t="shared" si="15"/>
        <v>0</v>
      </c>
      <c r="N92" s="626">
        <f>'[1]3кв'!R80</f>
        <v>0</v>
      </c>
      <c r="O92" s="626"/>
      <c r="P92" s="626">
        <f>'[1]3кв'!S80</f>
        <v>0</v>
      </c>
      <c r="Q92" s="626">
        <f>'[1]3кв'!T80</f>
        <v>0</v>
      </c>
      <c r="R92" s="619">
        <f t="shared" si="16"/>
        <v>0</v>
      </c>
      <c r="T92" s="620"/>
      <c r="U92" s="621"/>
      <c r="V92" s="621"/>
    </row>
    <row r="93" spans="1:22" ht="15" customHeight="1">
      <c r="A93" s="638" t="s">
        <v>823</v>
      </c>
      <c r="B93" s="640">
        <v>262</v>
      </c>
      <c r="C93" s="625"/>
      <c r="D93" s="625"/>
      <c r="E93" s="625"/>
      <c r="F93" s="625">
        <f>'[1]3кв'!I81+'[1]1 полуг'!H80</f>
        <v>0</v>
      </c>
      <c r="G93" s="625">
        <f>'[1]3кв'!I81+'[1]1 полуг'!H80</f>
        <v>0</v>
      </c>
      <c r="H93" s="625"/>
      <c r="I93" s="625">
        <f>'[1]3кв'!M81+'[1]1 полуг'!K80</f>
        <v>0</v>
      </c>
      <c r="J93" s="625">
        <f>'[1]3кв'!N81+'[1]1 полуг'!L80</f>
        <v>0</v>
      </c>
      <c r="K93" s="626"/>
      <c r="L93" s="626">
        <f>'[1]3кв'!P81+'[1]1 полуг'!N80</f>
        <v>0</v>
      </c>
      <c r="M93" s="619">
        <f t="shared" si="15"/>
        <v>0</v>
      </c>
      <c r="N93" s="626"/>
      <c r="O93" s="626"/>
      <c r="P93" s="626">
        <f>'[1]3кв'!S81+'[1]1 полуг'!R80</f>
        <v>0</v>
      </c>
      <c r="Q93" s="626"/>
      <c r="R93" s="619">
        <f t="shared" si="16"/>
        <v>0</v>
      </c>
      <c r="S93" s="620"/>
      <c r="T93" s="620"/>
      <c r="U93" s="621"/>
      <c r="V93" s="621"/>
    </row>
    <row r="94" spans="1:22" ht="12.75" customHeight="1">
      <c r="A94" s="638" t="s">
        <v>777</v>
      </c>
      <c r="B94" s="640">
        <v>262</v>
      </c>
      <c r="C94" s="625"/>
      <c r="D94" s="625"/>
      <c r="E94" s="625"/>
      <c r="F94" s="625">
        <f>'[1]1 полуг'!H82</f>
        <v>0</v>
      </c>
      <c r="G94" s="625">
        <f>'[1]1 полуг'!H82</f>
        <v>0</v>
      </c>
      <c r="H94" s="625"/>
      <c r="I94" s="625">
        <f>'[1]1 полуг'!K82</f>
        <v>0</v>
      </c>
      <c r="J94" s="625">
        <f>'[1]3кв'!N82+'[1]1 полуг'!L82</f>
        <v>0</v>
      </c>
      <c r="K94" s="626"/>
      <c r="L94" s="626">
        <f>'[1]1 полуг'!N82</f>
        <v>0</v>
      </c>
      <c r="M94" s="619">
        <f t="shared" si="15"/>
        <v>0</v>
      </c>
      <c r="N94" s="626">
        <f>'[1]1 полуг'!P82</f>
        <v>0</v>
      </c>
      <c r="O94" s="626"/>
      <c r="P94" s="626">
        <f>'[1]1 полуг'!R82</f>
        <v>0</v>
      </c>
      <c r="Q94" s="626"/>
      <c r="R94" s="619">
        <f t="shared" si="16"/>
        <v>0</v>
      </c>
      <c r="S94" s="620"/>
      <c r="T94" s="620"/>
      <c r="U94" s="621"/>
      <c r="V94" s="621"/>
    </row>
    <row r="95" spans="1:22" ht="12.75" customHeight="1">
      <c r="A95" s="638" t="s">
        <v>933</v>
      </c>
      <c r="B95" s="640">
        <v>263</v>
      </c>
      <c r="C95" s="625"/>
      <c r="D95" s="625"/>
      <c r="E95" s="625"/>
      <c r="F95" s="625"/>
      <c r="G95" s="625"/>
      <c r="H95" s="625"/>
      <c r="I95" s="625"/>
      <c r="J95" s="625"/>
      <c r="K95" s="626"/>
      <c r="L95" s="626"/>
      <c r="M95" s="619">
        <f t="shared" si="15"/>
        <v>0</v>
      </c>
      <c r="N95" s="626"/>
      <c r="O95" s="626"/>
      <c r="P95" s="626"/>
      <c r="Q95" s="626"/>
      <c r="R95" s="619">
        <f t="shared" si="16"/>
        <v>0</v>
      </c>
      <c r="S95" s="620"/>
      <c r="T95" s="620"/>
      <c r="U95" s="621"/>
      <c r="V95" s="621"/>
    </row>
    <row r="96" spans="1:22" ht="12.75" customHeight="1">
      <c r="A96" s="638" t="s">
        <v>744</v>
      </c>
      <c r="B96" s="640">
        <v>263</v>
      </c>
      <c r="C96" s="625"/>
      <c r="D96" s="625"/>
      <c r="E96" s="625"/>
      <c r="F96" s="625">
        <f>'[1]3кв'!I84+'[1]1 полуг'!H83</f>
        <v>0</v>
      </c>
      <c r="G96" s="625">
        <f>'[1]3кв'!I84+'[1]1 полуг'!H83</f>
        <v>0</v>
      </c>
      <c r="H96" s="625"/>
      <c r="I96" s="625">
        <f>'[1]3кв'!M84+'[1]1 полуг'!K83</f>
        <v>0</v>
      </c>
      <c r="J96" s="625">
        <f>'[1]3кв'!N84+'[1]1 полуг'!L83</f>
        <v>0</v>
      </c>
      <c r="K96" s="626"/>
      <c r="L96" s="626">
        <f>'[1]3кв'!P84+'[1]1 полуг'!N83</f>
        <v>0</v>
      </c>
      <c r="M96" s="619">
        <f t="shared" si="15"/>
        <v>0</v>
      </c>
      <c r="N96" s="626">
        <f>'[1]3кв'!R84+'[1]1 полуг'!P83</f>
        <v>0</v>
      </c>
      <c r="O96" s="626"/>
      <c r="P96" s="626">
        <f>'[1]3кв'!S84+'[1]1 полуг'!R83</f>
        <v>0</v>
      </c>
      <c r="Q96" s="626">
        <f>'[1]3кв'!T84+'[1]1 полуг'!S83</f>
        <v>0</v>
      </c>
      <c r="R96" s="619">
        <f t="shared" si="16"/>
        <v>0</v>
      </c>
      <c r="T96" s="620"/>
      <c r="U96" s="621"/>
      <c r="V96" s="621"/>
    </row>
    <row r="97" spans="1:22" ht="15" customHeight="1">
      <c r="A97" s="641" t="s">
        <v>67</v>
      </c>
      <c r="B97" s="642">
        <v>290</v>
      </c>
      <c r="C97" s="619">
        <f>SUM(C98:C109)</f>
        <v>349.18899999999996</v>
      </c>
      <c r="D97" s="619">
        <f t="shared" ref="D97:Q97" si="19">SUM(D98:D109)</f>
        <v>36.5</v>
      </c>
      <c r="E97" s="619">
        <f t="shared" si="19"/>
        <v>0.69899999999999995</v>
      </c>
      <c r="F97" s="619">
        <f t="shared" si="19"/>
        <v>0</v>
      </c>
      <c r="G97" s="619">
        <f t="shared" si="19"/>
        <v>0</v>
      </c>
      <c r="H97" s="619">
        <f t="shared" si="19"/>
        <v>0</v>
      </c>
      <c r="I97" s="619">
        <f t="shared" si="19"/>
        <v>0</v>
      </c>
      <c r="J97" s="619">
        <f t="shared" si="19"/>
        <v>362.96899999999999</v>
      </c>
      <c r="K97" s="619">
        <f t="shared" si="19"/>
        <v>0</v>
      </c>
      <c r="L97" s="619">
        <f t="shared" si="19"/>
        <v>0</v>
      </c>
      <c r="M97" s="619">
        <f t="shared" si="19"/>
        <v>362.96899999999999</v>
      </c>
      <c r="N97" s="619">
        <f t="shared" si="19"/>
        <v>7.0119999999999996</v>
      </c>
      <c r="O97" s="619">
        <f t="shared" si="19"/>
        <v>0</v>
      </c>
      <c r="P97" s="619">
        <f t="shared" si="19"/>
        <v>0</v>
      </c>
      <c r="Q97" s="619">
        <f t="shared" si="19"/>
        <v>2.7269999999999999</v>
      </c>
      <c r="R97" s="619">
        <f t="shared" si="16"/>
        <v>759.09599999999989</v>
      </c>
      <c r="S97" s="620"/>
      <c r="T97" s="620"/>
      <c r="U97" s="621"/>
      <c r="V97" s="621"/>
    </row>
    <row r="98" spans="1:22" ht="12.75" customHeight="1">
      <c r="A98" s="633" t="s">
        <v>136</v>
      </c>
      <c r="B98" s="640">
        <v>291</v>
      </c>
      <c r="C98" s="625">
        <v>249.18899999999999</v>
      </c>
      <c r="D98" s="625"/>
      <c r="E98" s="625">
        <v>0.69899999999999995</v>
      </c>
      <c r="F98" s="625">
        <f>'[1]3кв'!I86+'[1]1 полуг'!H85</f>
        <v>0</v>
      </c>
      <c r="G98" s="625">
        <f>'[1]3кв'!I86+'[1]1 полуг'!H85</f>
        <v>0</v>
      </c>
      <c r="H98" s="625"/>
      <c r="I98" s="625"/>
      <c r="J98" s="625">
        <v>355.96899999999999</v>
      </c>
      <c r="K98" s="626"/>
      <c r="L98" s="626">
        <f>'[1]3кв'!P86+'[1]1 полуг'!N85</f>
        <v>0</v>
      </c>
      <c r="M98" s="619">
        <f t="shared" si="15"/>
        <v>355.96899999999999</v>
      </c>
      <c r="N98" s="626">
        <v>7.0119999999999996</v>
      </c>
      <c r="O98" s="626"/>
      <c r="P98" s="626"/>
      <c r="Q98" s="626">
        <v>2.7269999999999999</v>
      </c>
      <c r="R98" s="619">
        <f t="shared" si="16"/>
        <v>615.59599999999989</v>
      </c>
      <c r="T98" s="620"/>
      <c r="U98" s="621"/>
      <c r="V98" s="621"/>
    </row>
    <row r="99" spans="1:22" ht="15" customHeight="1">
      <c r="A99" s="633" t="s">
        <v>137</v>
      </c>
      <c r="B99" s="640">
        <v>290</v>
      </c>
      <c r="C99" s="625"/>
      <c r="D99" s="625"/>
      <c r="E99" s="625"/>
      <c r="F99" s="625">
        <f>'[1]3кв'!I87+'[1]1 полуг'!H86</f>
        <v>0</v>
      </c>
      <c r="G99" s="625">
        <f>'[1]3кв'!I87+'[1]1 полуг'!H86</f>
        <v>0</v>
      </c>
      <c r="H99" s="625"/>
      <c r="I99" s="625"/>
      <c r="J99" s="625"/>
      <c r="K99" s="626"/>
      <c r="L99" s="626">
        <f>'[1]3кв'!P87+'[1]1 полуг'!N86</f>
        <v>0</v>
      </c>
      <c r="M99" s="619">
        <f t="shared" si="15"/>
        <v>0</v>
      </c>
      <c r="N99" s="626">
        <f>'[1]3кв'!R87+'[1]1 полуг'!P86</f>
        <v>0</v>
      </c>
      <c r="O99" s="626"/>
      <c r="P99" s="626">
        <f>'[1]3кв'!S87+'[1]1 полуг'!R86</f>
        <v>0</v>
      </c>
      <c r="Q99" s="626">
        <f>'[1]3кв'!T87+'[1]1 полуг'!S86</f>
        <v>0</v>
      </c>
      <c r="R99" s="619">
        <f t="shared" si="16"/>
        <v>0</v>
      </c>
      <c r="T99" s="620"/>
      <c r="U99" s="621"/>
      <c r="V99" s="621"/>
    </row>
    <row r="100" spans="1:22" ht="16.5" customHeight="1">
      <c r="A100" s="633" t="s">
        <v>138</v>
      </c>
      <c r="B100" s="640">
        <v>290</v>
      </c>
      <c r="C100" s="625">
        <v>100</v>
      </c>
      <c r="D100" s="625"/>
      <c r="E100" s="625"/>
      <c r="F100" s="625">
        <f>'[1]3кв'!I91+'[1]1 полуг'!H93</f>
        <v>0</v>
      </c>
      <c r="G100" s="625">
        <f>'[1]3кв'!I91+'[1]1 полуг'!H93</f>
        <v>0</v>
      </c>
      <c r="H100" s="625"/>
      <c r="I100" s="625"/>
      <c r="J100" s="625"/>
      <c r="K100" s="626"/>
      <c r="L100" s="626">
        <f>'[1]1 полуг'!N93+'[1]3кв'!P91</f>
        <v>0</v>
      </c>
      <c r="M100" s="619">
        <f t="shared" si="15"/>
        <v>0</v>
      </c>
      <c r="N100" s="626">
        <f>'[1]3кв'!R91+'[1]1 полуг'!P93</f>
        <v>0</v>
      </c>
      <c r="O100" s="626"/>
      <c r="P100" s="626">
        <f>'[1]3кв'!S91</f>
        <v>0</v>
      </c>
      <c r="Q100" s="626">
        <f>'[1]3кв'!T91+'[1]1 полуг'!S93</f>
        <v>0</v>
      </c>
      <c r="R100" s="619">
        <f t="shared" si="16"/>
        <v>100</v>
      </c>
      <c r="T100" s="620"/>
      <c r="U100" s="621"/>
      <c r="V100" s="621"/>
    </row>
    <row r="101" spans="1:22" ht="12.75" customHeight="1">
      <c r="A101" s="633" t="s">
        <v>236</v>
      </c>
      <c r="B101" s="640">
        <v>291</v>
      </c>
      <c r="C101" s="625"/>
      <c r="D101" s="625"/>
      <c r="E101" s="625"/>
      <c r="F101" s="625">
        <f>'[1]3кв'!I90+'[1]1 полуг'!H89</f>
        <v>0</v>
      </c>
      <c r="G101" s="625">
        <f>'[1]3кв'!I90+'[1]1 полуг'!H89</f>
        <v>0</v>
      </c>
      <c r="H101" s="625"/>
      <c r="I101" s="625"/>
      <c r="J101" s="625"/>
      <c r="K101" s="626"/>
      <c r="L101" s="626">
        <f>'[1]3кв'!P90+'[1]1 полуг'!N89</f>
        <v>0</v>
      </c>
      <c r="M101" s="619">
        <f t="shared" si="15"/>
        <v>0</v>
      </c>
      <c r="N101" s="626">
        <f>'[1]3кв'!R90+'[1]1 полуг'!P89</f>
        <v>0</v>
      </c>
      <c r="O101" s="626"/>
      <c r="P101" s="626">
        <f>'[1]3кв'!S90+'[1]1 полуг'!R89</f>
        <v>0</v>
      </c>
      <c r="Q101" s="626">
        <f>'[1]3кв'!T90+'[1]1 полуг'!S89</f>
        <v>0</v>
      </c>
      <c r="R101" s="619">
        <f t="shared" si="16"/>
        <v>0</v>
      </c>
      <c r="T101" s="620"/>
      <c r="U101" s="621"/>
      <c r="V101" s="621"/>
    </row>
    <row r="102" spans="1:22" ht="17.25" customHeight="1">
      <c r="A102" s="633" t="s">
        <v>745</v>
      </c>
      <c r="B102" s="640">
        <v>290</v>
      </c>
      <c r="C102" s="625"/>
      <c r="D102" s="625"/>
      <c r="E102" s="625"/>
      <c r="F102" s="625">
        <f>'[1]1 полуг'!H92</f>
        <v>0</v>
      </c>
      <c r="G102" s="625">
        <f>'[1]1 полуг'!H92</f>
        <v>0</v>
      </c>
      <c r="H102" s="625"/>
      <c r="I102" s="625"/>
      <c r="J102" s="625">
        <f>'[1]1 полуг'!L92</f>
        <v>0</v>
      </c>
      <c r="K102" s="626"/>
      <c r="L102" s="626">
        <f>'[1]1 полуг'!N92</f>
        <v>0</v>
      </c>
      <c r="M102" s="619">
        <f t="shared" si="15"/>
        <v>0</v>
      </c>
      <c r="N102" s="626"/>
      <c r="O102" s="626"/>
      <c r="P102" s="626">
        <f>'[1]1 полуг'!R92</f>
        <v>0</v>
      </c>
      <c r="Q102" s="626">
        <f>'[1]1 полуг'!S92</f>
        <v>0</v>
      </c>
      <c r="R102" s="619">
        <f t="shared" si="16"/>
        <v>0</v>
      </c>
      <c r="T102" s="620"/>
      <c r="U102" s="621"/>
      <c r="V102" s="621"/>
    </row>
    <row r="103" spans="1:22" ht="15" customHeight="1">
      <c r="A103" s="633" t="s">
        <v>252</v>
      </c>
      <c r="B103" s="640">
        <v>290</v>
      </c>
      <c r="C103" s="625"/>
      <c r="D103" s="625"/>
      <c r="E103" s="625"/>
      <c r="F103" s="625">
        <f>'[1]1 полуг'!H87</f>
        <v>0</v>
      </c>
      <c r="G103" s="625">
        <f>'[1]1 полуг'!H87</f>
        <v>0</v>
      </c>
      <c r="H103" s="625"/>
      <c r="I103" s="625"/>
      <c r="J103" s="625">
        <v>7</v>
      </c>
      <c r="K103" s="626"/>
      <c r="L103" s="626">
        <f>'[1]1 полуг'!N87</f>
        <v>0</v>
      </c>
      <c r="M103" s="619">
        <f t="shared" si="15"/>
        <v>7</v>
      </c>
      <c r="N103" s="626">
        <f>'[1]1 полуг'!P87</f>
        <v>0</v>
      </c>
      <c r="O103" s="626"/>
      <c r="P103" s="626">
        <f>'[1]1 полуг'!R87</f>
        <v>0</v>
      </c>
      <c r="Q103" s="626">
        <f>'[1]1 полуг'!S87</f>
        <v>0</v>
      </c>
      <c r="R103" s="619">
        <f t="shared" si="16"/>
        <v>7</v>
      </c>
      <c r="T103" s="620"/>
      <c r="U103" s="621"/>
      <c r="V103" s="621"/>
    </row>
    <row r="104" spans="1:22" ht="12.75" customHeight="1">
      <c r="A104" s="633" t="s">
        <v>946</v>
      </c>
      <c r="B104" s="640">
        <v>290</v>
      </c>
      <c r="C104" s="625"/>
      <c r="D104" s="625">
        <v>36.5</v>
      </c>
      <c r="E104" s="625"/>
      <c r="F104" s="625">
        <f>'[1]1 полуг'!H88</f>
        <v>0</v>
      </c>
      <c r="G104" s="625">
        <f>'[1]1 полуг'!H88</f>
        <v>0</v>
      </c>
      <c r="H104" s="625"/>
      <c r="I104" s="625"/>
      <c r="J104" s="625"/>
      <c r="K104" s="626"/>
      <c r="L104" s="626">
        <f>'[1]1 полуг'!N88+'[1]3кв'!P88</f>
        <v>0</v>
      </c>
      <c r="M104" s="619">
        <f t="shared" si="15"/>
        <v>0</v>
      </c>
      <c r="N104" s="626">
        <f>'[1]1 полуг'!P88+'[1]3кв'!R88</f>
        <v>0</v>
      </c>
      <c r="O104" s="626"/>
      <c r="P104" s="626">
        <f>'[1]1 полуг'!R88</f>
        <v>0</v>
      </c>
      <c r="Q104" s="626">
        <f>'[1]1 полуг'!S88+'[1]3кв'!T88</f>
        <v>0</v>
      </c>
      <c r="R104" s="619">
        <f t="shared" si="16"/>
        <v>36.5</v>
      </c>
      <c r="T104" s="620"/>
      <c r="U104" s="621"/>
      <c r="V104" s="621"/>
    </row>
    <row r="105" spans="1:22">
      <c r="A105" s="633" t="s">
        <v>679</v>
      </c>
      <c r="B105" s="640">
        <v>290</v>
      </c>
      <c r="C105" s="625"/>
      <c r="D105" s="625"/>
      <c r="E105" s="625"/>
      <c r="F105" s="625">
        <f>'[1]1 полуг'!H90</f>
        <v>0</v>
      </c>
      <c r="G105" s="625">
        <f>'[1]1 полуг'!H90</f>
        <v>0</v>
      </c>
      <c r="H105" s="625"/>
      <c r="I105" s="625"/>
      <c r="J105" s="625">
        <f>'[1]1 полуг'!L90</f>
        <v>0</v>
      </c>
      <c r="K105" s="626"/>
      <c r="L105" s="626">
        <f>'[1]1 полуг'!N90</f>
        <v>0</v>
      </c>
      <c r="M105" s="619">
        <f t="shared" si="15"/>
        <v>0</v>
      </c>
      <c r="N105" s="626">
        <f>'[1]1 полуг'!P90</f>
        <v>0</v>
      </c>
      <c r="O105" s="626"/>
      <c r="P105" s="626">
        <f>'[1]1 полуг'!R90</f>
        <v>0</v>
      </c>
      <c r="Q105" s="626">
        <f>'[1]1 полуг'!S90</f>
        <v>0</v>
      </c>
      <c r="R105" s="619">
        <f t="shared" si="16"/>
        <v>0</v>
      </c>
      <c r="T105" s="620"/>
      <c r="U105" s="621"/>
      <c r="V105" s="621"/>
    </row>
    <row r="106" spans="1:22">
      <c r="A106" s="633" t="s">
        <v>746</v>
      </c>
      <c r="B106" s="640">
        <v>290</v>
      </c>
      <c r="C106" s="625"/>
      <c r="D106" s="625"/>
      <c r="E106" s="625"/>
      <c r="F106" s="625">
        <f>'[1]3кв'!I89+'[1]1 полуг'!H91</f>
        <v>0</v>
      </c>
      <c r="G106" s="625">
        <f>'[1]3кв'!I89+'[1]1 полуг'!H91</f>
        <v>0</v>
      </c>
      <c r="H106" s="625"/>
      <c r="I106" s="625"/>
      <c r="J106" s="625">
        <f>'[1]3кв'!N89+'[1]1 полуг'!L91</f>
        <v>0</v>
      </c>
      <c r="K106" s="626"/>
      <c r="L106" s="626">
        <f>'[1]3кв'!P89+'[1]1 полуг'!N91</f>
        <v>0</v>
      </c>
      <c r="M106" s="619">
        <f t="shared" si="15"/>
        <v>0</v>
      </c>
      <c r="N106" s="626">
        <f>'[1]3кв'!R89+'[1]1 полуг'!P91</f>
        <v>0</v>
      </c>
      <c r="O106" s="626"/>
      <c r="P106" s="626">
        <f>'[1]3кв'!S89+'[1]1 полуг'!R91</f>
        <v>0</v>
      </c>
      <c r="Q106" s="626">
        <f>'[1]3кв'!T89+'[1]1 полуг'!S91</f>
        <v>0</v>
      </c>
      <c r="R106" s="619">
        <f t="shared" si="16"/>
        <v>0</v>
      </c>
      <c r="T106" s="620"/>
      <c r="U106" s="621"/>
      <c r="V106" s="621"/>
    </row>
    <row r="107" spans="1:22">
      <c r="A107" s="633" t="s">
        <v>240</v>
      </c>
      <c r="B107" s="640">
        <v>290</v>
      </c>
      <c r="C107" s="625"/>
      <c r="D107" s="625"/>
      <c r="E107" s="625"/>
      <c r="F107" s="625">
        <f>'[1]1 полуг'!H94</f>
        <v>0</v>
      </c>
      <c r="G107" s="625">
        <f>'[1]1 полуг'!H94</f>
        <v>0</v>
      </c>
      <c r="H107" s="625"/>
      <c r="I107" s="625"/>
      <c r="J107" s="625">
        <f>'[1]1 полуг'!L94</f>
        <v>0</v>
      </c>
      <c r="K107" s="626"/>
      <c r="L107" s="626">
        <f>'[1]1 полуг'!N94</f>
        <v>0</v>
      </c>
      <c r="M107" s="619">
        <f t="shared" si="15"/>
        <v>0</v>
      </c>
      <c r="N107" s="626">
        <f>'[1]1 полуг'!P94</f>
        <v>0</v>
      </c>
      <c r="O107" s="626"/>
      <c r="P107" s="626">
        <f>'[1]1 полуг'!R94</f>
        <v>0</v>
      </c>
      <c r="Q107" s="626">
        <f>'[1]1 полуг'!S94</f>
        <v>0</v>
      </c>
      <c r="R107" s="619">
        <f t="shared" si="16"/>
        <v>0</v>
      </c>
      <c r="T107" s="620"/>
      <c r="U107" s="621"/>
      <c r="V107" s="621"/>
    </row>
    <row r="108" spans="1:22" ht="12.75" customHeight="1">
      <c r="A108" s="633" t="s">
        <v>140</v>
      </c>
      <c r="B108" s="640">
        <v>290</v>
      </c>
      <c r="C108" s="625"/>
      <c r="D108" s="625"/>
      <c r="E108" s="625"/>
      <c r="F108" s="625">
        <f>'[1]3кв'!I92+'[1]1 полуг'!H95</f>
        <v>0</v>
      </c>
      <c r="G108" s="625">
        <f>'[1]3кв'!I92+'[1]1 полуг'!H95</f>
        <v>0</v>
      </c>
      <c r="H108" s="625"/>
      <c r="I108" s="625"/>
      <c r="J108" s="625">
        <f>'[1]3кв'!N92+'[1]1 полуг'!L95</f>
        <v>0</v>
      </c>
      <c r="K108" s="626"/>
      <c r="L108" s="626">
        <f>'[1]3кв'!P92+'[1]1 полуг'!N95</f>
        <v>0</v>
      </c>
      <c r="M108" s="619">
        <f t="shared" si="15"/>
        <v>0</v>
      </c>
      <c r="N108" s="626">
        <f>'[1]3кв'!R92+'[1]1 полуг'!P95</f>
        <v>0</v>
      </c>
      <c r="O108" s="626"/>
      <c r="P108" s="626">
        <f>'[1]3кв'!S92+'[1]1 полуг'!R95</f>
        <v>0</v>
      </c>
      <c r="Q108" s="626">
        <f>'[1]3кв'!T92+'[1]1 полуг'!S95</f>
        <v>0</v>
      </c>
      <c r="R108" s="619">
        <f t="shared" si="16"/>
        <v>0</v>
      </c>
      <c r="T108" s="620"/>
      <c r="U108" s="621"/>
      <c r="V108" s="621"/>
    </row>
    <row r="109" spans="1:22" ht="12.75" customHeight="1">
      <c r="A109" s="633" t="s">
        <v>747</v>
      </c>
      <c r="B109" s="640">
        <v>290</v>
      </c>
      <c r="C109" s="625"/>
      <c r="D109" s="625"/>
      <c r="E109" s="625"/>
      <c r="F109" s="625">
        <f>'[1]1 полуг'!H96</f>
        <v>0</v>
      </c>
      <c r="G109" s="625">
        <f>'[1]1 полуг'!H96</f>
        <v>0</v>
      </c>
      <c r="H109" s="625"/>
      <c r="I109" s="625"/>
      <c r="J109" s="625">
        <f>'[1]1 полуг'!L96</f>
        <v>0</v>
      </c>
      <c r="K109" s="626"/>
      <c r="L109" s="626">
        <f>'[1]1 полуг'!N96</f>
        <v>0</v>
      </c>
      <c r="M109" s="619">
        <f t="shared" si="15"/>
        <v>0</v>
      </c>
      <c r="N109" s="626">
        <f>'[1]1 полуг'!P96</f>
        <v>0</v>
      </c>
      <c r="O109" s="626"/>
      <c r="P109" s="626">
        <f>'[1]1 полуг'!R96</f>
        <v>0</v>
      </c>
      <c r="Q109" s="626">
        <f>'[1]1 полуг'!S96</f>
        <v>0</v>
      </c>
      <c r="R109" s="619">
        <f t="shared" si="16"/>
        <v>0</v>
      </c>
      <c r="T109" s="620"/>
      <c r="U109" s="621"/>
      <c r="V109" s="621"/>
    </row>
    <row r="110" spans="1:22" s="630" customFormat="1" ht="12.75" customHeight="1">
      <c r="A110" s="398" t="s">
        <v>947</v>
      </c>
      <c r="B110" s="642">
        <v>310</v>
      </c>
      <c r="C110" s="619">
        <f t="shared" ref="C110:Q110" si="20">SUM(C111:C117)</f>
        <v>258.74666999999999</v>
      </c>
      <c r="D110" s="619">
        <f t="shared" si="20"/>
        <v>0</v>
      </c>
      <c r="E110" s="619">
        <f t="shared" si="20"/>
        <v>0</v>
      </c>
      <c r="F110" s="619">
        <f t="shared" si="20"/>
        <v>0</v>
      </c>
      <c r="G110" s="619">
        <f t="shared" si="20"/>
        <v>0</v>
      </c>
      <c r="H110" s="619">
        <f t="shared" si="20"/>
        <v>0</v>
      </c>
      <c r="I110" s="619">
        <f t="shared" si="20"/>
        <v>0</v>
      </c>
      <c r="J110" s="619">
        <f t="shared" si="20"/>
        <v>0</v>
      </c>
      <c r="K110" s="619">
        <f t="shared" si="20"/>
        <v>0</v>
      </c>
      <c r="L110" s="619">
        <f t="shared" si="20"/>
        <v>0</v>
      </c>
      <c r="M110" s="619">
        <f t="shared" si="20"/>
        <v>0</v>
      </c>
      <c r="N110" s="619">
        <f t="shared" si="20"/>
        <v>0</v>
      </c>
      <c r="O110" s="619">
        <f t="shared" si="20"/>
        <v>0</v>
      </c>
      <c r="P110" s="619">
        <f t="shared" si="20"/>
        <v>0</v>
      </c>
      <c r="Q110" s="619">
        <f t="shared" si="20"/>
        <v>85.497</v>
      </c>
      <c r="R110" s="619">
        <f t="shared" si="16"/>
        <v>344.24367000000001</v>
      </c>
      <c r="T110" s="628"/>
      <c r="U110" s="629"/>
      <c r="V110" s="629"/>
    </row>
    <row r="111" spans="1:22" s="630" customFormat="1" ht="12.75" customHeight="1">
      <c r="A111" s="633" t="s">
        <v>748</v>
      </c>
      <c r="B111" s="640">
        <v>310</v>
      </c>
      <c r="C111" s="619"/>
      <c r="D111" s="619"/>
      <c r="E111" s="619"/>
      <c r="F111" s="619"/>
      <c r="G111" s="619"/>
      <c r="H111" s="619"/>
      <c r="I111" s="619"/>
      <c r="J111" s="619"/>
      <c r="K111" s="618">
        <f>'[1]1 полуг'!M99</f>
        <v>0</v>
      </c>
      <c r="L111" s="618">
        <f>'[1]3кв'!P93+'[1]1 полуг'!N99</f>
        <v>0</v>
      </c>
      <c r="M111" s="619">
        <f t="shared" si="15"/>
        <v>0</v>
      </c>
      <c r="N111" s="618"/>
      <c r="O111" s="618"/>
      <c r="P111" s="618">
        <f>'[1]3кв'!S93+'[1]1 полуг'!R99</f>
        <v>0</v>
      </c>
      <c r="Q111" s="626">
        <f>'[1]3кв'!T93+'[1]1 полуг'!S99</f>
        <v>0</v>
      </c>
      <c r="R111" s="619">
        <f t="shared" si="16"/>
        <v>0</v>
      </c>
      <c r="S111" s="620"/>
      <c r="T111" s="620"/>
      <c r="U111" s="621"/>
      <c r="V111" s="621"/>
    </row>
    <row r="112" spans="1:22" s="630" customFormat="1" ht="12.75" customHeight="1">
      <c r="A112" s="633" t="s">
        <v>749</v>
      </c>
      <c r="B112" s="640">
        <v>310</v>
      </c>
      <c r="C112" s="619"/>
      <c r="D112" s="619"/>
      <c r="E112" s="619"/>
      <c r="F112" s="619"/>
      <c r="G112" s="619"/>
      <c r="H112" s="619"/>
      <c r="I112" s="619"/>
      <c r="J112" s="619"/>
      <c r="K112" s="618"/>
      <c r="L112" s="618">
        <f>'[1]1 полуг'!N100</f>
        <v>0</v>
      </c>
      <c r="M112" s="619">
        <f t="shared" si="15"/>
        <v>0</v>
      </c>
      <c r="N112" s="618"/>
      <c r="O112" s="618"/>
      <c r="P112" s="618">
        <f>'[1]1 полуг'!R100</f>
        <v>0</v>
      </c>
      <c r="Q112" s="626">
        <f>'[1]1 полуг'!S100</f>
        <v>0</v>
      </c>
      <c r="R112" s="619">
        <f t="shared" si="16"/>
        <v>0</v>
      </c>
      <c r="S112" s="620"/>
      <c r="T112" s="620"/>
      <c r="U112" s="621"/>
      <c r="V112" s="621"/>
    </row>
    <row r="113" spans="1:22" s="630" customFormat="1" ht="12.75" customHeight="1">
      <c r="A113" s="633" t="s">
        <v>175</v>
      </c>
      <c r="B113" s="640">
        <v>310</v>
      </c>
      <c r="C113" s="619"/>
      <c r="D113" s="619"/>
      <c r="E113" s="619"/>
      <c r="F113" s="619"/>
      <c r="G113" s="619"/>
      <c r="H113" s="619"/>
      <c r="I113" s="619"/>
      <c r="J113" s="625"/>
      <c r="K113" s="618">
        <f>'[1]3кв'!N95+'[1]1 полуг'!M101</f>
        <v>0</v>
      </c>
      <c r="L113" s="618">
        <f>'[1]3кв'!P95+'[1]1 полуг'!N101</f>
        <v>0</v>
      </c>
      <c r="M113" s="619">
        <f t="shared" si="15"/>
        <v>0</v>
      </c>
      <c r="N113" s="618"/>
      <c r="O113" s="618">
        <f>'[1]3кв'!S95+'[1]1 полуг'!Q101</f>
        <v>0</v>
      </c>
      <c r="P113" s="618">
        <f>'[1]3кв'!S95+'[1]1 полуг'!R101</f>
        <v>0</v>
      </c>
      <c r="Q113" s="626">
        <f>'[1]3кв'!T95+'[1]1 полуг'!S101</f>
        <v>0</v>
      </c>
      <c r="R113" s="619">
        <f t="shared" si="16"/>
        <v>0</v>
      </c>
      <c r="S113" s="620"/>
      <c r="T113" s="620"/>
      <c r="U113" s="621"/>
      <c r="V113" s="621"/>
    </row>
    <row r="114" spans="1:22" s="630" customFormat="1" ht="12.75" customHeight="1">
      <c r="A114" s="633" t="s">
        <v>397</v>
      </c>
      <c r="B114" s="640">
        <v>310</v>
      </c>
      <c r="C114" s="625">
        <f>252.74667+6</f>
        <v>258.74666999999999</v>
      </c>
      <c r="D114" s="619"/>
      <c r="E114" s="619"/>
      <c r="F114" s="619"/>
      <c r="G114" s="619"/>
      <c r="H114" s="619"/>
      <c r="I114" s="625"/>
      <c r="J114" s="619"/>
      <c r="K114" s="619">
        <f t="shared" ref="K114:P114" si="21">+K117</f>
        <v>0</v>
      </c>
      <c r="L114" s="619">
        <f t="shared" si="21"/>
        <v>0</v>
      </c>
      <c r="M114" s="619">
        <f t="shared" si="15"/>
        <v>0</v>
      </c>
      <c r="N114" s="619"/>
      <c r="O114" s="619">
        <f t="shared" si="21"/>
        <v>0</v>
      </c>
      <c r="P114" s="619">
        <f t="shared" si="21"/>
        <v>0</v>
      </c>
      <c r="Q114" s="625">
        <v>85.497</v>
      </c>
      <c r="R114" s="619">
        <f t="shared" si="16"/>
        <v>344.24367000000001</v>
      </c>
      <c r="S114" s="620"/>
      <c r="T114" s="620"/>
      <c r="U114" s="621"/>
      <c r="V114" s="621"/>
    </row>
    <row r="115" spans="1:22" s="630" customFormat="1" ht="12.75" customHeight="1">
      <c r="A115" s="633" t="s">
        <v>743</v>
      </c>
      <c r="B115" s="640">
        <v>310</v>
      </c>
      <c r="C115" s="619"/>
      <c r="D115" s="619"/>
      <c r="E115" s="619"/>
      <c r="F115" s="619"/>
      <c r="G115" s="619"/>
      <c r="H115" s="619"/>
      <c r="I115" s="619"/>
      <c r="J115" s="619"/>
      <c r="K115" s="619"/>
      <c r="L115" s="619">
        <f>'[1]1 полуг'!N105</f>
        <v>0</v>
      </c>
      <c r="M115" s="619">
        <f t="shared" si="15"/>
        <v>0</v>
      </c>
      <c r="N115" s="619"/>
      <c r="O115" s="619"/>
      <c r="P115" s="619">
        <f>'[1]1 полуг'!R105</f>
        <v>0</v>
      </c>
      <c r="Q115" s="625">
        <f>'[1]1 полуг'!S105</f>
        <v>0</v>
      </c>
      <c r="R115" s="619">
        <f t="shared" si="16"/>
        <v>0</v>
      </c>
      <c r="S115" s="620"/>
      <c r="T115" s="620"/>
      <c r="U115" s="621"/>
      <c r="V115" s="621"/>
    </row>
    <row r="116" spans="1:22" s="630" customFormat="1" ht="12.75" customHeight="1">
      <c r="A116" s="633" t="s">
        <v>750</v>
      </c>
      <c r="B116" s="640">
        <v>310</v>
      </c>
      <c r="C116" s="619"/>
      <c r="D116" s="619"/>
      <c r="E116" s="619"/>
      <c r="F116" s="619"/>
      <c r="G116" s="619"/>
      <c r="H116" s="619"/>
      <c r="I116" s="619"/>
      <c r="J116" s="619"/>
      <c r="K116" s="619"/>
      <c r="L116" s="619"/>
      <c r="M116" s="619">
        <f t="shared" si="15"/>
        <v>0</v>
      </c>
      <c r="N116" s="619"/>
      <c r="O116" s="619"/>
      <c r="P116" s="619"/>
      <c r="Q116" s="619"/>
      <c r="R116" s="619">
        <f t="shared" si="16"/>
        <v>0</v>
      </c>
      <c r="S116" s="620"/>
      <c r="T116" s="620"/>
      <c r="U116" s="621"/>
      <c r="V116" s="621"/>
    </row>
    <row r="117" spans="1:22">
      <c r="A117" s="633" t="s">
        <v>778</v>
      </c>
      <c r="B117" s="640">
        <v>310</v>
      </c>
      <c r="C117" s="625"/>
      <c r="D117" s="619"/>
      <c r="E117" s="625"/>
      <c r="F117" s="619">
        <f>'[1]3кв'!I96+'[1]1 полуг'!H102</f>
        <v>0</v>
      </c>
      <c r="G117" s="619">
        <f>'[1]3кв'!I96+'[1]1 полуг'!H102</f>
        <v>0</v>
      </c>
      <c r="H117" s="619"/>
      <c r="I117" s="619"/>
      <c r="J117" s="625"/>
      <c r="K117" s="619"/>
      <c r="L117" s="619">
        <f>'[1]3кв'!P96+'[1]1 полуг'!N102</f>
        <v>0</v>
      </c>
      <c r="M117" s="619">
        <f t="shared" si="15"/>
        <v>0</v>
      </c>
      <c r="N117" s="619"/>
      <c r="O117" s="619"/>
      <c r="P117" s="619"/>
      <c r="Q117" s="619"/>
      <c r="R117" s="619">
        <f t="shared" si="16"/>
        <v>0</v>
      </c>
      <c r="S117" s="620"/>
      <c r="T117" s="620"/>
      <c r="U117" s="621"/>
      <c r="V117" s="621"/>
    </row>
    <row r="118" spans="1:22" ht="12.75" customHeight="1">
      <c r="A118" s="645" t="s">
        <v>141</v>
      </c>
      <c r="B118" s="642">
        <v>340</v>
      </c>
      <c r="C118" s="619">
        <f>SUM(C119:C138)</f>
        <v>273.09000000000003</v>
      </c>
      <c r="D118" s="619">
        <f>SUM(D119:D136)</f>
        <v>0</v>
      </c>
      <c r="E118" s="619">
        <f>SUM(E119:E138)</f>
        <v>11.37</v>
      </c>
      <c r="F118" s="619">
        <f t="shared" ref="F118:H118" si="22">SUM(F119:F136)</f>
        <v>0</v>
      </c>
      <c r="G118" s="619">
        <f t="shared" si="22"/>
        <v>0</v>
      </c>
      <c r="H118" s="619">
        <f t="shared" si="22"/>
        <v>3.1</v>
      </c>
      <c r="I118" s="619">
        <f>SUM(I119:I138)</f>
        <v>244.55425000000002</v>
      </c>
      <c r="J118" s="619">
        <f t="shared" ref="J118:Q118" si="23">SUM(J119:J138)</f>
        <v>325.67399999999998</v>
      </c>
      <c r="K118" s="619">
        <f t="shared" si="23"/>
        <v>0</v>
      </c>
      <c r="L118" s="619">
        <f t="shared" si="23"/>
        <v>0</v>
      </c>
      <c r="M118" s="619">
        <f t="shared" si="23"/>
        <v>325.67399999999998</v>
      </c>
      <c r="N118" s="619">
        <f t="shared" si="23"/>
        <v>0</v>
      </c>
      <c r="O118" s="619">
        <f t="shared" si="23"/>
        <v>0</v>
      </c>
      <c r="P118" s="619">
        <f t="shared" si="23"/>
        <v>70.254000000000005</v>
      </c>
      <c r="Q118" s="619">
        <f t="shared" si="23"/>
        <v>0</v>
      </c>
      <c r="R118" s="619">
        <f t="shared" si="16"/>
        <v>928.04225000000008</v>
      </c>
      <c r="S118" s="620"/>
      <c r="T118" s="620"/>
      <c r="U118" s="621"/>
      <c r="V118" s="621"/>
    </row>
    <row r="119" spans="1:22" ht="12.75" customHeight="1">
      <c r="A119" s="636" t="s">
        <v>142</v>
      </c>
      <c r="B119" s="640">
        <v>340</v>
      </c>
      <c r="C119" s="625"/>
      <c r="D119" s="626"/>
      <c r="E119" s="626"/>
      <c r="F119" s="626">
        <f>'[1]1 полуг'!H107</f>
        <v>0</v>
      </c>
      <c r="G119" s="626">
        <f>'[1]1 полуг'!H107</f>
        <v>0</v>
      </c>
      <c r="H119" s="626"/>
      <c r="I119" s="626"/>
      <c r="J119" s="625"/>
      <c r="K119" s="625"/>
      <c r="L119" s="625">
        <f>'[1]1 полуг'!N107</f>
        <v>0</v>
      </c>
      <c r="M119" s="625">
        <f t="shared" si="15"/>
        <v>0</v>
      </c>
      <c r="N119" s="625">
        <f>'[1]1 полуг'!P107</f>
        <v>0</v>
      </c>
      <c r="O119" s="625"/>
      <c r="P119" s="625">
        <f>'[1]1 полуг'!R107</f>
        <v>0</v>
      </c>
      <c r="Q119" s="625">
        <f>'[1]1 полуг'!S107</f>
        <v>0</v>
      </c>
      <c r="R119" s="619">
        <f t="shared" si="16"/>
        <v>0</v>
      </c>
      <c r="T119" s="620"/>
      <c r="U119" s="621"/>
      <c r="V119" s="621"/>
    </row>
    <row r="120" spans="1:22" ht="14.25" customHeight="1">
      <c r="A120" s="636" t="s">
        <v>143</v>
      </c>
      <c r="B120" s="640">
        <v>340</v>
      </c>
      <c r="C120" s="625"/>
      <c r="D120" s="626"/>
      <c r="E120" s="626"/>
      <c r="F120" s="626">
        <f>'[1]1 полуг'!H108</f>
        <v>0</v>
      </c>
      <c r="G120" s="626">
        <f>'[1]1 полуг'!H108</f>
        <v>0</v>
      </c>
      <c r="H120" s="626"/>
      <c r="I120" s="626"/>
      <c r="J120" s="625">
        <v>144</v>
      </c>
      <c r="K120" s="625">
        <f>'[1]3кв'!O99</f>
        <v>0</v>
      </c>
      <c r="L120" s="625">
        <f>'[1]1 полуг'!N108</f>
        <v>0</v>
      </c>
      <c r="M120" s="625">
        <f t="shared" si="15"/>
        <v>144</v>
      </c>
      <c r="N120" s="625">
        <f>'[1]1 полуг'!P108</f>
        <v>0</v>
      </c>
      <c r="O120" s="625"/>
      <c r="P120" s="625">
        <v>13.535</v>
      </c>
      <c r="Q120" s="625">
        <f>'[1]1 полуг'!S108</f>
        <v>0</v>
      </c>
      <c r="R120" s="619">
        <f t="shared" si="16"/>
        <v>157.535</v>
      </c>
      <c r="T120" s="620"/>
      <c r="U120" s="621"/>
      <c r="V120" s="621"/>
    </row>
    <row r="121" spans="1:22" ht="15" customHeight="1">
      <c r="A121" s="636" t="s">
        <v>144</v>
      </c>
      <c r="B121" s="640">
        <v>340</v>
      </c>
      <c r="C121" s="625"/>
      <c r="D121" s="626"/>
      <c r="E121" s="626"/>
      <c r="F121" s="626">
        <f>'[1]1 полуг'!H109</f>
        <v>0</v>
      </c>
      <c r="G121" s="626">
        <f>'[1]1 полуг'!H109</f>
        <v>0</v>
      </c>
      <c r="H121" s="626"/>
      <c r="I121" s="626"/>
      <c r="J121" s="625">
        <v>44.783999999999999</v>
      </c>
      <c r="K121" s="625"/>
      <c r="L121" s="625">
        <f>'[1]1 полуг'!N109</f>
        <v>0</v>
      </c>
      <c r="M121" s="625">
        <f t="shared" si="15"/>
        <v>44.783999999999999</v>
      </c>
      <c r="N121" s="625">
        <f>'[1]1 полуг'!P109</f>
        <v>0</v>
      </c>
      <c r="O121" s="625"/>
      <c r="P121" s="625"/>
      <c r="Q121" s="625">
        <f>'[1]1 полуг'!S109</f>
        <v>0</v>
      </c>
      <c r="R121" s="619">
        <f t="shared" si="16"/>
        <v>44.783999999999999</v>
      </c>
      <c r="T121" s="620"/>
      <c r="U121" s="621"/>
      <c r="V121" s="621"/>
    </row>
    <row r="122" spans="1:22" ht="15" customHeight="1">
      <c r="A122" s="636" t="s">
        <v>145</v>
      </c>
      <c r="B122" s="640">
        <v>340</v>
      </c>
      <c r="C122" s="625">
        <v>194.29</v>
      </c>
      <c r="D122" s="626"/>
      <c r="E122" s="626">
        <v>11.37</v>
      </c>
      <c r="F122" s="626">
        <f>'[1]3кв'!I101+'[1]1 полуг'!H110</f>
        <v>0</v>
      </c>
      <c r="G122" s="626">
        <f>'[1]3кв'!I101+'[1]1 полуг'!H110</f>
        <v>0</v>
      </c>
      <c r="H122" s="626"/>
      <c r="I122" s="626"/>
      <c r="J122" s="626">
        <v>106</v>
      </c>
      <c r="K122" s="625"/>
      <c r="L122" s="625">
        <f>'[1]3кв'!P101+'[1]1 полуг'!N110</f>
        <v>0</v>
      </c>
      <c r="M122" s="625">
        <f t="shared" si="15"/>
        <v>106</v>
      </c>
      <c r="N122" s="625">
        <f>'[1]3кв'!R101+'[1]1 полуг'!P110</f>
        <v>0</v>
      </c>
      <c r="O122" s="625"/>
      <c r="P122" s="625">
        <v>3.6190000000000002</v>
      </c>
      <c r="Q122" s="625"/>
      <c r="R122" s="619">
        <f t="shared" si="16"/>
        <v>315.279</v>
      </c>
      <c r="T122" s="620"/>
      <c r="U122" s="621"/>
      <c r="V122" s="621"/>
    </row>
    <row r="123" spans="1:22" ht="12.75" customHeight="1">
      <c r="A123" s="636" t="s">
        <v>680</v>
      </c>
      <c r="B123" s="640">
        <v>341</v>
      </c>
      <c r="C123" s="625"/>
      <c r="D123" s="626"/>
      <c r="E123" s="626"/>
      <c r="F123" s="626">
        <f>'[1]1 полуг'!H111</f>
        <v>0</v>
      </c>
      <c r="G123" s="626">
        <f>'[1]1 полуг'!H111</f>
        <v>0</v>
      </c>
      <c r="H123" s="626"/>
      <c r="I123" s="626"/>
      <c r="J123" s="626"/>
      <c r="K123" s="625"/>
      <c r="L123" s="625">
        <f>'[1]1 полуг'!N111</f>
        <v>0</v>
      </c>
      <c r="M123" s="625">
        <f t="shared" si="15"/>
        <v>0</v>
      </c>
      <c r="N123" s="625">
        <f>'[1]1 полуг'!P111</f>
        <v>0</v>
      </c>
      <c r="O123" s="625"/>
      <c r="P123" s="625"/>
      <c r="Q123" s="625">
        <f>'[1]1 полуг'!S111</f>
        <v>0</v>
      </c>
      <c r="R123" s="619">
        <f t="shared" si="16"/>
        <v>0</v>
      </c>
      <c r="T123" s="620"/>
      <c r="U123" s="621"/>
      <c r="V123" s="621"/>
    </row>
    <row r="124" spans="1:22" ht="13.5" customHeight="1">
      <c r="A124" s="636" t="s">
        <v>146</v>
      </c>
      <c r="B124" s="640">
        <v>340</v>
      </c>
      <c r="C124" s="625"/>
      <c r="D124" s="626"/>
      <c r="E124" s="626"/>
      <c r="F124" s="626">
        <f>'[1]3кв'!I102+'[1]1 полуг'!H112</f>
        <v>0</v>
      </c>
      <c r="G124" s="626">
        <f>'[1]3кв'!I102+'[1]1 полуг'!H112</f>
        <v>0</v>
      </c>
      <c r="H124" s="626"/>
      <c r="I124" s="626"/>
      <c r="J124" s="626"/>
      <c r="K124" s="625"/>
      <c r="L124" s="625"/>
      <c r="M124" s="625">
        <f t="shared" si="15"/>
        <v>0</v>
      </c>
      <c r="N124" s="625">
        <f>'[1]3кв'!R102+'[1]1 полуг'!P112</f>
        <v>0</v>
      </c>
      <c r="O124" s="625"/>
      <c r="P124" s="625"/>
      <c r="Q124" s="625">
        <f>'[1]3кв'!T102+'[1]1 полуг'!S112</f>
        <v>0</v>
      </c>
      <c r="R124" s="619">
        <f t="shared" si="16"/>
        <v>0</v>
      </c>
      <c r="T124" s="620"/>
      <c r="U124" s="621"/>
      <c r="V124" s="621"/>
    </row>
    <row r="125" spans="1:22" ht="14.25" customHeight="1">
      <c r="A125" s="636" t="s">
        <v>297</v>
      </c>
      <c r="B125" s="640">
        <v>340</v>
      </c>
      <c r="C125" s="625">
        <v>19.8</v>
      </c>
      <c r="D125" s="626"/>
      <c r="E125" s="626"/>
      <c r="F125" s="626">
        <v>0</v>
      </c>
      <c r="G125" s="626">
        <f>'[1]3кв'!I103</f>
        <v>0</v>
      </c>
      <c r="H125" s="626"/>
      <c r="I125" s="626"/>
      <c r="J125" s="626"/>
      <c r="K125" s="625"/>
      <c r="L125" s="625">
        <f>'[1]3кв'!P103+'[1]1 полуг'!N122</f>
        <v>0</v>
      </c>
      <c r="M125" s="625">
        <f t="shared" si="15"/>
        <v>0</v>
      </c>
      <c r="N125" s="625">
        <f>'[1]3кв'!R103</f>
        <v>0</v>
      </c>
      <c r="O125" s="625"/>
      <c r="P125" s="625">
        <f>'[1]3кв'!S103</f>
        <v>0</v>
      </c>
      <c r="Q125" s="625">
        <f>'[1]3кв'!T103</f>
        <v>0</v>
      </c>
      <c r="R125" s="619">
        <f t="shared" si="16"/>
        <v>19.8</v>
      </c>
      <c r="T125" s="620"/>
      <c r="U125" s="621"/>
      <c r="V125" s="621"/>
    </row>
    <row r="126" spans="1:22" ht="15" customHeight="1">
      <c r="A126" s="636" t="s">
        <v>147</v>
      </c>
      <c r="B126" s="640">
        <v>340</v>
      </c>
      <c r="C126" s="625">
        <v>44</v>
      </c>
      <c r="D126" s="626"/>
      <c r="E126" s="626"/>
      <c r="F126" s="626">
        <v>0</v>
      </c>
      <c r="G126" s="626">
        <f>'[1]3кв'!I104+'[1]1 полуг'!H113</f>
        <v>0</v>
      </c>
      <c r="H126" s="626">
        <v>3.1</v>
      </c>
      <c r="I126" s="626"/>
      <c r="J126" s="626">
        <v>12.83</v>
      </c>
      <c r="K126" s="625"/>
      <c r="L126" s="625">
        <f>'[1]3кв'!P104+'[1]1 полуг'!N113</f>
        <v>0</v>
      </c>
      <c r="M126" s="625">
        <f t="shared" si="15"/>
        <v>12.83</v>
      </c>
      <c r="N126" s="625">
        <f>'[1]3кв'!R104+'[1]1 полуг'!P113</f>
        <v>0</v>
      </c>
      <c r="O126" s="625"/>
      <c r="P126" s="625">
        <f>'[1]3кв'!S104+'[1]1 полуг'!R113</f>
        <v>0</v>
      </c>
      <c r="Q126" s="625"/>
      <c r="R126" s="619">
        <f t="shared" si="16"/>
        <v>59.93</v>
      </c>
      <c r="S126" s="646"/>
      <c r="T126" s="620"/>
      <c r="U126" s="621"/>
      <c r="V126" s="621"/>
    </row>
    <row r="127" spans="1:22" ht="12.75" customHeight="1">
      <c r="A127" s="636" t="s">
        <v>948</v>
      </c>
      <c r="B127" s="640">
        <v>340</v>
      </c>
      <c r="C127" s="637"/>
      <c r="D127" s="626"/>
      <c r="E127" s="626"/>
      <c r="F127" s="626"/>
      <c r="G127" s="626"/>
      <c r="H127" s="626"/>
      <c r="I127" s="626"/>
      <c r="J127" s="626"/>
      <c r="K127" s="625"/>
      <c r="L127" s="625"/>
      <c r="M127" s="625">
        <f t="shared" si="15"/>
        <v>0</v>
      </c>
      <c r="N127" s="625"/>
      <c r="O127" s="625"/>
      <c r="P127" s="625">
        <v>53.1</v>
      </c>
      <c r="Q127" s="625"/>
      <c r="R127" s="619">
        <f t="shared" si="16"/>
        <v>53.1</v>
      </c>
      <c r="S127" s="646"/>
      <c r="T127" s="620"/>
      <c r="U127" s="621"/>
      <c r="V127" s="621"/>
    </row>
    <row r="128" spans="1:22" ht="11.25" customHeight="1">
      <c r="A128" s="636" t="s">
        <v>148</v>
      </c>
      <c r="B128" s="640">
        <v>340</v>
      </c>
      <c r="C128" s="625"/>
      <c r="D128" s="626"/>
      <c r="E128" s="626"/>
      <c r="F128" s="626">
        <f>'[1]3кв'!I106+'[1]1 полуг'!H114</f>
        <v>0</v>
      </c>
      <c r="G128" s="626">
        <f>'[1]3кв'!I106+'[1]1 полуг'!H114</f>
        <v>0</v>
      </c>
      <c r="H128" s="626"/>
      <c r="I128" s="626"/>
      <c r="J128" s="626">
        <v>10.9</v>
      </c>
      <c r="K128" s="625"/>
      <c r="L128" s="625">
        <f>'[1]3кв'!P106+'[1]1 полуг'!N114</f>
        <v>0</v>
      </c>
      <c r="M128" s="625">
        <f t="shared" si="15"/>
        <v>10.9</v>
      </c>
      <c r="N128" s="625">
        <f>'[1]3кв'!R106+'[1]1 полуг'!P114</f>
        <v>0</v>
      </c>
      <c r="O128" s="625"/>
      <c r="P128" s="625"/>
      <c r="Q128" s="625">
        <f>'[1]3кв'!T106+'[1]1 полуг'!S114</f>
        <v>0</v>
      </c>
      <c r="R128" s="619">
        <f t="shared" si="16"/>
        <v>10.9</v>
      </c>
      <c r="S128" s="646"/>
      <c r="T128" s="620"/>
      <c r="U128" s="621"/>
      <c r="V128" s="621"/>
    </row>
    <row r="129" spans="1:22">
      <c r="A129" s="636" t="s">
        <v>285</v>
      </c>
      <c r="B129" s="640">
        <v>340</v>
      </c>
      <c r="C129" s="625"/>
      <c r="D129" s="626"/>
      <c r="E129" s="626"/>
      <c r="F129" s="626">
        <f>'[1]1 полуг'!H115</f>
        <v>0</v>
      </c>
      <c r="G129" s="626">
        <f>'[1]1 полуг'!H115</f>
        <v>0</v>
      </c>
      <c r="H129" s="626"/>
      <c r="I129" s="626"/>
      <c r="J129" s="626"/>
      <c r="K129" s="625"/>
      <c r="L129" s="625">
        <f>'[1]1 полуг'!N115</f>
        <v>0</v>
      </c>
      <c r="M129" s="625">
        <f t="shared" si="15"/>
        <v>0</v>
      </c>
      <c r="N129" s="625">
        <f>'[1]1 полуг'!P115</f>
        <v>0</v>
      </c>
      <c r="O129" s="625"/>
      <c r="P129" s="625"/>
      <c r="Q129" s="625">
        <f>'[1]1 полуг'!S115</f>
        <v>0</v>
      </c>
      <c r="R129" s="619">
        <f t="shared" si="16"/>
        <v>0</v>
      </c>
      <c r="T129" s="620"/>
      <c r="U129" s="621"/>
      <c r="V129" s="621"/>
    </row>
    <row r="130" spans="1:22">
      <c r="A130" s="636" t="s">
        <v>149</v>
      </c>
      <c r="B130" s="640">
        <v>340</v>
      </c>
      <c r="C130" s="625">
        <v>15</v>
      </c>
      <c r="D130" s="626"/>
      <c r="E130" s="626"/>
      <c r="F130" s="626">
        <f>'[1]3кв'!I109+'[1]1 полуг'!H120</f>
        <v>0</v>
      </c>
      <c r="G130" s="626">
        <f>'[1]3кв'!I109+'[1]1 полуг'!H120</f>
        <v>0</v>
      </c>
      <c r="H130" s="626"/>
      <c r="I130" s="626">
        <f>141.5132+103.04105</f>
        <v>244.55425000000002</v>
      </c>
      <c r="J130" s="626">
        <v>7.16</v>
      </c>
      <c r="K130" s="625"/>
      <c r="L130" s="625"/>
      <c r="M130" s="625">
        <f t="shared" si="15"/>
        <v>7.16</v>
      </c>
      <c r="N130" s="625">
        <f>'[1]3кв'!R109+'[1]1 полуг'!P120</f>
        <v>0</v>
      </c>
      <c r="O130" s="625"/>
      <c r="P130" s="625"/>
      <c r="Q130" s="625"/>
      <c r="R130" s="619">
        <f t="shared" si="16"/>
        <v>266.71425000000005</v>
      </c>
      <c r="T130" s="620"/>
      <c r="U130" s="621"/>
      <c r="V130" s="621"/>
    </row>
    <row r="131" spans="1:22">
      <c r="A131" s="636" t="s">
        <v>176</v>
      </c>
      <c r="B131" s="640">
        <v>340</v>
      </c>
      <c r="C131" s="625"/>
      <c r="D131" s="626"/>
      <c r="E131" s="626"/>
      <c r="F131" s="626"/>
      <c r="G131" s="626">
        <f>'[1]3кв'!I112+'[1]1 полуг'!H122</f>
        <v>0</v>
      </c>
      <c r="H131" s="626"/>
      <c r="I131" s="626"/>
      <c r="J131" s="626"/>
      <c r="K131" s="625"/>
      <c r="L131" s="625"/>
      <c r="M131" s="625">
        <f t="shared" si="15"/>
        <v>0</v>
      </c>
      <c r="N131" s="625">
        <f>'[1]3кв'!R112+'[1]1 полуг'!P117</f>
        <v>0</v>
      </c>
      <c r="O131" s="625"/>
      <c r="P131" s="625"/>
      <c r="Q131" s="625">
        <f>'[1]3кв'!T112+'[1]1 полуг'!S122</f>
        <v>0</v>
      </c>
      <c r="R131" s="619">
        <f t="shared" si="16"/>
        <v>0</v>
      </c>
      <c r="T131" s="620"/>
      <c r="U131" s="621"/>
      <c r="V131" s="621"/>
    </row>
    <row r="132" spans="1:22" ht="15" customHeight="1">
      <c r="A132" s="636" t="s">
        <v>751</v>
      </c>
      <c r="B132" s="640">
        <v>340</v>
      </c>
      <c r="C132" s="625"/>
      <c r="D132" s="626"/>
      <c r="E132" s="626"/>
      <c r="F132" s="626">
        <f>'[1]3кв'!I108+'[1]1 полуг'!H116</f>
        <v>0</v>
      </c>
      <c r="G132" s="626">
        <f>'[1]3кв'!I108+'[1]1 полуг'!H116</f>
        <v>0</v>
      </c>
      <c r="H132" s="626"/>
      <c r="I132" s="626"/>
      <c r="J132" s="626"/>
      <c r="K132" s="625"/>
      <c r="L132" s="625">
        <f>'[1]3кв'!P108+'[1]1 полуг'!N116</f>
        <v>0</v>
      </c>
      <c r="M132" s="625">
        <f t="shared" si="15"/>
        <v>0</v>
      </c>
      <c r="N132" s="625">
        <f>'[1]3кв'!R108+'[1]1 полуг'!P116</f>
        <v>0</v>
      </c>
      <c r="O132" s="625"/>
      <c r="P132" s="625"/>
      <c r="Q132" s="625">
        <f>'[1]3кв'!T108+'[1]1 полуг'!S116</f>
        <v>0</v>
      </c>
      <c r="R132" s="619">
        <f t="shared" si="16"/>
        <v>0</v>
      </c>
      <c r="T132" s="620"/>
      <c r="U132" s="621"/>
      <c r="V132" s="621"/>
    </row>
    <row r="133" spans="1:22">
      <c r="A133" s="636" t="s">
        <v>752</v>
      </c>
      <c r="B133" s="640">
        <v>340</v>
      </c>
      <c r="C133" s="625"/>
      <c r="D133" s="626"/>
      <c r="E133" s="626"/>
      <c r="F133" s="626">
        <f>'[1]3кв'!I107</f>
        <v>0</v>
      </c>
      <c r="G133" s="626">
        <f>'[1]3кв'!I107</f>
        <v>0</v>
      </c>
      <c r="H133" s="626"/>
      <c r="I133" s="626"/>
      <c r="J133" s="626"/>
      <c r="K133" s="625"/>
      <c r="L133" s="625">
        <f>'[1]1 полуг'!N118</f>
        <v>0</v>
      </c>
      <c r="M133" s="625">
        <f t="shared" si="15"/>
        <v>0</v>
      </c>
      <c r="N133" s="625">
        <f>'[1]3кв'!R107</f>
        <v>0</v>
      </c>
      <c r="O133" s="625"/>
      <c r="P133" s="625"/>
      <c r="Q133" s="625">
        <f>'[1]3кв'!T107</f>
        <v>0</v>
      </c>
      <c r="R133" s="619">
        <f t="shared" si="16"/>
        <v>0</v>
      </c>
      <c r="T133" s="620"/>
      <c r="U133" s="621"/>
      <c r="V133" s="621"/>
    </row>
    <row r="134" spans="1:22" ht="13.5" customHeight="1">
      <c r="A134" s="636" t="s">
        <v>398</v>
      </c>
      <c r="B134" s="640">
        <v>340</v>
      </c>
      <c r="C134" s="625"/>
      <c r="D134" s="626"/>
      <c r="E134" s="626"/>
      <c r="F134" s="626"/>
      <c r="G134" s="626"/>
      <c r="H134" s="626"/>
      <c r="I134" s="626"/>
      <c r="J134" s="626"/>
      <c r="K134" s="625"/>
      <c r="L134" s="625"/>
      <c r="M134" s="625">
        <f t="shared" si="15"/>
        <v>0</v>
      </c>
      <c r="N134" s="625"/>
      <c r="O134" s="625"/>
      <c r="P134" s="625"/>
      <c r="Q134" s="625"/>
      <c r="R134" s="619">
        <f t="shared" si="16"/>
        <v>0</v>
      </c>
      <c r="T134" s="620"/>
      <c r="U134" s="621"/>
      <c r="V134" s="621"/>
    </row>
    <row r="135" spans="1:22">
      <c r="A135" s="636" t="s">
        <v>753</v>
      </c>
      <c r="B135" s="640">
        <v>340</v>
      </c>
      <c r="C135" s="625"/>
      <c r="D135" s="626"/>
      <c r="E135" s="626"/>
      <c r="F135" s="626">
        <f>'[1]1 полуг'!H117</f>
        <v>0</v>
      </c>
      <c r="G135" s="626">
        <f>'[1]1 полуг'!H117</f>
        <v>0</v>
      </c>
      <c r="H135" s="626"/>
      <c r="I135" s="626"/>
      <c r="J135" s="626"/>
      <c r="K135" s="625"/>
      <c r="L135" s="625">
        <f>'[1]1 полуг'!N117</f>
        <v>0</v>
      </c>
      <c r="M135" s="625">
        <f t="shared" si="15"/>
        <v>0</v>
      </c>
      <c r="N135" s="625">
        <v>0</v>
      </c>
      <c r="O135" s="625"/>
      <c r="P135" s="625"/>
      <c r="Q135" s="625">
        <f>'[1]1 полуг'!S117</f>
        <v>0</v>
      </c>
      <c r="R135" s="619">
        <f t="shared" si="16"/>
        <v>0</v>
      </c>
      <c r="T135" s="620"/>
      <c r="U135" s="621"/>
      <c r="V135" s="621"/>
    </row>
    <row r="136" spans="1:22">
      <c r="A136" s="636" t="s">
        <v>150</v>
      </c>
      <c r="B136" s="640">
        <v>340</v>
      </c>
      <c r="C136" s="625"/>
      <c r="D136" s="626"/>
      <c r="E136" s="626"/>
      <c r="F136" s="626">
        <f>'[1]3кв'!I113+'[1]1 полуг'!H123</f>
        <v>0</v>
      </c>
      <c r="G136" s="626">
        <f>'[1]3кв'!I113+'[1]1 полуг'!H123</f>
        <v>0</v>
      </c>
      <c r="H136" s="626"/>
      <c r="I136" s="626"/>
      <c r="J136" s="626"/>
      <c r="K136" s="625"/>
      <c r="L136" s="625">
        <f>'[1]3кв'!P113+'[1]1 полуг'!N123</f>
        <v>0</v>
      </c>
      <c r="M136" s="625">
        <f t="shared" si="15"/>
        <v>0</v>
      </c>
      <c r="N136" s="625">
        <f>'[1]3кв'!R113+'[1]1 полуг'!P123</f>
        <v>0</v>
      </c>
      <c r="O136" s="625"/>
      <c r="P136" s="625"/>
      <c r="Q136" s="625">
        <f>'[1]3кв'!T113+'[1]1 полуг'!S123</f>
        <v>0</v>
      </c>
      <c r="R136" s="619">
        <f t="shared" si="16"/>
        <v>0</v>
      </c>
      <c r="T136" s="620"/>
      <c r="U136" s="621"/>
      <c r="V136" s="621"/>
    </row>
    <row r="137" spans="1:22">
      <c r="A137" s="636" t="s">
        <v>949</v>
      </c>
      <c r="B137" s="640">
        <v>340</v>
      </c>
      <c r="C137" s="625"/>
      <c r="D137" s="626"/>
      <c r="E137" s="626"/>
      <c r="F137" s="626"/>
      <c r="G137" s="626"/>
      <c r="H137" s="626"/>
      <c r="I137" s="626"/>
      <c r="J137" s="626"/>
      <c r="K137" s="625"/>
      <c r="L137" s="625"/>
      <c r="M137" s="625">
        <f t="shared" si="15"/>
        <v>0</v>
      </c>
      <c r="N137" s="625"/>
      <c r="O137" s="625"/>
      <c r="P137" s="625"/>
      <c r="Q137" s="625"/>
      <c r="R137" s="619">
        <f t="shared" si="16"/>
        <v>0</v>
      </c>
      <c r="T137" s="620"/>
      <c r="U137" s="621"/>
      <c r="V137" s="621"/>
    </row>
    <row r="138" spans="1:22" ht="15" customHeight="1">
      <c r="A138" s="636" t="s">
        <v>950</v>
      </c>
      <c r="B138" s="640">
        <v>390</v>
      </c>
      <c r="C138" s="626"/>
      <c r="D138" s="626"/>
      <c r="E138" s="626">
        <f>[1]июнь!G109+[1]май!G103+[1]апр!G99</f>
        <v>0</v>
      </c>
      <c r="F138" s="626">
        <f>[1]июнь!H109+[1]май!H103+[1]апр!H99</f>
        <v>0</v>
      </c>
      <c r="G138" s="626">
        <f>[1]июнь!H109+[1]май!H103+[1]апр!H99</f>
        <v>0</v>
      </c>
      <c r="H138" s="626"/>
      <c r="I138" s="626"/>
      <c r="J138" s="626"/>
      <c r="K138" s="625"/>
      <c r="L138" s="625">
        <f>[1]июнь!N109+[1]май!N103+[1]апр!M99</f>
        <v>0</v>
      </c>
      <c r="M138" s="625">
        <f t="shared" si="15"/>
        <v>0</v>
      </c>
      <c r="N138" s="625">
        <f>[1]июнь!P109+[1]май!P103+[1]апр!O99</f>
        <v>0</v>
      </c>
      <c r="O138" s="625"/>
      <c r="P138" s="625"/>
      <c r="Q138" s="625">
        <f>[1]июнь!R109+[1]май!R103+[1]апр!Q99</f>
        <v>0</v>
      </c>
      <c r="R138" s="619">
        <f t="shared" si="16"/>
        <v>0</v>
      </c>
      <c r="T138" s="620"/>
      <c r="U138" s="621"/>
      <c r="V138" s="621"/>
    </row>
    <row r="139" spans="1:22">
      <c r="A139" s="647" t="s">
        <v>152</v>
      </c>
      <c r="B139" s="648"/>
      <c r="C139" s="649">
        <f>+C5</f>
        <v>1747.2242799999999</v>
      </c>
      <c r="D139" s="649">
        <f>+D5</f>
        <v>138.62387999999999</v>
      </c>
      <c r="E139" s="649">
        <f>+E5</f>
        <v>86.627430000000004</v>
      </c>
      <c r="F139" s="649">
        <f t="shared" ref="F139:N139" si="24">+F5</f>
        <v>0</v>
      </c>
      <c r="G139" s="649">
        <f t="shared" si="24"/>
        <v>0</v>
      </c>
      <c r="H139" s="649">
        <f t="shared" si="24"/>
        <v>25.036520000000003</v>
      </c>
      <c r="I139" s="649">
        <f t="shared" si="24"/>
        <v>1153.7452499999999</v>
      </c>
      <c r="J139" s="649">
        <f t="shared" si="24"/>
        <v>4047.1355899999994</v>
      </c>
      <c r="K139" s="649">
        <f t="shared" si="24"/>
        <v>0</v>
      </c>
      <c r="L139" s="649">
        <f t="shared" si="24"/>
        <v>10.406680000000001</v>
      </c>
      <c r="M139" s="619">
        <f t="shared" si="15"/>
        <v>4057.5422699999995</v>
      </c>
      <c r="N139" s="649">
        <f t="shared" si="24"/>
        <v>435.59899999999999</v>
      </c>
      <c r="O139" s="649">
        <f>SUM(O5+O118+O117+O138+O111+O113+O112+O114+O115+O116)</f>
        <v>0</v>
      </c>
      <c r="P139" s="649">
        <f t="shared" ref="P139:Q139" si="25">+P5</f>
        <v>443.91300000000007</v>
      </c>
      <c r="Q139" s="649">
        <f t="shared" si="25"/>
        <v>171.71532000000002</v>
      </c>
      <c r="R139" s="619">
        <f>C139+D139+E139+H139+I139+M139+N139+O139+P139+Q139</f>
        <v>8260.0269499999995</v>
      </c>
      <c r="S139" s="621"/>
      <c r="T139" s="620"/>
      <c r="U139" s="621"/>
      <c r="V139" s="621"/>
    </row>
    <row r="140" spans="1:22">
      <c r="A140" s="650"/>
      <c r="B140" s="651"/>
      <c r="C140" s="652"/>
      <c r="D140" s="653"/>
      <c r="E140" s="653"/>
      <c r="F140" s="653"/>
      <c r="G140" s="653"/>
      <c r="H140" s="653"/>
      <c r="I140" s="653"/>
      <c r="J140" s="653"/>
      <c r="K140" s="654"/>
      <c r="L140" s="654"/>
      <c r="M140" s="654"/>
      <c r="N140" s="654"/>
      <c r="O140" s="654"/>
      <c r="P140" s="654"/>
      <c r="Q140" s="654"/>
      <c r="R140" s="655"/>
      <c r="T140" s="620"/>
    </row>
    <row r="141" spans="1:22" ht="14.25" customHeight="1">
      <c r="A141" s="650"/>
      <c r="B141" s="651"/>
      <c r="C141" s="652"/>
      <c r="D141" s="652"/>
      <c r="E141" s="652"/>
      <c r="F141" s="652"/>
      <c r="G141" s="652"/>
      <c r="H141" s="652"/>
      <c r="I141" s="652"/>
      <c r="J141" s="652"/>
      <c r="K141" s="655"/>
      <c r="L141" s="655"/>
      <c r="M141" s="655"/>
      <c r="N141" s="655"/>
      <c r="O141" s="655"/>
      <c r="P141" s="655"/>
      <c r="Q141" s="655"/>
      <c r="R141" s="655"/>
      <c r="T141" s="620"/>
    </row>
    <row r="142" spans="1:22" ht="15" customHeight="1">
      <c r="A142" s="650"/>
      <c r="B142" s="651"/>
      <c r="C142" s="652"/>
      <c r="D142" s="652"/>
      <c r="E142" s="652"/>
      <c r="F142" s="652"/>
      <c r="G142" s="652"/>
      <c r="H142" s="652"/>
      <c r="I142" s="652"/>
      <c r="J142" s="652"/>
      <c r="K142" s="655"/>
      <c r="L142" s="655"/>
      <c r="M142" s="655"/>
      <c r="N142" s="655"/>
      <c r="O142" s="655"/>
      <c r="P142" s="655"/>
      <c r="Q142" s="655"/>
      <c r="R142" s="655"/>
    </row>
    <row r="143" spans="1:22" ht="22.5" customHeight="1">
      <c r="A143" s="650"/>
      <c r="B143" s="651"/>
      <c r="C143" s="652"/>
      <c r="D143" s="652"/>
      <c r="E143" s="652"/>
      <c r="F143" s="652"/>
      <c r="G143" s="652"/>
      <c r="H143" s="652"/>
      <c r="I143" s="652"/>
      <c r="J143" s="652"/>
      <c r="K143" s="655"/>
      <c r="L143" s="655"/>
      <c r="M143" s="655"/>
      <c r="N143" s="655"/>
      <c r="O143" s="655"/>
      <c r="P143" s="655"/>
      <c r="Q143" s="655"/>
      <c r="R143" s="655"/>
    </row>
    <row r="144" spans="1:22" ht="15" customHeight="1">
      <c r="A144" s="650"/>
      <c r="B144" s="651"/>
      <c r="C144" s="656"/>
      <c r="D144" s="657"/>
      <c r="E144" s="657"/>
      <c r="F144" s="657"/>
      <c r="G144" s="657"/>
      <c r="H144" s="657"/>
      <c r="I144" s="657"/>
      <c r="J144" s="657"/>
      <c r="K144" s="657"/>
      <c r="L144" s="657"/>
      <c r="M144" s="656"/>
      <c r="N144" s="657"/>
      <c r="O144" s="657"/>
      <c r="P144" s="657"/>
      <c r="Q144" s="657"/>
      <c r="R144" s="657"/>
    </row>
    <row r="145" spans="1:20" ht="15" customHeight="1" thickBot="1">
      <c r="A145" s="607"/>
      <c r="B145" s="658"/>
      <c r="C145" s="659"/>
      <c r="D145" s="660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</row>
    <row r="146" spans="1:20" ht="15.75" customHeight="1" thickBot="1">
      <c r="A146" s="607"/>
      <c r="B146" s="658"/>
      <c r="C146" s="661"/>
      <c r="D146" s="662"/>
      <c r="E146" s="662"/>
      <c r="F146" s="662"/>
      <c r="G146" s="662"/>
      <c r="H146" s="662"/>
      <c r="I146" s="662"/>
      <c r="J146" s="661"/>
      <c r="K146" s="661"/>
      <c r="L146" s="662"/>
      <c r="M146" s="735" t="s">
        <v>286</v>
      </c>
      <c r="N146" s="736"/>
      <c r="O146" s="736"/>
      <c r="P146" s="737"/>
      <c r="Q146" s="663"/>
      <c r="R146" s="664">
        <f>R139</f>
        <v>8260.0269499999995</v>
      </c>
      <c r="T146" s="665"/>
    </row>
    <row r="147" spans="1:20" ht="12.75" thickBot="1">
      <c r="C147" s="608"/>
      <c r="D147" s="608"/>
      <c r="E147" s="667"/>
      <c r="F147" s="667"/>
      <c r="G147" s="667"/>
      <c r="H147" s="608"/>
      <c r="I147" s="608"/>
      <c r="J147" s="608"/>
      <c r="K147" s="608"/>
      <c r="L147" s="608"/>
      <c r="M147" s="735" t="s">
        <v>962</v>
      </c>
      <c r="N147" s="736"/>
      <c r="O147" s="736"/>
      <c r="P147" s="737"/>
      <c r="Q147" s="668"/>
      <c r="R147" s="669">
        <f>L2+R2-R146</f>
        <v>1566.018039999999</v>
      </c>
      <c r="T147" s="621"/>
    </row>
    <row r="148" spans="1:20" ht="12" customHeight="1">
      <c r="Q148" s="672"/>
      <c r="R148" s="666"/>
    </row>
    <row r="149" spans="1:20" ht="12" customHeight="1">
      <c r="E149" s="673"/>
      <c r="F149" s="674"/>
      <c r="G149" s="674"/>
      <c r="R149" s="666"/>
    </row>
    <row r="150" spans="1:20">
      <c r="R150" s="666"/>
    </row>
    <row r="151" spans="1:20" ht="12" customHeight="1">
      <c r="R151" s="666"/>
    </row>
    <row r="153" spans="1:20">
      <c r="E153" s="673"/>
      <c r="F153" s="674"/>
      <c r="G153" s="674"/>
    </row>
    <row r="155" spans="1:20">
      <c r="M155" s="608" t="s">
        <v>684</v>
      </c>
    </row>
    <row r="156" spans="1:20">
      <c r="R156" s="666"/>
    </row>
    <row r="157" spans="1:20">
      <c r="R157" s="666"/>
    </row>
  </sheetData>
  <mergeCells count="24">
    <mergeCell ref="Q3:Q4"/>
    <mergeCell ref="M146:P146"/>
    <mergeCell ref="M147:P147"/>
    <mergeCell ref="K3:K4"/>
    <mergeCell ref="L3:L4"/>
    <mergeCell ref="M3:M4"/>
    <mergeCell ref="N3:N4"/>
    <mergeCell ref="P3:P4"/>
    <mergeCell ref="J3:J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ageMargins left="0.19685039370078741" right="0" top="0" bottom="0" header="0" footer="0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J135"/>
  <sheetViews>
    <sheetView view="pageBreakPreview" zoomScale="80" zoomScaleSheetLayoutView="80" workbookViewId="0">
      <pane xSplit="8" ySplit="4" topLeftCell="I5" activePane="bottomRight" state="frozen"/>
      <selection pane="topRight" activeCell="F1" sqref="F1"/>
      <selection pane="bottomLeft" activeCell="A5" sqref="A5"/>
      <selection pane="bottomRight" activeCell="G71" sqref="G71"/>
    </sheetView>
  </sheetViews>
  <sheetFormatPr defaultRowHeight="12.75"/>
  <cols>
    <col min="1" max="1" width="9.140625" style="557"/>
    <col min="2" max="2" width="3.140625" style="557" customWidth="1"/>
    <col min="3" max="3" width="12.28515625" style="557" customWidth="1"/>
    <col min="4" max="4" width="34.85546875" style="586" customWidth="1"/>
    <col min="5" max="5" width="10" style="587" customWidth="1"/>
    <col min="6" max="6" width="9.85546875" style="588" customWidth="1"/>
    <col min="7" max="7" width="10.5703125" style="588" customWidth="1"/>
    <col min="8" max="8" width="10.5703125" style="553" customWidth="1"/>
    <col min="9" max="9" width="11.28515625" style="557" customWidth="1"/>
    <col min="10" max="146" width="9.140625" style="557"/>
    <col min="147" max="147" width="3.140625" style="557" customWidth="1"/>
    <col min="148" max="148" width="12.28515625" style="557" customWidth="1"/>
    <col min="149" max="149" width="34.85546875" style="557" customWidth="1"/>
    <col min="150" max="150" width="8.42578125" style="557" customWidth="1"/>
    <col min="151" max="151" width="8.28515625" style="557" customWidth="1"/>
    <col min="152" max="152" width="9.42578125" style="557" customWidth="1"/>
    <col min="153" max="153" width="8.28515625" style="557" customWidth="1"/>
    <col min="154" max="156" width="6.42578125" style="557" customWidth="1"/>
    <col min="157" max="157" width="7.140625" style="557" customWidth="1"/>
    <col min="158" max="158" width="4.5703125" style="557" customWidth="1"/>
    <col min="159" max="159" width="6.7109375" style="557" customWidth="1"/>
    <col min="160" max="160" width="6.85546875" style="557" customWidth="1"/>
    <col min="161" max="161" width="6.28515625" style="557" customWidth="1"/>
    <col min="162" max="162" width="4" style="557" customWidth="1"/>
    <col min="163" max="163" width="7.28515625" style="557" customWidth="1"/>
    <col min="164" max="164" width="7.5703125" style="557" customWidth="1"/>
    <col min="165" max="165" width="6" style="557" customWidth="1"/>
    <col min="166" max="166" width="4.7109375" style="557" customWidth="1"/>
    <col min="167" max="167" width="5.42578125" style="557" customWidth="1"/>
    <col min="168" max="168" width="5.7109375" style="557" customWidth="1"/>
    <col min="169" max="169" width="5.85546875" style="557" customWidth="1"/>
    <col min="170" max="170" width="5.7109375" style="557" customWidth="1"/>
    <col min="171" max="181" width="0" style="557" hidden="1" customWidth="1"/>
    <col min="182" max="182" width="5.85546875" style="557" customWidth="1"/>
    <col min="183" max="183" width="5.7109375" style="557" customWidth="1"/>
    <col min="184" max="184" width="5" style="557" customWidth="1"/>
    <col min="185" max="185" width="4.140625" style="557" customWidth="1"/>
    <col min="186" max="186" width="5.85546875" style="557" customWidth="1"/>
    <col min="187" max="187" width="5.7109375" style="557" customWidth="1"/>
    <col min="188" max="188" width="4.7109375" style="557" customWidth="1"/>
    <col min="189" max="189" width="4.42578125" style="557" customWidth="1"/>
    <col min="190" max="193" width="0" style="557" hidden="1" customWidth="1"/>
    <col min="194" max="194" width="5.85546875" style="557" customWidth="1"/>
    <col min="195" max="195" width="5.42578125" style="557" customWidth="1"/>
    <col min="196" max="196" width="5.28515625" style="557" customWidth="1"/>
    <col min="197" max="197" width="4.85546875" style="557" customWidth="1"/>
    <col min="198" max="209" width="0" style="557" hidden="1" customWidth="1"/>
    <col min="210" max="210" width="5.85546875" style="557" customWidth="1"/>
    <col min="211" max="211" width="5.42578125" style="557" customWidth="1"/>
    <col min="212" max="212" width="5.140625" style="557" customWidth="1"/>
    <col min="213" max="213" width="4.140625" style="557" customWidth="1"/>
    <col min="214" max="214" width="6.140625" style="557" customWidth="1"/>
    <col min="215" max="216" width="5.5703125" style="557" customWidth="1"/>
    <col min="217" max="217" width="4.42578125" style="557" customWidth="1"/>
    <col min="218" max="229" width="0" style="557" hidden="1" customWidth="1"/>
    <col min="230" max="230" width="7.5703125" style="557" customWidth="1"/>
    <col min="231" max="231" width="6.42578125" style="557" customWidth="1"/>
    <col min="232" max="232" width="5.42578125" style="557" customWidth="1"/>
    <col min="233" max="233" width="5.140625" style="557" customWidth="1"/>
    <col min="234" max="234" width="5.7109375" style="557" customWidth="1"/>
    <col min="235" max="235" width="5.42578125" style="557" customWidth="1"/>
    <col min="236" max="236" width="4.5703125" style="557" customWidth="1"/>
    <col min="237" max="237" width="5.42578125" style="557" customWidth="1"/>
    <col min="238" max="240" width="5.85546875" style="557" customWidth="1"/>
    <col min="241" max="241" width="4.42578125" style="557" customWidth="1"/>
    <col min="242" max="256" width="0" style="557" hidden="1" customWidth="1"/>
    <col min="257" max="257" width="9.140625" style="557" customWidth="1"/>
    <col min="258" max="402" width="9.140625" style="557"/>
    <col min="403" max="403" width="3.140625" style="557" customWidth="1"/>
    <col min="404" max="404" width="12.28515625" style="557" customWidth="1"/>
    <col min="405" max="405" width="34.85546875" style="557" customWidth="1"/>
    <col min="406" max="406" width="8.42578125" style="557" customWidth="1"/>
    <col min="407" max="407" width="8.28515625" style="557" customWidth="1"/>
    <col min="408" max="408" width="9.42578125" style="557" customWidth="1"/>
    <col min="409" max="409" width="8.28515625" style="557" customWidth="1"/>
    <col min="410" max="412" width="6.42578125" style="557" customWidth="1"/>
    <col min="413" max="413" width="7.140625" style="557" customWidth="1"/>
    <col min="414" max="414" width="4.5703125" style="557" customWidth="1"/>
    <col min="415" max="415" width="6.7109375" style="557" customWidth="1"/>
    <col min="416" max="416" width="6.85546875" style="557" customWidth="1"/>
    <col min="417" max="417" width="6.28515625" style="557" customWidth="1"/>
    <col min="418" max="418" width="4" style="557" customWidth="1"/>
    <col min="419" max="419" width="7.28515625" style="557" customWidth="1"/>
    <col min="420" max="420" width="7.5703125" style="557" customWidth="1"/>
    <col min="421" max="421" width="6" style="557" customWidth="1"/>
    <col min="422" max="422" width="4.7109375" style="557" customWidth="1"/>
    <col min="423" max="423" width="5.42578125" style="557" customWidth="1"/>
    <col min="424" max="424" width="5.7109375" style="557" customWidth="1"/>
    <col min="425" max="425" width="5.85546875" style="557" customWidth="1"/>
    <col min="426" max="426" width="5.7109375" style="557" customWidth="1"/>
    <col min="427" max="437" width="0" style="557" hidden="1" customWidth="1"/>
    <col min="438" max="438" width="5.85546875" style="557" customWidth="1"/>
    <col min="439" max="439" width="5.7109375" style="557" customWidth="1"/>
    <col min="440" max="440" width="5" style="557" customWidth="1"/>
    <col min="441" max="441" width="4.140625" style="557" customWidth="1"/>
    <col min="442" max="442" width="5.85546875" style="557" customWidth="1"/>
    <col min="443" max="443" width="5.7109375" style="557" customWidth="1"/>
    <col min="444" max="444" width="4.7109375" style="557" customWidth="1"/>
    <col min="445" max="445" width="4.42578125" style="557" customWidth="1"/>
    <col min="446" max="449" width="0" style="557" hidden="1" customWidth="1"/>
    <col min="450" max="450" width="5.85546875" style="557" customWidth="1"/>
    <col min="451" max="451" width="5.42578125" style="557" customWidth="1"/>
    <col min="452" max="452" width="5.28515625" style="557" customWidth="1"/>
    <col min="453" max="453" width="4.85546875" style="557" customWidth="1"/>
    <col min="454" max="465" width="0" style="557" hidden="1" customWidth="1"/>
    <col min="466" max="466" width="5.85546875" style="557" customWidth="1"/>
    <col min="467" max="467" width="5.42578125" style="557" customWidth="1"/>
    <col min="468" max="468" width="5.140625" style="557" customWidth="1"/>
    <col min="469" max="469" width="4.140625" style="557" customWidth="1"/>
    <col min="470" max="470" width="6.140625" style="557" customWidth="1"/>
    <col min="471" max="472" width="5.5703125" style="557" customWidth="1"/>
    <col min="473" max="473" width="4.42578125" style="557" customWidth="1"/>
    <col min="474" max="485" width="0" style="557" hidden="1" customWidth="1"/>
    <col min="486" max="486" width="7.5703125" style="557" customWidth="1"/>
    <col min="487" max="487" width="6.42578125" style="557" customWidth="1"/>
    <col min="488" max="488" width="5.42578125" style="557" customWidth="1"/>
    <col min="489" max="489" width="5.140625" style="557" customWidth="1"/>
    <col min="490" max="490" width="5.7109375" style="557" customWidth="1"/>
    <col min="491" max="491" width="5.42578125" style="557" customWidth="1"/>
    <col min="492" max="492" width="4.5703125" style="557" customWidth="1"/>
    <col min="493" max="493" width="5.42578125" style="557" customWidth="1"/>
    <col min="494" max="496" width="5.85546875" style="557" customWidth="1"/>
    <col min="497" max="497" width="4.42578125" style="557" customWidth="1"/>
    <col min="498" max="512" width="0" style="557" hidden="1" customWidth="1"/>
    <col min="513" max="513" width="9.140625" style="557" customWidth="1"/>
    <col min="514" max="658" width="9.140625" style="557"/>
    <col min="659" max="659" width="3.140625" style="557" customWidth="1"/>
    <col min="660" max="660" width="12.28515625" style="557" customWidth="1"/>
    <col min="661" max="661" width="34.85546875" style="557" customWidth="1"/>
    <col min="662" max="662" width="8.42578125" style="557" customWidth="1"/>
    <col min="663" max="663" width="8.28515625" style="557" customWidth="1"/>
    <col min="664" max="664" width="9.42578125" style="557" customWidth="1"/>
    <col min="665" max="665" width="8.28515625" style="557" customWidth="1"/>
    <col min="666" max="668" width="6.42578125" style="557" customWidth="1"/>
    <col min="669" max="669" width="7.140625" style="557" customWidth="1"/>
    <col min="670" max="670" width="4.5703125" style="557" customWidth="1"/>
    <col min="671" max="671" width="6.7109375" style="557" customWidth="1"/>
    <col min="672" max="672" width="6.85546875" style="557" customWidth="1"/>
    <col min="673" max="673" width="6.28515625" style="557" customWidth="1"/>
    <col min="674" max="674" width="4" style="557" customWidth="1"/>
    <col min="675" max="675" width="7.28515625" style="557" customWidth="1"/>
    <col min="676" max="676" width="7.5703125" style="557" customWidth="1"/>
    <col min="677" max="677" width="6" style="557" customWidth="1"/>
    <col min="678" max="678" width="4.7109375" style="557" customWidth="1"/>
    <col min="679" max="679" width="5.42578125" style="557" customWidth="1"/>
    <col min="680" max="680" width="5.7109375" style="557" customWidth="1"/>
    <col min="681" max="681" width="5.85546875" style="557" customWidth="1"/>
    <col min="682" max="682" width="5.7109375" style="557" customWidth="1"/>
    <col min="683" max="693" width="0" style="557" hidden="1" customWidth="1"/>
    <col min="694" max="694" width="5.85546875" style="557" customWidth="1"/>
    <col min="695" max="695" width="5.7109375" style="557" customWidth="1"/>
    <col min="696" max="696" width="5" style="557" customWidth="1"/>
    <col min="697" max="697" width="4.140625" style="557" customWidth="1"/>
    <col min="698" max="698" width="5.85546875" style="557" customWidth="1"/>
    <col min="699" max="699" width="5.7109375" style="557" customWidth="1"/>
    <col min="700" max="700" width="4.7109375" style="557" customWidth="1"/>
    <col min="701" max="701" width="4.42578125" style="557" customWidth="1"/>
    <col min="702" max="705" width="0" style="557" hidden="1" customWidth="1"/>
    <col min="706" max="706" width="5.85546875" style="557" customWidth="1"/>
    <col min="707" max="707" width="5.42578125" style="557" customWidth="1"/>
    <col min="708" max="708" width="5.28515625" style="557" customWidth="1"/>
    <col min="709" max="709" width="4.85546875" style="557" customWidth="1"/>
    <col min="710" max="721" width="0" style="557" hidden="1" customWidth="1"/>
    <col min="722" max="722" width="5.85546875" style="557" customWidth="1"/>
    <col min="723" max="723" width="5.42578125" style="557" customWidth="1"/>
    <col min="724" max="724" width="5.140625" style="557" customWidth="1"/>
    <col min="725" max="725" width="4.140625" style="557" customWidth="1"/>
    <col min="726" max="726" width="6.140625" style="557" customWidth="1"/>
    <col min="727" max="728" width="5.5703125" style="557" customWidth="1"/>
    <col min="729" max="729" width="4.42578125" style="557" customWidth="1"/>
    <col min="730" max="741" width="0" style="557" hidden="1" customWidth="1"/>
    <col min="742" max="742" width="7.5703125" style="557" customWidth="1"/>
    <col min="743" max="743" width="6.42578125" style="557" customWidth="1"/>
    <col min="744" max="744" width="5.42578125" style="557" customWidth="1"/>
    <col min="745" max="745" width="5.140625" style="557" customWidth="1"/>
    <col min="746" max="746" width="5.7109375" style="557" customWidth="1"/>
    <col min="747" max="747" width="5.42578125" style="557" customWidth="1"/>
    <col min="748" max="748" width="4.5703125" style="557" customWidth="1"/>
    <col min="749" max="749" width="5.42578125" style="557" customWidth="1"/>
    <col min="750" max="752" width="5.85546875" style="557" customWidth="1"/>
    <col min="753" max="753" width="4.42578125" style="557" customWidth="1"/>
    <col min="754" max="768" width="0" style="557" hidden="1" customWidth="1"/>
    <col min="769" max="769" width="9.140625" style="557" customWidth="1"/>
    <col min="770" max="914" width="9.140625" style="557"/>
    <col min="915" max="915" width="3.140625" style="557" customWidth="1"/>
    <col min="916" max="916" width="12.28515625" style="557" customWidth="1"/>
    <col min="917" max="917" width="34.85546875" style="557" customWidth="1"/>
    <col min="918" max="918" width="8.42578125" style="557" customWidth="1"/>
    <col min="919" max="919" width="8.28515625" style="557" customWidth="1"/>
    <col min="920" max="920" width="9.42578125" style="557" customWidth="1"/>
    <col min="921" max="921" width="8.28515625" style="557" customWidth="1"/>
    <col min="922" max="924" width="6.42578125" style="557" customWidth="1"/>
    <col min="925" max="925" width="7.140625" style="557" customWidth="1"/>
    <col min="926" max="926" width="4.5703125" style="557" customWidth="1"/>
    <col min="927" max="927" width="6.7109375" style="557" customWidth="1"/>
    <col min="928" max="928" width="6.85546875" style="557" customWidth="1"/>
    <col min="929" max="929" width="6.28515625" style="557" customWidth="1"/>
    <col min="930" max="930" width="4" style="557" customWidth="1"/>
    <col min="931" max="931" width="7.28515625" style="557" customWidth="1"/>
    <col min="932" max="932" width="7.5703125" style="557" customWidth="1"/>
    <col min="933" max="933" width="6" style="557" customWidth="1"/>
    <col min="934" max="934" width="4.7109375" style="557" customWidth="1"/>
    <col min="935" max="935" width="5.42578125" style="557" customWidth="1"/>
    <col min="936" max="936" width="5.7109375" style="557" customWidth="1"/>
    <col min="937" max="937" width="5.85546875" style="557" customWidth="1"/>
    <col min="938" max="938" width="5.7109375" style="557" customWidth="1"/>
    <col min="939" max="949" width="0" style="557" hidden="1" customWidth="1"/>
    <col min="950" max="950" width="5.85546875" style="557" customWidth="1"/>
    <col min="951" max="951" width="5.7109375" style="557" customWidth="1"/>
    <col min="952" max="952" width="5" style="557" customWidth="1"/>
    <col min="953" max="953" width="4.140625" style="557" customWidth="1"/>
    <col min="954" max="954" width="5.85546875" style="557" customWidth="1"/>
    <col min="955" max="955" width="5.7109375" style="557" customWidth="1"/>
    <col min="956" max="956" width="4.7109375" style="557" customWidth="1"/>
    <col min="957" max="957" width="4.42578125" style="557" customWidth="1"/>
    <col min="958" max="961" width="0" style="557" hidden="1" customWidth="1"/>
    <col min="962" max="962" width="5.85546875" style="557" customWidth="1"/>
    <col min="963" max="963" width="5.42578125" style="557" customWidth="1"/>
    <col min="964" max="964" width="5.28515625" style="557" customWidth="1"/>
    <col min="965" max="965" width="4.85546875" style="557" customWidth="1"/>
    <col min="966" max="977" width="0" style="557" hidden="1" customWidth="1"/>
    <col min="978" max="978" width="5.85546875" style="557" customWidth="1"/>
    <col min="979" max="979" width="5.42578125" style="557" customWidth="1"/>
    <col min="980" max="980" width="5.140625" style="557" customWidth="1"/>
    <col min="981" max="981" width="4.140625" style="557" customWidth="1"/>
    <col min="982" max="982" width="6.140625" style="557" customWidth="1"/>
    <col min="983" max="984" width="5.5703125" style="557" customWidth="1"/>
    <col min="985" max="985" width="4.42578125" style="557" customWidth="1"/>
    <col min="986" max="997" width="0" style="557" hidden="1" customWidth="1"/>
    <col min="998" max="998" width="7.5703125" style="557" customWidth="1"/>
    <col min="999" max="999" width="6.42578125" style="557" customWidth="1"/>
    <col min="1000" max="1000" width="5.42578125" style="557" customWidth="1"/>
    <col min="1001" max="1001" width="5.140625" style="557" customWidth="1"/>
    <col min="1002" max="1002" width="5.7109375" style="557" customWidth="1"/>
    <col min="1003" max="1003" width="5.42578125" style="557" customWidth="1"/>
    <col min="1004" max="1004" width="4.5703125" style="557" customWidth="1"/>
    <col min="1005" max="1005" width="5.42578125" style="557" customWidth="1"/>
    <col min="1006" max="1008" width="5.85546875" style="557" customWidth="1"/>
    <col min="1009" max="1009" width="4.42578125" style="557" customWidth="1"/>
    <col min="1010" max="1024" width="0" style="557" hidden="1" customWidth="1"/>
    <col min="1025" max="1025" width="9.140625" style="557" customWidth="1"/>
    <col min="1026" max="1170" width="9.140625" style="557"/>
    <col min="1171" max="1171" width="3.140625" style="557" customWidth="1"/>
    <col min="1172" max="1172" width="12.28515625" style="557" customWidth="1"/>
    <col min="1173" max="1173" width="34.85546875" style="557" customWidth="1"/>
    <col min="1174" max="1174" width="8.42578125" style="557" customWidth="1"/>
    <col min="1175" max="1175" width="8.28515625" style="557" customWidth="1"/>
    <col min="1176" max="1176" width="9.42578125" style="557" customWidth="1"/>
    <col min="1177" max="1177" width="8.28515625" style="557" customWidth="1"/>
    <col min="1178" max="1180" width="6.42578125" style="557" customWidth="1"/>
    <col min="1181" max="1181" width="7.140625" style="557" customWidth="1"/>
    <col min="1182" max="1182" width="4.5703125" style="557" customWidth="1"/>
    <col min="1183" max="1183" width="6.7109375" style="557" customWidth="1"/>
    <col min="1184" max="1184" width="6.85546875" style="557" customWidth="1"/>
    <col min="1185" max="1185" width="6.28515625" style="557" customWidth="1"/>
    <col min="1186" max="1186" width="4" style="557" customWidth="1"/>
    <col min="1187" max="1187" width="7.28515625" style="557" customWidth="1"/>
    <col min="1188" max="1188" width="7.5703125" style="557" customWidth="1"/>
    <col min="1189" max="1189" width="6" style="557" customWidth="1"/>
    <col min="1190" max="1190" width="4.7109375" style="557" customWidth="1"/>
    <col min="1191" max="1191" width="5.42578125" style="557" customWidth="1"/>
    <col min="1192" max="1192" width="5.7109375" style="557" customWidth="1"/>
    <col min="1193" max="1193" width="5.85546875" style="557" customWidth="1"/>
    <col min="1194" max="1194" width="5.7109375" style="557" customWidth="1"/>
    <col min="1195" max="1205" width="0" style="557" hidden="1" customWidth="1"/>
    <col min="1206" max="1206" width="5.85546875" style="557" customWidth="1"/>
    <col min="1207" max="1207" width="5.7109375" style="557" customWidth="1"/>
    <col min="1208" max="1208" width="5" style="557" customWidth="1"/>
    <col min="1209" max="1209" width="4.140625" style="557" customWidth="1"/>
    <col min="1210" max="1210" width="5.85546875" style="557" customWidth="1"/>
    <col min="1211" max="1211" width="5.7109375" style="557" customWidth="1"/>
    <col min="1212" max="1212" width="4.7109375" style="557" customWidth="1"/>
    <col min="1213" max="1213" width="4.42578125" style="557" customWidth="1"/>
    <col min="1214" max="1217" width="0" style="557" hidden="1" customWidth="1"/>
    <col min="1218" max="1218" width="5.85546875" style="557" customWidth="1"/>
    <col min="1219" max="1219" width="5.42578125" style="557" customWidth="1"/>
    <col min="1220" max="1220" width="5.28515625" style="557" customWidth="1"/>
    <col min="1221" max="1221" width="4.85546875" style="557" customWidth="1"/>
    <col min="1222" max="1233" width="0" style="557" hidden="1" customWidth="1"/>
    <col min="1234" max="1234" width="5.85546875" style="557" customWidth="1"/>
    <col min="1235" max="1235" width="5.42578125" style="557" customWidth="1"/>
    <col min="1236" max="1236" width="5.140625" style="557" customWidth="1"/>
    <col min="1237" max="1237" width="4.140625" style="557" customWidth="1"/>
    <col min="1238" max="1238" width="6.140625" style="557" customWidth="1"/>
    <col min="1239" max="1240" width="5.5703125" style="557" customWidth="1"/>
    <col min="1241" max="1241" width="4.42578125" style="557" customWidth="1"/>
    <col min="1242" max="1253" width="0" style="557" hidden="1" customWidth="1"/>
    <col min="1254" max="1254" width="7.5703125" style="557" customWidth="1"/>
    <col min="1255" max="1255" width="6.42578125" style="557" customWidth="1"/>
    <col min="1256" max="1256" width="5.42578125" style="557" customWidth="1"/>
    <col min="1257" max="1257" width="5.140625" style="557" customWidth="1"/>
    <col min="1258" max="1258" width="5.7109375" style="557" customWidth="1"/>
    <col min="1259" max="1259" width="5.42578125" style="557" customWidth="1"/>
    <col min="1260" max="1260" width="4.5703125" style="557" customWidth="1"/>
    <col min="1261" max="1261" width="5.42578125" style="557" customWidth="1"/>
    <col min="1262" max="1264" width="5.85546875" style="557" customWidth="1"/>
    <col min="1265" max="1265" width="4.42578125" style="557" customWidth="1"/>
    <col min="1266" max="1280" width="0" style="557" hidden="1" customWidth="1"/>
    <col min="1281" max="1281" width="9.140625" style="557" customWidth="1"/>
    <col min="1282" max="1426" width="9.140625" style="557"/>
    <col min="1427" max="1427" width="3.140625" style="557" customWidth="1"/>
    <col min="1428" max="1428" width="12.28515625" style="557" customWidth="1"/>
    <col min="1429" max="1429" width="34.85546875" style="557" customWidth="1"/>
    <col min="1430" max="1430" width="8.42578125" style="557" customWidth="1"/>
    <col min="1431" max="1431" width="8.28515625" style="557" customWidth="1"/>
    <col min="1432" max="1432" width="9.42578125" style="557" customWidth="1"/>
    <col min="1433" max="1433" width="8.28515625" style="557" customWidth="1"/>
    <col min="1434" max="1436" width="6.42578125" style="557" customWidth="1"/>
    <col min="1437" max="1437" width="7.140625" style="557" customWidth="1"/>
    <col min="1438" max="1438" width="4.5703125" style="557" customWidth="1"/>
    <col min="1439" max="1439" width="6.7109375" style="557" customWidth="1"/>
    <col min="1440" max="1440" width="6.85546875" style="557" customWidth="1"/>
    <col min="1441" max="1441" width="6.28515625" style="557" customWidth="1"/>
    <col min="1442" max="1442" width="4" style="557" customWidth="1"/>
    <col min="1443" max="1443" width="7.28515625" style="557" customWidth="1"/>
    <col min="1444" max="1444" width="7.5703125" style="557" customWidth="1"/>
    <col min="1445" max="1445" width="6" style="557" customWidth="1"/>
    <col min="1446" max="1446" width="4.7109375" style="557" customWidth="1"/>
    <col min="1447" max="1447" width="5.42578125" style="557" customWidth="1"/>
    <col min="1448" max="1448" width="5.7109375" style="557" customWidth="1"/>
    <col min="1449" max="1449" width="5.85546875" style="557" customWidth="1"/>
    <col min="1450" max="1450" width="5.7109375" style="557" customWidth="1"/>
    <col min="1451" max="1461" width="0" style="557" hidden="1" customWidth="1"/>
    <col min="1462" max="1462" width="5.85546875" style="557" customWidth="1"/>
    <col min="1463" max="1463" width="5.7109375" style="557" customWidth="1"/>
    <col min="1464" max="1464" width="5" style="557" customWidth="1"/>
    <col min="1465" max="1465" width="4.140625" style="557" customWidth="1"/>
    <col min="1466" max="1466" width="5.85546875" style="557" customWidth="1"/>
    <col min="1467" max="1467" width="5.7109375" style="557" customWidth="1"/>
    <col min="1468" max="1468" width="4.7109375" style="557" customWidth="1"/>
    <col min="1469" max="1469" width="4.42578125" style="557" customWidth="1"/>
    <col min="1470" max="1473" width="0" style="557" hidden="1" customWidth="1"/>
    <col min="1474" max="1474" width="5.85546875" style="557" customWidth="1"/>
    <col min="1475" max="1475" width="5.42578125" style="557" customWidth="1"/>
    <col min="1476" max="1476" width="5.28515625" style="557" customWidth="1"/>
    <col min="1477" max="1477" width="4.85546875" style="557" customWidth="1"/>
    <col min="1478" max="1489" width="0" style="557" hidden="1" customWidth="1"/>
    <col min="1490" max="1490" width="5.85546875" style="557" customWidth="1"/>
    <col min="1491" max="1491" width="5.42578125" style="557" customWidth="1"/>
    <col min="1492" max="1492" width="5.140625" style="557" customWidth="1"/>
    <col min="1493" max="1493" width="4.140625" style="557" customWidth="1"/>
    <col min="1494" max="1494" width="6.140625" style="557" customWidth="1"/>
    <col min="1495" max="1496" width="5.5703125" style="557" customWidth="1"/>
    <col min="1497" max="1497" width="4.42578125" style="557" customWidth="1"/>
    <col min="1498" max="1509" width="0" style="557" hidden="1" customWidth="1"/>
    <col min="1510" max="1510" width="7.5703125" style="557" customWidth="1"/>
    <col min="1511" max="1511" width="6.42578125" style="557" customWidth="1"/>
    <col min="1512" max="1512" width="5.42578125" style="557" customWidth="1"/>
    <col min="1513" max="1513" width="5.140625" style="557" customWidth="1"/>
    <col min="1514" max="1514" width="5.7109375" style="557" customWidth="1"/>
    <col min="1515" max="1515" width="5.42578125" style="557" customWidth="1"/>
    <col min="1516" max="1516" width="4.5703125" style="557" customWidth="1"/>
    <col min="1517" max="1517" width="5.42578125" style="557" customWidth="1"/>
    <col min="1518" max="1520" width="5.85546875" style="557" customWidth="1"/>
    <col min="1521" max="1521" width="4.42578125" style="557" customWidth="1"/>
    <col min="1522" max="1536" width="0" style="557" hidden="1" customWidth="1"/>
    <col min="1537" max="1537" width="9.140625" style="557" customWidth="1"/>
    <col min="1538" max="1682" width="9.140625" style="557"/>
    <col min="1683" max="1683" width="3.140625" style="557" customWidth="1"/>
    <col min="1684" max="1684" width="12.28515625" style="557" customWidth="1"/>
    <col min="1685" max="1685" width="34.85546875" style="557" customWidth="1"/>
    <col min="1686" max="1686" width="8.42578125" style="557" customWidth="1"/>
    <col min="1687" max="1687" width="8.28515625" style="557" customWidth="1"/>
    <col min="1688" max="1688" width="9.42578125" style="557" customWidth="1"/>
    <col min="1689" max="1689" width="8.28515625" style="557" customWidth="1"/>
    <col min="1690" max="1692" width="6.42578125" style="557" customWidth="1"/>
    <col min="1693" max="1693" width="7.140625" style="557" customWidth="1"/>
    <col min="1694" max="1694" width="4.5703125" style="557" customWidth="1"/>
    <col min="1695" max="1695" width="6.7109375" style="557" customWidth="1"/>
    <col min="1696" max="1696" width="6.85546875" style="557" customWidth="1"/>
    <col min="1697" max="1697" width="6.28515625" style="557" customWidth="1"/>
    <col min="1698" max="1698" width="4" style="557" customWidth="1"/>
    <col min="1699" max="1699" width="7.28515625" style="557" customWidth="1"/>
    <col min="1700" max="1700" width="7.5703125" style="557" customWidth="1"/>
    <col min="1701" max="1701" width="6" style="557" customWidth="1"/>
    <col min="1702" max="1702" width="4.7109375" style="557" customWidth="1"/>
    <col min="1703" max="1703" width="5.42578125" style="557" customWidth="1"/>
    <col min="1704" max="1704" width="5.7109375" style="557" customWidth="1"/>
    <col min="1705" max="1705" width="5.85546875" style="557" customWidth="1"/>
    <col min="1706" max="1706" width="5.7109375" style="557" customWidth="1"/>
    <col min="1707" max="1717" width="0" style="557" hidden="1" customWidth="1"/>
    <col min="1718" max="1718" width="5.85546875" style="557" customWidth="1"/>
    <col min="1719" max="1719" width="5.7109375" style="557" customWidth="1"/>
    <col min="1720" max="1720" width="5" style="557" customWidth="1"/>
    <col min="1721" max="1721" width="4.140625" style="557" customWidth="1"/>
    <col min="1722" max="1722" width="5.85546875" style="557" customWidth="1"/>
    <col min="1723" max="1723" width="5.7109375" style="557" customWidth="1"/>
    <col min="1724" max="1724" width="4.7109375" style="557" customWidth="1"/>
    <col min="1725" max="1725" width="4.42578125" style="557" customWidth="1"/>
    <col min="1726" max="1729" width="0" style="557" hidden="1" customWidth="1"/>
    <col min="1730" max="1730" width="5.85546875" style="557" customWidth="1"/>
    <col min="1731" max="1731" width="5.42578125" style="557" customWidth="1"/>
    <col min="1732" max="1732" width="5.28515625" style="557" customWidth="1"/>
    <col min="1733" max="1733" width="4.85546875" style="557" customWidth="1"/>
    <col min="1734" max="1745" width="0" style="557" hidden="1" customWidth="1"/>
    <col min="1746" max="1746" width="5.85546875" style="557" customWidth="1"/>
    <col min="1747" max="1747" width="5.42578125" style="557" customWidth="1"/>
    <col min="1748" max="1748" width="5.140625" style="557" customWidth="1"/>
    <col min="1749" max="1749" width="4.140625" style="557" customWidth="1"/>
    <col min="1750" max="1750" width="6.140625" style="557" customWidth="1"/>
    <col min="1751" max="1752" width="5.5703125" style="557" customWidth="1"/>
    <col min="1753" max="1753" width="4.42578125" style="557" customWidth="1"/>
    <col min="1754" max="1765" width="0" style="557" hidden="1" customWidth="1"/>
    <col min="1766" max="1766" width="7.5703125" style="557" customWidth="1"/>
    <col min="1767" max="1767" width="6.42578125" style="557" customWidth="1"/>
    <col min="1768" max="1768" width="5.42578125" style="557" customWidth="1"/>
    <col min="1769" max="1769" width="5.140625" style="557" customWidth="1"/>
    <col min="1770" max="1770" width="5.7109375" style="557" customWidth="1"/>
    <col min="1771" max="1771" width="5.42578125" style="557" customWidth="1"/>
    <col min="1772" max="1772" width="4.5703125" style="557" customWidth="1"/>
    <col min="1773" max="1773" width="5.42578125" style="557" customWidth="1"/>
    <col min="1774" max="1776" width="5.85546875" style="557" customWidth="1"/>
    <col min="1777" max="1777" width="4.42578125" style="557" customWidth="1"/>
    <col min="1778" max="1792" width="0" style="557" hidden="1" customWidth="1"/>
    <col min="1793" max="1793" width="9.140625" style="557" customWidth="1"/>
    <col min="1794" max="1938" width="9.140625" style="557"/>
    <col min="1939" max="1939" width="3.140625" style="557" customWidth="1"/>
    <col min="1940" max="1940" width="12.28515625" style="557" customWidth="1"/>
    <col min="1941" max="1941" width="34.85546875" style="557" customWidth="1"/>
    <col min="1942" max="1942" width="8.42578125" style="557" customWidth="1"/>
    <col min="1943" max="1943" width="8.28515625" style="557" customWidth="1"/>
    <col min="1944" max="1944" width="9.42578125" style="557" customWidth="1"/>
    <col min="1945" max="1945" width="8.28515625" style="557" customWidth="1"/>
    <col min="1946" max="1948" width="6.42578125" style="557" customWidth="1"/>
    <col min="1949" max="1949" width="7.140625" style="557" customWidth="1"/>
    <col min="1950" max="1950" width="4.5703125" style="557" customWidth="1"/>
    <col min="1951" max="1951" width="6.7109375" style="557" customWidth="1"/>
    <col min="1952" max="1952" width="6.85546875" style="557" customWidth="1"/>
    <col min="1953" max="1953" width="6.28515625" style="557" customWidth="1"/>
    <col min="1954" max="1954" width="4" style="557" customWidth="1"/>
    <col min="1955" max="1955" width="7.28515625" style="557" customWidth="1"/>
    <col min="1956" max="1956" width="7.5703125" style="557" customWidth="1"/>
    <col min="1957" max="1957" width="6" style="557" customWidth="1"/>
    <col min="1958" max="1958" width="4.7109375" style="557" customWidth="1"/>
    <col min="1959" max="1959" width="5.42578125" style="557" customWidth="1"/>
    <col min="1960" max="1960" width="5.7109375" style="557" customWidth="1"/>
    <col min="1961" max="1961" width="5.85546875" style="557" customWidth="1"/>
    <col min="1962" max="1962" width="5.7109375" style="557" customWidth="1"/>
    <col min="1963" max="1973" width="0" style="557" hidden="1" customWidth="1"/>
    <col min="1974" max="1974" width="5.85546875" style="557" customWidth="1"/>
    <col min="1975" max="1975" width="5.7109375" style="557" customWidth="1"/>
    <col min="1976" max="1976" width="5" style="557" customWidth="1"/>
    <col min="1977" max="1977" width="4.140625" style="557" customWidth="1"/>
    <col min="1978" max="1978" width="5.85546875" style="557" customWidth="1"/>
    <col min="1979" max="1979" width="5.7109375" style="557" customWidth="1"/>
    <col min="1980" max="1980" width="4.7109375" style="557" customWidth="1"/>
    <col min="1981" max="1981" width="4.42578125" style="557" customWidth="1"/>
    <col min="1982" max="1985" width="0" style="557" hidden="1" customWidth="1"/>
    <col min="1986" max="1986" width="5.85546875" style="557" customWidth="1"/>
    <col min="1987" max="1987" width="5.42578125" style="557" customWidth="1"/>
    <col min="1988" max="1988" width="5.28515625" style="557" customWidth="1"/>
    <col min="1989" max="1989" width="4.85546875" style="557" customWidth="1"/>
    <col min="1990" max="2001" width="0" style="557" hidden="1" customWidth="1"/>
    <col min="2002" max="2002" width="5.85546875" style="557" customWidth="1"/>
    <col min="2003" max="2003" width="5.42578125" style="557" customWidth="1"/>
    <col min="2004" max="2004" width="5.140625" style="557" customWidth="1"/>
    <col min="2005" max="2005" width="4.140625" style="557" customWidth="1"/>
    <col min="2006" max="2006" width="6.140625" style="557" customWidth="1"/>
    <col min="2007" max="2008" width="5.5703125" style="557" customWidth="1"/>
    <col min="2009" max="2009" width="4.42578125" style="557" customWidth="1"/>
    <col min="2010" max="2021" width="0" style="557" hidden="1" customWidth="1"/>
    <col min="2022" max="2022" width="7.5703125" style="557" customWidth="1"/>
    <col min="2023" max="2023" width="6.42578125" style="557" customWidth="1"/>
    <col min="2024" max="2024" width="5.42578125" style="557" customWidth="1"/>
    <col min="2025" max="2025" width="5.140625" style="557" customWidth="1"/>
    <col min="2026" max="2026" width="5.7109375" style="557" customWidth="1"/>
    <col min="2027" max="2027" width="5.42578125" style="557" customWidth="1"/>
    <col min="2028" max="2028" width="4.5703125" style="557" customWidth="1"/>
    <col min="2029" max="2029" width="5.42578125" style="557" customWidth="1"/>
    <col min="2030" max="2032" width="5.85546875" style="557" customWidth="1"/>
    <col min="2033" max="2033" width="4.42578125" style="557" customWidth="1"/>
    <col min="2034" max="2048" width="0" style="557" hidden="1" customWidth="1"/>
    <col min="2049" max="2049" width="9.140625" style="557" customWidth="1"/>
    <col min="2050" max="2194" width="9.140625" style="557"/>
    <col min="2195" max="2195" width="3.140625" style="557" customWidth="1"/>
    <col min="2196" max="2196" width="12.28515625" style="557" customWidth="1"/>
    <col min="2197" max="2197" width="34.85546875" style="557" customWidth="1"/>
    <col min="2198" max="2198" width="8.42578125" style="557" customWidth="1"/>
    <col min="2199" max="2199" width="8.28515625" style="557" customWidth="1"/>
    <col min="2200" max="2200" width="9.42578125" style="557" customWidth="1"/>
    <col min="2201" max="2201" width="8.28515625" style="557" customWidth="1"/>
    <col min="2202" max="2204" width="6.42578125" style="557" customWidth="1"/>
    <col min="2205" max="2205" width="7.140625" style="557" customWidth="1"/>
    <col min="2206" max="2206" width="4.5703125" style="557" customWidth="1"/>
    <col min="2207" max="2207" width="6.7109375" style="557" customWidth="1"/>
    <col min="2208" max="2208" width="6.85546875" style="557" customWidth="1"/>
    <col min="2209" max="2209" width="6.28515625" style="557" customWidth="1"/>
    <col min="2210" max="2210" width="4" style="557" customWidth="1"/>
    <col min="2211" max="2211" width="7.28515625" style="557" customWidth="1"/>
    <col min="2212" max="2212" width="7.5703125" style="557" customWidth="1"/>
    <col min="2213" max="2213" width="6" style="557" customWidth="1"/>
    <col min="2214" max="2214" width="4.7109375" style="557" customWidth="1"/>
    <col min="2215" max="2215" width="5.42578125" style="557" customWidth="1"/>
    <col min="2216" max="2216" width="5.7109375" style="557" customWidth="1"/>
    <col min="2217" max="2217" width="5.85546875" style="557" customWidth="1"/>
    <col min="2218" max="2218" width="5.7109375" style="557" customWidth="1"/>
    <col min="2219" max="2229" width="0" style="557" hidden="1" customWidth="1"/>
    <col min="2230" max="2230" width="5.85546875" style="557" customWidth="1"/>
    <col min="2231" max="2231" width="5.7109375" style="557" customWidth="1"/>
    <col min="2232" max="2232" width="5" style="557" customWidth="1"/>
    <col min="2233" max="2233" width="4.140625" style="557" customWidth="1"/>
    <col min="2234" max="2234" width="5.85546875" style="557" customWidth="1"/>
    <col min="2235" max="2235" width="5.7109375" style="557" customWidth="1"/>
    <col min="2236" max="2236" width="4.7109375" style="557" customWidth="1"/>
    <col min="2237" max="2237" width="4.42578125" style="557" customWidth="1"/>
    <col min="2238" max="2241" width="0" style="557" hidden="1" customWidth="1"/>
    <col min="2242" max="2242" width="5.85546875" style="557" customWidth="1"/>
    <col min="2243" max="2243" width="5.42578125" style="557" customWidth="1"/>
    <col min="2244" max="2244" width="5.28515625" style="557" customWidth="1"/>
    <col min="2245" max="2245" width="4.85546875" style="557" customWidth="1"/>
    <col min="2246" max="2257" width="0" style="557" hidden="1" customWidth="1"/>
    <col min="2258" max="2258" width="5.85546875" style="557" customWidth="1"/>
    <col min="2259" max="2259" width="5.42578125" style="557" customWidth="1"/>
    <col min="2260" max="2260" width="5.140625" style="557" customWidth="1"/>
    <col min="2261" max="2261" width="4.140625" style="557" customWidth="1"/>
    <col min="2262" max="2262" width="6.140625" style="557" customWidth="1"/>
    <col min="2263" max="2264" width="5.5703125" style="557" customWidth="1"/>
    <col min="2265" max="2265" width="4.42578125" style="557" customWidth="1"/>
    <col min="2266" max="2277" width="0" style="557" hidden="1" customWidth="1"/>
    <col min="2278" max="2278" width="7.5703125" style="557" customWidth="1"/>
    <col min="2279" max="2279" width="6.42578125" style="557" customWidth="1"/>
    <col min="2280" max="2280" width="5.42578125" style="557" customWidth="1"/>
    <col min="2281" max="2281" width="5.140625" style="557" customWidth="1"/>
    <col min="2282" max="2282" width="5.7109375" style="557" customWidth="1"/>
    <col min="2283" max="2283" width="5.42578125" style="557" customWidth="1"/>
    <col min="2284" max="2284" width="4.5703125" style="557" customWidth="1"/>
    <col min="2285" max="2285" width="5.42578125" style="557" customWidth="1"/>
    <col min="2286" max="2288" width="5.85546875" style="557" customWidth="1"/>
    <col min="2289" max="2289" width="4.42578125" style="557" customWidth="1"/>
    <col min="2290" max="2304" width="0" style="557" hidden="1" customWidth="1"/>
    <col min="2305" max="2305" width="9.140625" style="557" customWidth="1"/>
    <col min="2306" max="2450" width="9.140625" style="557"/>
    <col min="2451" max="2451" width="3.140625" style="557" customWidth="1"/>
    <col min="2452" max="2452" width="12.28515625" style="557" customWidth="1"/>
    <col min="2453" max="2453" width="34.85546875" style="557" customWidth="1"/>
    <col min="2454" max="2454" width="8.42578125" style="557" customWidth="1"/>
    <col min="2455" max="2455" width="8.28515625" style="557" customWidth="1"/>
    <col min="2456" max="2456" width="9.42578125" style="557" customWidth="1"/>
    <col min="2457" max="2457" width="8.28515625" style="557" customWidth="1"/>
    <col min="2458" max="2460" width="6.42578125" style="557" customWidth="1"/>
    <col min="2461" max="2461" width="7.140625" style="557" customWidth="1"/>
    <col min="2462" max="2462" width="4.5703125" style="557" customWidth="1"/>
    <col min="2463" max="2463" width="6.7109375" style="557" customWidth="1"/>
    <col min="2464" max="2464" width="6.85546875" style="557" customWidth="1"/>
    <col min="2465" max="2465" width="6.28515625" style="557" customWidth="1"/>
    <col min="2466" max="2466" width="4" style="557" customWidth="1"/>
    <col min="2467" max="2467" width="7.28515625" style="557" customWidth="1"/>
    <col min="2468" max="2468" width="7.5703125" style="557" customWidth="1"/>
    <col min="2469" max="2469" width="6" style="557" customWidth="1"/>
    <col min="2470" max="2470" width="4.7109375" style="557" customWidth="1"/>
    <col min="2471" max="2471" width="5.42578125" style="557" customWidth="1"/>
    <col min="2472" max="2472" width="5.7109375" style="557" customWidth="1"/>
    <col min="2473" max="2473" width="5.85546875" style="557" customWidth="1"/>
    <col min="2474" max="2474" width="5.7109375" style="557" customWidth="1"/>
    <col min="2475" max="2485" width="0" style="557" hidden="1" customWidth="1"/>
    <col min="2486" max="2486" width="5.85546875" style="557" customWidth="1"/>
    <col min="2487" max="2487" width="5.7109375" style="557" customWidth="1"/>
    <col min="2488" max="2488" width="5" style="557" customWidth="1"/>
    <col min="2489" max="2489" width="4.140625" style="557" customWidth="1"/>
    <col min="2490" max="2490" width="5.85546875" style="557" customWidth="1"/>
    <col min="2491" max="2491" width="5.7109375" style="557" customWidth="1"/>
    <col min="2492" max="2492" width="4.7109375" style="557" customWidth="1"/>
    <col min="2493" max="2493" width="4.42578125" style="557" customWidth="1"/>
    <col min="2494" max="2497" width="0" style="557" hidden="1" customWidth="1"/>
    <col min="2498" max="2498" width="5.85546875" style="557" customWidth="1"/>
    <col min="2499" max="2499" width="5.42578125" style="557" customWidth="1"/>
    <col min="2500" max="2500" width="5.28515625" style="557" customWidth="1"/>
    <col min="2501" max="2501" width="4.85546875" style="557" customWidth="1"/>
    <col min="2502" max="2513" width="0" style="557" hidden="1" customWidth="1"/>
    <col min="2514" max="2514" width="5.85546875" style="557" customWidth="1"/>
    <col min="2515" max="2515" width="5.42578125" style="557" customWidth="1"/>
    <col min="2516" max="2516" width="5.140625" style="557" customWidth="1"/>
    <col min="2517" max="2517" width="4.140625" style="557" customWidth="1"/>
    <col min="2518" max="2518" width="6.140625" style="557" customWidth="1"/>
    <col min="2519" max="2520" width="5.5703125" style="557" customWidth="1"/>
    <col min="2521" max="2521" width="4.42578125" style="557" customWidth="1"/>
    <col min="2522" max="2533" width="0" style="557" hidden="1" customWidth="1"/>
    <col min="2534" max="2534" width="7.5703125" style="557" customWidth="1"/>
    <col min="2535" max="2535" width="6.42578125" style="557" customWidth="1"/>
    <col min="2536" max="2536" width="5.42578125" style="557" customWidth="1"/>
    <col min="2537" max="2537" width="5.140625" style="557" customWidth="1"/>
    <col min="2538" max="2538" width="5.7109375" style="557" customWidth="1"/>
    <col min="2539" max="2539" width="5.42578125" style="557" customWidth="1"/>
    <col min="2540" max="2540" width="4.5703125" style="557" customWidth="1"/>
    <col min="2541" max="2541" width="5.42578125" style="557" customWidth="1"/>
    <col min="2542" max="2544" width="5.85546875" style="557" customWidth="1"/>
    <col min="2545" max="2545" width="4.42578125" style="557" customWidth="1"/>
    <col min="2546" max="2560" width="0" style="557" hidden="1" customWidth="1"/>
    <col min="2561" max="2561" width="9.140625" style="557" customWidth="1"/>
    <col min="2562" max="2706" width="9.140625" style="557"/>
    <col min="2707" max="2707" width="3.140625" style="557" customWidth="1"/>
    <col min="2708" max="2708" width="12.28515625" style="557" customWidth="1"/>
    <col min="2709" max="2709" width="34.85546875" style="557" customWidth="1"/>
    <col min="2710" max="2710" width="8.42578125" style="557" customWidth="1"/>
    <col min="2711" max="2711" width="8.28515625" style="557" customWidth="1"/>
    <col min="2712" max="2712" width="9.42578125" style="557" customWidth="1"/>
    <col min="2713" max="2713" width="8.28515625" style="557" customWidth="1"/>
    <col min="2714" max="2716" width="6.42578125" style="557" customWidth="1"/>
    <col min="2717" max="2717" width="7.140625" style="557" customWidth="1"/>
    <col min="2718" max="2718" width="4.5703125" style="557" customWidth="1"/>
    <col min="2719" max="2719" width="6.7109375" style="557" customWidth="1"/>
    <col min="2720" max="2720" width="6.85546875" style="557" customWidth="1"/>
    <col min="2721" max="2721" width="6.28515625" style="557" customWidth="1"/>
    <col min="2722" max="2722" width="4" style="557" customWidth="1"/>
    <col min="2723" max="2723" width="7.28515625" style="557" customWidth="1"/>
    <col min="2724" max="2724" width="7.5703125" style="557" customWidth="1"/>
    <col min="2725" max="2725" width="6" style="557" customWidth="1"/>
    <col min="2726" max="2726" width="4.7109375" style="557" customWidth="1"/>
    <col min="2727" max="2727" width="5.42578125" style="557" customWidth="1"/>
    <col min="2728" max="2728" width="5.7109375" style="557" customWidth="1"/>
    <col min="2729" max="2729" width="5.85546875" style="557" customWidth="1"/>
    <col min="2730" max="2730" width="5.7109375" style="557" customWidth="1"/>
    <col min="2731" max="2741" width="0" style="557" hidden="1" customWidth="1"/>
    <col min="2742" max="2742" width="5.85546875" style="557" customWidth="1"/>
    <col min="2743" max="2743" width="5.7109375" style="557" customWidth="1"/>
    <col min="2744" max="2744" width="5" style="557" customWidth="1"/>
    <col min="2745" max="2745" width="4.140625" style="557" customWidth="1"/>
    <col min="2746" max="2746" width="5.85546875" style="557" customWidth="1"/>
    <col min="2747" max="2747" width="5.7109375" style="557" customWidth="1"/>
    <col min="2748" max="2748" width="4.7109375" style="557" customWidth="1"/>
    <col min="2749" max="2749" width="4.42578125" style="557" customWidth="1"/>
    <col min="2750" max="2753" width="0" style="557" hidden="1" customWidth="1"/>
    <col min="2754" max="2754" width="5.85546875" style="557" customWidth="1"/>
    <col min="2755" max="2755" width="5.42578125" style="557" customWidth="1"/>
    <col min="2756" max="2756" width="5.28515625" style="557" customWidth="1"/>
    <col min="2757" max="2757" width="4.85546875" style="557" customWidth="1"/>
    <col min="2758" max="2769" width="0" style="557" hidden="1" customWidth="1"/>
    <col min="2770" max="2770" width="5.85546875" style="557" customWidth="1"/>
    <col min="2771" max="2771" width="5.42578125" style="557" customWidth="1"/>
    <col min="2772" max="2772" width="5.140625" style="557" customWidth="1"/>
    <col min="2773" max="2773" width="4.140625" style="557" customWidth="1"/>
    <col min="2774" max="2774" width="6.140625" style="557" customWidth="1"/>
    <col min="2775" max="2776" width="5.5703125" style="557" customWidth="1"/>
    <col min="2777" max="2777" width="4.42578125" style="557" customWidth="1"/>
    <col min="2778" max="2789" width="0" style="557" hidden="1" customWidth="1"/>
    <col min="2790" max="2790" width="7.5703125" style="557" customWidth="1"/>
    <col min="2791" max="2791" width="6.42578125" style="557" customWidth="1"/>
    <col min="2792" max="2792" width="5.42578125" style="557" customWidth="1"/>
    <col min="2793" max="2793" width="5.140625" style="557" customWidth="1"/>
    <col min="2794" max="2794" width="5.7109375" style="557" customWidth="1"/>
    <col min="2795" max="2795" width="5.42578125" style="557" customWidth="1"/>
    <col min="2796" max="2796" width="4.5703125" style="557" customWidth="1"/>
    <col min="2797" max="2797" width="5.42578125" style="557" customWidth="1"/>
    <col min="2798" max="2800" width="5.85546875" style="557" customWidth="1"/>
    <col min="2801" max="2801" width="4.42578125" style="557" customWidth="1"/>
    <col min="2802" max="2816" width="0" style="557" hidden="1" customWidth="1"/>
    <col min="2817" max="2817" width="9.140625" style="557" customWidth="1"/>
    <col min="2818" max="2962" width="9.140625" style="557"/>
    <col min="2963" max="2963" width="3.140625" style="557" customWidth="1"/>
    <col min="2964" max="2964" width="12.28515625" style="557" customWidth="1"/>
    <col min="2965" max="2965" width="34.85546875" style="557" customWidth="1"/>
    <col min="2966" max="2966" width="8.42578125" style="557" customWidth="1"/>
    <col min="2967" max="2967" width="8.28515625" style="557" customWidth="1"/>
    <col min="2968" max="2968" width="9.42578125" style="557" customWidth="1"/>
    <col min="2969" max="2969" width="8.28515625" style="557" customWidth="1"/>
    <col min="2970" max="2972" width="6.42578125" style="557" customWidth="1"/>
    <col min="2973" max="2973" width="7.140625" style="557" customWidth="1"/>
    <col min="2974" max="2974" width="4.5703125" style="557" customWidth="1"/>
    <col min="2975" max="2975" width="6.7109375" style="557" customWidth="1"/>
    <col min="2976" max="2976" width="6.85546875" style="557" customWidth="1"/>
    <col min="2977" max="2977" width="6.28515625" style="557" customWidth="1"/>
    <col min="2978" max="2978" width="4" style="557" customWidth="1"/>
    <col min="2979" max="2979" width="7.28515625" style="557" customWidth="1"/>
    <col min="2980" max="2980" width="7.5703125" style="557" customWidth="1"/>
    <col min="2981" max="2981" width="6" style="557" customWidth="1"/>
    <col min="2982" max="2982" width="4.7109375" style="557" customWidth="1"/>
    <col min="2983" max="2983" width="5.42578125" style="557" customWidth="1"/>
    <col min="2984" max="2984" width="5.7109375" style="557" customWidth="1"/>
    <col min="2985" max="2985" width="5.85546875" style="557" customWidth="1"/>
    <col min="2986" max="2986" width="5.7109375" style="557" customWidth="1"/>
    <col min="2987" max="2997" width="0" style="557" hidden="1" customWidth="1"/>
    <col min="2998" max="2998" width="5.85546875" style="557" customWidth="1"/>
    <col min="2999" max="2999" width="5.7109375" style="557" customWidth="1"/>
    <col min="3000" max="3000" width="5" style="557" customWidth="1"/>
    <col min="3001" max="3001" width="4.140625" style="557" customWidth="1"/>
    <col min="3002" max="3002" width="5.85546875" style="557" customWidth="1"/>
    <col min="3003" max="3003" width="5.7109375" style="557" customWidth="1"/>
    <col min="3004" max="3004" width="4.7109375" style="557" customWidth="1"/>
    <col min="3005" max="3005" width="4.42578125" style="557" customWidth="1"/>
    <col min="3006" max="3009" width="0" style="557" hidden="1" customWidth="1"/>
    <col min="3010" max="3010" width="5.85546875" style="557" customWidth="1"/>
    <col min="3011" max="3011" width="5.42578125" style="557" customWidth="1"/>
    <col min="3012" max="3012" width="5.28515625" style="557" customWidth="1"/>
    <col min="3013" max="3013" width="4.85546875" style="557" customWidth="1"/>
    <col min="3014" max="3025" width="0" style="557" hidden="1" customWidth="1"/>
    <col min="3026" max="3026" width="5.85546875" style="557" customWidth="1"/>
    <col min="3027" max="3027" width="5.42578125" style="557" customWidth="1"/>
    <col min="3028" max="3028" width="5.140625" style="557" customWidth="1"/>
    <col min="3029" max="3029" width="4.140625" style="557" customWidth="1"/>
    <col min="3030" max="3030" width="6.140625" style="557" customWidth="1"/>
    <col min="3031" max="3032" width="5.5703125" style="557" customWidth="1"/>
    <col min="3033" max="3033" width="4.42578125" style="557" customWidth="1"/>
    <col min="3034" max="3045" width="0" style="557" hidden="1" customWidth="1"/>
    <col min="3046" max="3046" width="7.5703125" style="557" customWidth="1"/>
    <col min="3047" max="3047" width="6.42578125" style="557" customWidth="1"/>
    <col min="3048" max="3048" width="5.42578125" style="557" customWidth="1"/>
    <col min="3049" max="3049" width="5.140625" style="557" customWidth="1"/>
    <col min="3050" max="3050" width="5.7109375" style="557" customWidth="1"/>
    <col min="3051" max="3051" width="5.42578125" style="557" customWidth="1"/>
    <col min="3052" max="3052" width="4.5703125" style="557" customWidth="1"/>
    <col min="3053" max="3053" width="5.42578125" style="557" customWidth="1"/>
    <col min="3054" max="3056" width="5.85546875" style="557" customWidth="1"/>
    <col min="3057" max="3057" width="4.42578125" style="557" customWidth="1"/>
    <col min="3058" max="3072" width="0" style="557" hidden="1" customWidth="1"/>
    <col min="3073" max="3073" width="9.140625" style="557" customWidth="1"/>
    <col min="3074" max="3218" width="9.140625" style="557"/>
    <col min="3219" max="3219" width="3.140625" style="557" customWidth="1"/>
    <col min="3220" max="3220" width="12.28515625" style="557" customWidth="1"/>
    <col min="3221" max="3221" width="34.85546875" style="557" customWidth="1"/>
    <col min="3222" max="3222" width="8.42578125" style="557" customWidth="1"/>
    <col min="3223" max="3223" width="8.28515625" style="557" customWidth="1"/>
    <col min="3224" max="3224" width="9.42578125" style="557" customWidth="1"/>
    <col min="3225" max="3225" width="8.28515625" style="557" customWidth="1"/>
    <col min="3226" max="3228" width="6.42578125" style="557" customWidth="1"/>
    <col min="3229" max="3229" width="7.140625" style="557" customWidth="1"/>
    <col min="3230" max="3230" width="4.5703125" style="557" customWidth="1"/>
    <col min="3231" max="3231" width="6.7109375" style="557" customWidth="1"/>
    <col min="3232" max="3232" width="6.85546875" style="557" customWidth="1"/>
    <col min="3233" max="3233" width="6.28515625" style="557" customWidth="1"/>
    <col min="3234" max="3234" width="4" style="557" customWidth="1"/>
    <col min="3235" max="3235" width="7.28515625" style="557" customWidth="1"/>
    <col min="3236" max="3236" width="7.5703125" style="557" customWidth="1"/>
    <col min="3237" max="3237" width="6" style="557" customWidth="1"/>
    <col min="3238" max="3238" width="4.7109375" style="557" customWidth="1"/>
    <col min="3239" max="3239" width="5.42578125" style="557" customWidth="1"/>
    <col min="3240" max="3240" width="5.7109375" style="557" customWidth="1"/>
    <col min="3241" max="3241" width="5.85546875" style="557" customWidth="1"/>
    <col min="3242" max="3242" width="5.7109375" style="557" customWidth="1"/>
    <col min="3243" max="3253" width="0" style="557" hidden="1" customWidth="1"/>
    <col min="3254" max="3254" width="5.85546875" style="557" customWidth="1"/>
    <col min="3255" max="3255" width="5.7109375" style="557" customWidth="1"/>
    <col min="3256" max="3256" width="5" style="557" customWidth="1"/>
    <col min="3257" max="3257" width="4.140625" style="557" customWidth="1"/>
    <col min="3258" max="3258" width="5.85546875" style="557" customWidth="1"/>
    <col min="3259" max="3259" width="5.7109375" style="557" customWidth="1"/>
    <col min="3260" max="3260" width="4.7109375" style="557" customWidth="1"/>
    <col min="3261" max="3261" width="4.42578125" style="557" customWidth="1"/>
    <col min="3262" max="3265" width="0" style="557" hidden="1" customWidth="1"/>
    <col min="3266" max="3266" width="5.85546875" style="557" customWidth="1"/>
    <col min="3267" max="3267" width="5.42578125" style="557" customWidth="1"/>
    <col min="3268" max="3268" width="5.28515625" style="557" customWidth="1"/>
    <col min="3269" max="3269" width="4.85546875" style="557" customWidth="1"/>
    <col min="3270" max="3281" width="0" style="557" hidden="1" customWidth="1"/>
    <col min="3282" max="3282" width="5.85546875" style="557" customWidth="1"/>
    <col min="3283" max="3283" width="5.42578125" style="557" customWidth="1"/>
    <col min="3284" max="3284" width="5.140625" style="557" customWidth="1"/>
    <col min="3285" max="3285" width="4.140625" style="557" customWidth="1"/>
    <col min="3286" max="3286" width="6.140625" style="557" customWidth="1"/>
    <col min="3287" max="3288" width="5.5703125" style="557" customWidth="1"/>
    <col min="3289" max="3289" width="4.42578125" style="557" customWidth="1"/>
    <col min="3290" max="3301" width="0" style="557" hidden="1" customWidth="1"/>
    <col min="3302" max="3302" width="7.5703125" style="557" customWidth="1"/>
    <col min="3303" max="3303" width="6.42578125" style="557" customWidth="1"/>
    <col min="3304" max="3304" width="5.42578125" style="557" customWidth="1"/>
    <col min="3305" max="3305" width="5.140625" style="557" customWidth="1"/>
    <col min="3306" max="3306" width="5.7109375" style="557" customWidth="1"/>
    <col min="3307" max="3307" width="5.42578125" style="557" customWidth="1"/>
    <col min="3308" max="3308" width="4.5703125" style="557" customWidth="1"/>
    <col min="3309" max="3309" width="5.42578125" style="557" customWidth="1"/>
    <col min="3310" max="3312" width="5.85546875" style="557" customWidth="1"/>
    <col min="3313" max="3313" width="4.42578125" style="557" customWidth="1"/>
    <col min="3314" max="3328" width="0" style="557" hidden="1" customWidth="1"/>
    <col min="3329" max="3329" width="9.140625" style="557" customWidth="1"/>
    <col min="3330" max="3474" width="9.140625" style="557"/>
    <col min="3475" max="3475" width="3.140625" style="557" customWidth="1"/>
    <col min="3476" max="3476" width="12.28515625" style="557" customWidth="1"/>
    <col min="3477" max="3477" width="34.85546875" style="557" customWidth="1"/>
    <col min="3478" max="3478" width="8.42578125" style="557" customWidth="1"/>
    <col min="3479" max="3479" width="8.28515625" style="557" customWidth="1"/>
    <col min="3480" max="3480" width="9.42578125" style="557" customWidth="1"/>
    <col min="3481" max="3481" width="8.28515625" style="557" customWidth="1"/>
    <col min="3482" max="3484" width="6.42578125" style="557" customWidth="1"/>
    <col min="3485" max="3485" width="7.140625" style="557" customWidth="1"/>
    <col min="3486" max="3486" width="4.5703125" style="557" customWidth="1"/>
    <col min="3487" max="3487" width="6.7109375" style="557" customWidth="1"/>
    <col min="3488" max="3488" width="6.85546875" style="557" customWidth="1"/>
    <col min="3489" max="3489" width="6.28515625" style="557" customWidth="1"/>
    <col min="3490" max="3490" width="4" style="557" customWidth="1"/>
    <col min="3491" max="3491" width="7.28515625" style="557" customWidth="1"/>
    <col min="3492" max="3492" width="7.5703125" style="557" customWidth="1"/>
    <col min="3493" max="3493" width="6" style="557" customWidth="1"/>
    <col min="3494" max="3494" width="4.7109375" style="557" customWidth="1"/>
    <col min="3495" max="3495" width="5.42578125" style="557" customWidth="1"/>
    <col min="3496" max="3496" width="5.7109375" style="557" customWidth="1"/>
    <col min="3497" max="3497" width="5.85546875" style="557" customWidth="1"/>
    <col min="3498" max="3498" width="5.7109375" style="557" customWidth="1"/>
    <col min="3499" max="3509" width="0" style="557" hidden="1" customWidth="1"/>
    <col min="3510" max="3510" width="5.85546875" style="557" customWidth="1"/>
    <col min="3511" max="3511" width="5.7109375" style="557" customWidth="1"/>
    <col min="3512" max="3512" width="5" style="557" customWidth="1"/>
    <col min="3513" max="3513" width="4.140625" style="557" customWidth="1"/>
    <col min="3514" max="3514" width="5.85546875" style="557" customWidth="1"/>
    <col min="3515" max="3515" width="5.7109375" style="557" customWidth="1"/>
    <col min="3516" max="3516" width="4.7109375" style="557" customWidth="1"/>
    <col min="3517" max="3517" width="4.42578125" style="557" customWidth="1"/>
    <col min="3518" max="3521" width="0" style="557" hidden="1" customWidth="1"/>
    <col min="3522" max="3522" width="5.85546875" style="557" customWidth="1"/>
    <col min="3523" max="3523" width="5.42578125" style="557" customWidth="1"/>
    <col min="3524" max="3524" width="5.28515625" style="557" customWidth="1"/>
    <col min="3525" max="3525" width="4.85546875" style="557" customWidth="1"/>
    <col min="3526" max="3537" width="0" style="557" hidden="1" customWidth="1"/>
    <col min="3538" max="3538" width="5.85546875" style="557" customWidth="1"/>
    <col min="3539" max="3539" width="5.42578125" style="557" customWidth="1"/>
    <col min="3540" max="3540" width="5.140625" style="557" customWidth="1"/>
    <col min="3541" max="3541" width="4.140625" style="557" customWidth="1"/>
    <col min="3542" max="3542" width="6.140625" style="557" customWidth="1"/>
    <col min="3543" max="3544" width="5.5703125" style="557" customWidth="1"/>
    <col min="3545" max="3545" width="4.42578125" style="557" customWidth="1"/>
    <col min="3546" max="3557" width="0" style="557" hidden="1" customWidth="1"/>
    <col min="3558" max="3558" width="7.5703125" style="557" customWidth="1"/>
    <col min="3559" max="3559" width="6.42578125" style="557" customWidth="1"/>
    <col min="3560" max="3560" width="5.42578125" style="557" customWidth="1"/>
    <col min="3561" max="3561" width="5.140625" style="557" customWidth="1"/>
    <col min="3562" max="3562" width="5.7109375" style="557" customWidth="1"/>
    <col min="3563" max="3563" width="5.42578125" style="557" customWidth="1"/>
    <col min="3564" max="3564" width="4.5703125" style="557" customWidth="1"/>
    <col min="3565" max="3565" width="5.42578125" style="557" customWidth="1"/>
    <col min="3566" max="3568" width="5.85546875" style="557" customWidth="1"/>
    <col min="3569" max="3569" width="4.42578125" style="557" customWidth="1"/>
    <col min="3570" max="3584" width="0" style="557" hidden="1" customWidth="1"/>
    <col min="3585" max="3585" width="9.140625" style="557" customWidth="1"/>
    <col min="3586" max="3730" width="9.140625" style="557"/>
    <col min="3731" max="3731" width="3.140625" style="557" customWidth="1"/>
    <col min="3732" max="3732" width="12.28515625" style="557" customWidth="1"/>
    <col min="3733" max="3733" width="34.85546875" style="557" customWidth="1"/>
    <col min="3734" max="3734" width="8.42578125" style="557" customWidth="1"/>
    <col min="3735" max="3735" width="8.28515625" style="557" customWidth="1"/>
    <col min="3736" max="3736" width="9.42578125" style="557" customWidth="1"/>
    <col min="3737" max="3737" width="8.28515625" style="557" customWidth="1"/>
    <col min="3738" max="3740" width="6.42578125" style="557" customWidth="1"/>
    <col min="3741" max="3741" width="7.140625" style="557" customWidth="1"/>
    <col min="3742" max="3742" width="4.5703125" style="557" customWidth="1"/>
    <col min="3743" max="3743" width="6.7109375" style="557" customWidth="1"/>
    <col min="3744" max="3744" width="6.85546875" style="557" customWidth="1"/>
    <col min="3745" max="3745" width="6.28515625" style="557" customWidth="1"/>
    <col min="3746" max="3746" width="4" style="557" customWidth="1"/>
    <col min="3747" max="3747" width="7.28515625" style="557" customWidth="1"/>
    <col min="3748" max="3748" width="7.5703125" style="557" customWidth="1"/>
    <col min="3749" max="3749" width="6" style="557" customWidth="1"/>
    <col min="3750" max="3750" width="4.7109375" style="557" customWidth="1"/>
    <col min="3751" max="3751" width="5.42578125" style="557" customWidth="1"/>
    <col min="3752" max="3752" width="5.7109375" style="557" customWidth="1"/>
    <col min="3753" max="3753" width="5.85546875" style="557" customWidth="1"/>
    <col min="3754" max="3754" width="5.7109375" style="557" customWidth="1"/>
    <col min="3755" max="3765" width="0" style="557" hidden="1" customWidth="1"/>
    <col min="3766" max="3766" width="5.85546875" style="557" customWidth="1"/>
    <col min="3767" max="3767" width="5.7109375" style="557" customWidth="1"/>
    <col min="3768" max="3768" width="5" style="557" customWidth="1"/>
    <col min="3769" max="3769" width="4.140625" style="557" customWidth="1"/>
    <col min="3770" max="3770" width="5.85546875" style="557" customWidth="1"/>
    <col min="3771" max="3771" width="5.7109375" style="557" customWidth="1"/>
    <col min="3772" max="3772" width="4.7109375" style="557" customWidth="1"/>
    <col min="3773" max="3773" width="4.42578125" style="557" customWidth="1"/>
    <col min="3774" max="3777" width="0" style="557" hidden="1" customWidth="1"/>
    <col min="3778" max="3778" width="5.85546875" style="557" customWidth="1"/>
    <col min="3779" max="3779" width="5.42578125" style="557" customWidth="1"/>
    <col min="3780" max="3780" width="5.28515625" style="557" customWidth="1"/>
    <col min="3781" max="3781" width="4.85546875" style="557" customWidth="1"/>
    <col min="3782" max="3793" width="0" style="557" hidden="1" customWidth="1"/>
    <col min="3794" max="3794" width="5.85546875" style="557" customWidth="1"/>
    <col min="3795" max="3795" width="5.42578125" style="557" customWidth="1"/>
    <col min="3796" max="3796" width="5.140625" style="557" customWidth="1"/>
    <col min="3797" max="3797" width="4.140625" style="557" customWidth="1"/>
    <col min="3798" max="3798" width="6.140625" style="557" customWidth="1"/>
    <col min="3799" max="3800" width="5.5703125" style="557" customWidth="1"/>
    <col min="3801" max="3801" width="4.42578125" style="557" customWidth="1"/>
    <col min="3802" max="3813" width="0" style="557" hidden="1" customWidth="1"/>
    <col min="3814" max="3814" width="7.5703125" style="557" customWidth="1"/>
    <col min="3815" max="3815" width="6.42578125" style="557" customWidth="1"/>
    <col min="3816" max="3816" width="5.42578125" style="557" customWidth="1"/>
    <col min="3817" max="3817" width="5.140625" style="557" customWidth="1"/>
    <col min="3818" max="3818" width="5.7109375" style="557" customWidth="1"/>
    <col min="3819" max="3819" width="5.42578125" style="557" customWidth="1"/>
    <col min="3820" max="3820" width="4.5703125" style="557" customWidth="1"/>
    <col min="3821" max="3821" width="5.42578125" style="557" customWidth="1"/>
    <col min="3822" max="3824" width="5.85546875" style="557" customWidth="1"/>
    <col min="3825" max="3825" width="4.42578125" style="557" customWidth="1"/>
    <col min="3826" max="3840" width="0" style="557" hidden="1" customWidth="1"/>
    <col min="3841" max="3841" width="9.140625" style="557" customWidth="1"/>
    <col min="3842" max="3986" width="9.140625" style="557"/>
    <col min="3987" max="3987" width="3.140625" style="557" customWidth="1"/>
    <col min="3988" max="3988" width="12.28515625" style="557" customWidth="1"/>
    <col min="3989" max="3989" width="34.85546875" style="557" customWidth="1"/>
    <col min="3990" max="3990" width="8.42578125" style="557" customWidth="1"/>
    <col min="3991" max="3991" width="8.28515625" style="557" customWidth="1"/>
    <col min="3992" max="3992" width="9.42578125" style="557" customWidth="1"/>
    <col min="3993" max="3993" width="8.28515625" style="557" customWidth="1"/>
    <col min="3994" max="3996" width="6.42578125" style="557" customWidth="1"/>
    <col min="3997" max="3997" width="7.140625" style="557" customWidth="1"/>
    <col min="3998" max="3998" width="4.5703125" style="557" customWidth="1"/>
    <col min="3999" max="3999" width="6.7109375" style="557" customWidth="1"/>
    <col min="4000" max="4000" width="6.85546875" style="557" customWidth="1"/>
    <col min="4001" max="4001" width="6.28515625" style="557" customWidth="1"/>
    <col min="4002" max="4002" width="4" style="557" customWidth="1"/>
    <col min="4003" max="4003" width="7.28515625" style="557" customWidth="1"/>
    <col min="4004" max="4004" width="7.5703125" style="557" customWidth="1"/>
    <col min="4005" max="4005" width="6" style="557" customWidth="1"/>
    <col min="4006" max="4006" width="4.7109375" style="557" customWidth="1"/>
    <col min="4007" max="4007" width="5.42578125" style="557" customWidth="1"/>
    <col min="4008" max="4008" width="5.7109375" style="557" customWidth="1"/>
    <col min="4009" max="4009" width="5.85546875" style="557" customWidth="1"/>
    <col min="4010" max="4010" width="5.7109375" style="557" customWidth="1"/>
    <col min="4011" max="4021" width="0" style="557" hidden="1" customWidth="1"/>
    <col min="4022" max="4022" width="5.85546875" style="557" customWidth="1"/>
    <col min="4023" max="4023" width="5.7109375" style="557" customWidth="1"/>
    <col min="4024" max="4024" width="5" style="557" customWidth="1"/>
    <col min="4025" max="4025" width="4.140625" style="557" customWidth="1"/>
    <col min="4026" max="4026" width="5.85546875" style="557" customWidth="1"/>
    <col min="4027" max="4027" width="5.7109375" style="557" customWidth="1"/>
    <col min="4028" max="4028" width="4.7109375" style="557" customWidth="1"/>
    <col min="4029" max="4029" width="4.42578125" style="557" customWidth="1"/>
    <col min="4030" max="4033" width="0" style="557" hidden="1" customWidth="1"/>
    <col min="4034" max="4034" width="5.85546875" style="557" customWidth="1"/>
    <col min="4035" max="4035" width="5.42578125" style="557" customWidth="1"/>
    <col min="4036" max="4036" width="5.28515625" style="557" customWidth="1"/>
    <col min="4037" max="4037" width="4.85546875" style="557" customWidth="1"/>
    <col min="4038" max="4049" width="0" style="557" hidden="1" customWidth="1"/>
    <col min="4050" max="4050" width="5.85546875" style="557" customWidth="1"/>
    <col min="4051" max="4051" width="5.42578125" style="557" customWidth="1"/>
    <col min="4052" max="4052" width="5.140625" style="557" customWidth="1"/>
    <col min="4053" max="4053" width="4.140625" style="557" customWidth="1"/>
    <col min="4054" max="4054" width="6.140625" style="557" customWidth="1"/>
    <col min="4055" max="4056" width="5.5703125" style="557" customWidth="1"/>
    <col min="4057" max="4057" width="4.42578125" style="557" customWidth="1"/>
    <col min="4058" max="4069" width="0" style="557" hidden="1" customWidth="1"/>
    <col min="4070" max="4070" width="7.5703125" style="557" customWidth="1"/>
    <col min="4071" max="4071" width="6.42578125" style="557" customWidth="1"/>
    <col min="4072" max="4072" width="5.42578125" style="557" customWidth="1"/>
    <col min="4073" max="4073" width="5.140625" style="557" customWidth="1"/>
    <col min="4074" max="4074" width="5.7109375" style="557" customWidth="1"/>
    <col min="4075" max="4075" width="5.42578125" style="557" customWidth="1"/>
    <col min="4076" max="4076" width="4.5703125" style="557" customWidth="1"/>
    <col min="4077" max="4077" width="5.42578125" style="557" customWidth="1"/>
    <col min="4078" max="4080" width="5.85546875" style="557" customWidth="1"/>
    <col min="4081" max="4081" width="4.42578125" style="557" customWidth="1"/>
    <col min="4082" max="4096" width="0" style="557" hidden="1" customWidth="1"/>
    <col min="4097" max="4097" width="9.140625" style="557" customWidth="1"/>
    <col min="4098" max="4242" width="9.140625" style="557"/>
    <col min="4243" max="4243" width="3.140625" style="557" customWidth="1"/>
    <col min="4244" max="4244" width="12.28515625" style="557" customWidth="1"/>
    <col min="4245" max="4245" width="34.85546875" style="557" customWidth="1"/>
    <col min="4246" max="4246" width="8.42578125" style="557" customWidth="1"/>
    <col min="4247" max="4247" width="8.28515625" style="557" customWidth="1"/>
    <col min="4248" max="4248" width="9.42578125" style="557" customWidth="1"/>
    <col min="4249" max="4249" width="8.28515625" style="557" customWidth="1"/>
    <col min="4250" max="4252" width="6.42578125" style="557" customWidth="1"/>
    <col min="4253" max="4253" width="7.140625" style="557" customWidth="1"/>
    <col min="4254" max="4254" width="4.5703125" style="557" customWidth="1"/>
    <col min="4255" max="4255" width="6.7109375" style="557" customWidth="1"/>
    <col min="4256" max="4256" width="6.85546875" style="557" customWidth="1"/>
    <col min="4257" max="4257" width="6.28515625" style="557" customWidth="1"/>
    <col min="4258" max="4258" width="4" style="557" customWidth="1"/>
    <col min="4259" max="4259" width="7.28515625" style="557" customWidth="1"/>
    <col min="4260" max="4260" width="7.5703125" style="557" customWidth="1"/>
    <col min="4261" max="4261" width="6" style="557" customWidth="1"/>
    <col min="4262" max="4262" width="4.7109375" style="557" customWidth="1"/>
    <col min="4263" max="4263" width="5.42578125" style="557" customWidth="1"/>
    <col min="4264" max="4264" width="5.7109375" style="557" customWidth="1"/>
    <col min="4265" max="4265" width="5.85546875" style="557" customWidth="1"/>
    <col min="4266" max="4266" width="5.7109375" style="557" customWidth="1"/>
    <col min="4267" max="4277" width="0" style="557" hidden="1" customWidth="1"/>
    <col min="4278" max="4278" width="5.85546875" style="557" customWidth="1"/>
    <col min="4279" max="4279" width="5.7109375" style="557" customWidth="1"/>
    <col min="4280" max="4280" width="5" style="557" customWidth="1"/>
    <col min="4281" max="4281" width="4.140625" style="557" customWidth="1"/>
    <col min="4282" max="4282" width="5.85546875" style="557" customWidth="1"/>
    <col min="4283" max="4283" width="5.7109375" style="557" customWidth="1"/>
    <col min="4284" max="4284" width="4.7109375" style="557" customWidth="1"/>
    <col min="4285" max="4285" width="4.42578125" style="557" customWidth="1"/>
    <col min="4286" max="4289" width="0" style="557" hidden="1" customWidth="1"/>
    <col min="4290" max="4290" width="5.85546875" style="557" customWidth="1"/>
    <col min="4291" max="4291" width="5.42578125" style="557" customWidth="1"/>
    <col min="4292" max="4292" width="5.28515625" style="557" customWidth="1"/>
    <col min="4293" max="4293" width="4.85546875" style="557" customWidth="1"/>
    <col min="4294" max="4305" width="0" style="557" hidden="1" customWidth="1"/>
    <col min="4306" max="4306" width="5.85546875" style="557" customWidth="1"/>
    <col min="4307" max="4307" width="5.42578125" style="557" customWidth="1"/>
    <col min="4308" max="4308" width="5.140625" style="557" customWidth="1"/>
    <col min="4309" max="4309" width="4.140625" style="557" customWidth="1"/>
    <col min="4310" max="4310" width="6.140625" style="557" customWidth="1"/>
    <col min="4311" max="4312" width="5.5703125" style="557" customWidth="1"/>
    <col min="4313" max="4313" width="4.42578125" style="557" customWidth="1"/>
    <col min="4314" max="4325" width="0" style="557" hidden="1" customWidth="1"/>
    <col min="4326" max="4326" width="7.5703125" style="557" customWidth="1"/>
    <col min="4327" max="4327" width="6.42578125" style="557" customWidth="1"/>
    <col min="4328" max="4328" width="5.42578125" style="557" customWidth="1"/>
    <col min="4329" max="4329" width="5.140625" style="557" customWidth="1"/>
    <col min="4330" max="4330" width="5.7109375" style="557" customWidth="1"/>
    <col min="4331" max="4331" width="5.42578125" style="557" customWidth="1"/>
    <col min="4332" max="4332" width="4.5703125" style="557" customWidth="1"/>
    <col min="4333" max="4333" width="5.42578125" style="557" customWidth="1"/>
    <col min="4334" max="4336" width="5.85546875" style="557" customWidth="1"/>
    <col min="4337" max="4337" width="4.42578125" style="557" customWidth="1"/>
    <col min="4338" max="4352" width="0" style="557" hidden="1" customWidth="1"/>
    <col min="4353" max="4353" width="9.140625" style="557" customWidth="1"/>
    <col min="4354" max="4498" width="9.140625" style="557"/>
    <col min="4499" max="4499" width="3.140625" style="557" customWidth="1"/>
    <col min="4500" max="4500" width="12.28515625" style="557" customWidth="1"/>
    <col min="4501" max="4501" width="34.85546875" style="557" customWidth="1"/>
    <col min="4502" max="4502" width="8.42578125" style="557" customWidth="1"/>
    <col min="4503" max="4503" width="8.28515625" style="557" customWidth="1"/>
    <col min="4504" max="4504" width="9.42578125" style="557" customWidth="1"/>
    <col min="4505" max="4505" width="8.28515625" style="557" customWidth="1"/>
    <col min="4506" max="4508" width="6.42578125" style="557" customWidth="1"/>
    <col min="4509" max="4509" width="7.140625" style="557" customWidth="1"/>
    <col min="4510" max="4510" width="4.5703125" style="557" customWidth="1"/>
    <col min="4511" max="4511" width="6.7109375" style="557" customWidth="1"/>
    <col min="4512" max="4512" width="6.85546875" style="557" customWidth="1"/>
    <col min="4513" max="4513" width="6.28515625" style="557" customWidth="1"/>
    <col min="4514" max="4514" width="4" style="557" customWidth="1"/>
    <col min="4515" max="4515" width="7.28515625" style="557" customWidth="1"/>
    <col min="4516" max="4516" width="7.5703125" style="557" customWidth="1"/>
    <col min="4517" max="4517" width="6" style="557" customWidth="1"/>
    <col min="4518" max="4518" width="4.7109375" style="557" customWidth="1"/>
    <col min="4519" max="4519" width="5.42578125" style="557" customWidth="1"/>
    <col min="4520" max="4520" width="5.7109375" style="557" customWidth="1"/>
    <col min="4521" max="4521" width="5.85546875" style="557" customWidth="1"/>
    <col min="4522" max="4522" width="5.7109375" style="557" customWidth="1"/>
    <col min="4523" max="4533" width="0" style="557" hidden="1" customWidth="1"/>
    <col min="4534" max="4534" width="5.85546875" style="557" customWidth="1"/>
    <col min="4535" max="4535" width="5.7109375" style="557" customWidth="1"/>
    <col min="4536" max="4536" width="5" style="557" customWidth="1"/>
    <col min="4537" max="4537" width="4.140625" style="557" customWidth="1"/>
    <col min="4538" max="4538" width="5.85546875" style="557" customWidth="1"/>
    <col min="4539" max="4539" width="5.7109375" style="557" customWidth="1"/>
    <col min="4540" max="4540" width="4.7109375" style="557" customWidth="1"/>
    <col min="4541" max="4541" width="4.42578125" style="557" customWidth="1"/>
    <col min="4542" max="4545" width="0" style="557" hidden="1" customWidth="1"/>
    <col min="4546" max="4546" width="5.85546875" style="557" customWidth="1"/>
    <col min="4547" max="4547" width="5.42578125" style="557" customWidth="1"/>
    <col min="4548" max="4548" width="5.28515625" style="557" customWidth="1"/>
    <col min="4549" max="4549" width="4.85546875" style="557" customWidth="1"/>
    <col min="4550" max="4561" width="0" style="557" hidden="1" customWidth="1"/>
    <col min="4562" max="4562" width="5.85546875" style="557" customWidth="1"/>
    <col min="4563" max="4563" width="5.42578125" style="557" customWidth="1"/>
    <col min="4564" max="4564" width="5.140625" style="557" customWidth="1"/>
    <col min="4565" max="4565" width="4.140625" style="557" customWidth="1"/>
    <col min="4566" max="4566" width="6.140625" style="557" customWidth="1"/>
    <col min="4567" max="4568" width="5.5703125" style="557" customWidth="1"/>
    <col min="4569" max="4569" width="4.42578125" style="557" customWidth="1"/>
    <col min="4570" max="4581" width="0" style="557" hidden="1" customWidth="1"/>
    <col min="4582" max="4582" width="7.5703125" style="557" customWidth="1"/>
    <col min="4583" max="4583" width="6.42578125" style="557" customWidth="1"/>
    <col min="4584" max="4584" width="5.42578125" style="557" customWidth="1"/>
    <col min="4585" max="4585" width="5.140625" style="557" customWidth="1"/>
    <col min="4586" max="4586" width="5.7109375" style="557" customWidth="1"/>
    <col min="4587" max="4587" width="5.42578125" style="557" customWidth="1"/>
    <col min="4588" max="4588" width="4.5703125" style="557" customWidth="1"/>
    <col min="4589" max="4589" width="5.42578125" style="557" customWidth="1"/>
    <col min="4590" max="4592" width="5.85546875" style="557" customWidth="1"/>
    <col min="4593" max="4593" width="4.42578125" style="557" customWidth="1"/>
    <col min="4594" max="4608" width="0" style="557" hidden="1" customWidth="1"/>
    <col min="4609" max="4609" width="9.140625" style="557" customWidth="1"/>
    <col min="4610" max="4754" width="9.140625" style="557"/>
    <col min="4755" max="4755" width="3.140625" style="557" customWidth="1"/>
    <col min="4756" max="4756" width="12.28515625" style="557" customWidth="1"/>
    <col min="4757" max="4757" width="34.85546875" style="557" customWidth="1"/>
    <col min="4758" max="4758" width="8.42578125" style="557" customWidth="1"/>
    <col min="4759" max="4759" width="8.28515625" style="557" customWidth="1"/>
    <col min="4760" max="4760" width="9.42578125" style="557" customWidth="1"/>
    <col min="4761" max="4761" width="8.28515625" style="557" customWidth="1"/>
    <col min="4762" max="4764" width="6.42578125" style="557" customWidth="1"/>
    <col min="4765" max="4765" width="7.140625" style="557" customWidth="1"/>
    <col min="4766" max="4766" width="4.5703125" style="557" customWidth="1"/>
    <col min="4767" max="4767" width="6.7109375" style="557" customWidth="1"/>
    <col min="4768" max="4768" width="6.85546875" style="557" customWidth="1"/>
    <col min="4769" max="4769" width="6.28515625" style="557" customWidth="1"/>
    <col min="4770" max="4770" width="4" style="557" customWidth="1"/>
    <col min="4771" max="4771" width="7.28515625" style="557" customWidth="1"/>
    <col min="4772" max="4772" width="7.5703125" style="557" customWidth="1"/>
    <col min="4773" max="4773" width="6" style="557" customWidth="1"/>
    <col min="4774" max="4774" width="4.7109375" style="557" customWidth="1"/>
    <col min="4775" max="4775" width="5.42578125" style="557" customWidth="1"/>
    <col min="4776" max="4776" width="5.7109375" style="557" customWidth="1"/>
    <col min="4777" max="4777" width="5.85546875" style="557" customWidth="1"/>
    <col min="4778" max="4778" width="5.7109375" style="557" customWidth="1"/>
    <col min="4779" max="4789" width="0" style="557" hidden="1" customWidth="1"/>
    <col min="4790" max="4790" width="5.85546875" style="557" customWidth="1"/>
    <col min="4791" max="4791" width="5.7109375" style="557" customWidth="1"/>
    <col min="4792" max="4792" width="5" style="557" customWidth="1"/>
    <col min="4793" max="4793" width="4.140625" style="557" customWidth="1"/>
    <col min="4794" max="4794" width="5.85546875" style="557" customWidth="1"/>
    <col min="4795" max="4795" width="5.7109375" style="557" customWidth="1"/>
    <col min="4796" max="4796" width="4.7109375" style="557" customWidth="1"/>
    <col min="4797" max="4797" width="4.42578125" style="557" customWidth="1"/>
    <col min="4798" max="4801" width="0" style="557" hidden="1" customWidth="1"/>
    <col min="4802" max="4802" width="5.85546875" style="557" customWidth="1"/>
    <col min="4803" max="4803" width="5.42578125" style="557" customWidth="1"/>
    <col min="4804" max="4804" width="5.28515625" style="557" customWidth="1"/>
    <col min="4805" max="4805" width="4.85546875" style="557" customWidth="1"/>
    <col min="4806" max="4817" width="0" style="557" hidden="1" customWidth="1"/>
    <col min="4818" max="4818" width="5.85546875" style="557" customWidth="1"/>
    <col min="4819" max="4819" width="5.42578125" style="557" customWidth="1"/>
    <col min="4820" max="4820" width="5.140625" style="557" customWidth="1"/>
    <col min="4821" max="4821" width="4.140625" style="557" customWidth="1"/>
    <col min="4822" max="4822" width="6.140625" style="557" customWidth="1"/>
    <col min="4823" max="4824" width="5.5703125" style="557" customWidth="1"/>
    <col min="4825" max="4825" width="4.42578125" style="557" customWidth="1"/>
    <col min="4826" max="4837" width="0" style="557" hidden="1" customWidth="1"/>
    <col min="4838" max="4838" width="7.5703125" style="557" customWidth="1"/>
    <col min="4839" max="4839" width="6.42578125" style="557" customWidth="1"/>
    <col min="4840" max="4840" width="5.42578125" style="557" customWidth="1"/>
    <col min="4841" max="4841" width="5.140625" style="557" customWidth="1"/>
    <col min="4842" max="4842" width="5.7109375" style="557" customWidth="1"/>
    <col min="4843" max="4843" width="5.42578125" style="557" customWidth="1"/>
    <col min="4844" max="4844" width="4.5703125" style="557" customWidth="1"/>
    <col min="4845" max="4845" width="5.42578125" style="557" customWidth="1"/>
    <col min="4846" max="4848" width="5.85546875" style="557" customWidth="1"/>
    <col min="4849" max="4849" width="4.42578125" style="557" customWidth="1"/>
    <col min="4850" max="4864" width="0" style="557" hidden="1" customWidth="1"/>
    <col min="4865" max="4865" width="9.140625" style="557" customWidth="1"/>
    <col min="4866" max="5010" width="9.140625" style="557"/>
    <col min="5011" max="5011" width="3.140625" style="557" customWidth="1"/>
    <col min="5012" max="5012" width="12.28515625" style="557" customWidth="1"/>
    <col min="5013" max="5013" width="34.85546875" style="557" customWidth="1"/>
    <col min="5014" max="5014" width="8.42578125" style="557" customWidth="1"/>
    <col min="5015" max="5015" width="8.28515625" style="557" customWidth="1"/>
    <col min="5016" max="5016" width="9.42578125" style="557" customWidth="1"/>
    <col min="5017" max="5017" width="8.28515625" style="557" customWidth="1"/>
    <col min="5018" max="5020" width="6.42578125" style="557" customWidth="1"/>
    <col min="5021" max="5021" width="7.140625" style="557" customWidth="1"/>
    <col min="5022" max="5022" width="4.5703125" style="557" customWidth="1"/>
    <col min="5023" max="5023" width="6.7109375" style="557" customWidth="1"/>
    <col min="5024" max="5024" width="6.85546875" style="557" customWidth="1"/>
    <col min="5025" max="5025" width="6.28515625" style="557" customWidth="1"/>
    <col min="5026" max="5026" width="4" style="557" customWidth="1"/>
    <col min="5027" max="5027" width="7.28515625" style="557" customWidth="1"/>
    <col min="5028" max="5028" width="7.5703125" style="557" customWidth="1"/>
    <col min="5029" max="5029" width="6" style="557" customWidth="1"/>
    <col min="5030" max="5030" width="4.7109375" style="557" customWidth="1"/>
    <col min="5031" max="5031" width="5.42578125" style="557" customWidth="1"/>
    <col min="5032" max="5032" width="5.7109375" style="557" customWidth="1"/>
    <col min="5033" max="5033" width="5.85546875" style="557" customWidth="1"/>
    <col min="5034" max="5034" width="5.7109375" style="557" customWidth="1"/>
    <col min="5035" max="5045" width="0" style="557" hidden="1" customWidth="1"/>
    <col min="5046" max="5046" width="5.85546875" style="557" customWidth="1"/>
    <col min="5047" max="5047" width="5.7109375" style="557" customWidth="1"/>
    <col min="5048" max="5048" width="5" style="557" customWidth="1"/>
    <col min="5049" max="5049" width="4.140625" style="557" customWidth="1"/>
    <col min="5050" max="5050" width="5.85546875" style="557" customWidth="1"/>
    <col min="5051" max="5051" width="5.7109375" style="557" customWidth="1"/>
    <col min="5052" max="5052" width="4.7109375" style="557" customWidth="1"/>
    <col min="5053" max="5053" width="4.42578125" style="557" customWidth="1"/>
    <col min="5054" max="5057" width="0" style="557" hidden="1" customWidth="1"/>
    <col min="5058" max="5058" width="5.85546875" style="557" customWidth="1"/>
    <col min="5059" max="5059" width="5.42578125" style="557" customWidth="1"/>
    <col min="5060" max="5060" width="5.28515625" style="557" customWidth="1"/>
    <col min="5061" max="5061" width="4.85546875" style="557" customWidth="1"/>
    <col min="5062" max="5073" width="0" style="557" hidden="1" customWidth="1"/>
    <col min="5074" max="5074" width="5.85546875" style="557" customWidth="1"/>
    <col min="5075" max="5075" width="5.42578125" style="557" customWidth="1"/>
    <col min="5076" max="5076" width="5.140625" style="557" customWidth="1"/>
    <col min="5077" max="5077" width="4.140625" style="557" customWidth="1"/>
    <col min="5078" max="5078" width="6.140625" style="557" customWidth="1"/>
    <col min="5079" max="5080" width="5.5703125" style="557" customWidth="1"/>
    <col min="5081" max="5081" width="4.42578125" style="557" customWidth="1"/>
    <col min="5082" max="5093" width="0" style="557" hidden="1" customWidth="1"/>
    <col min="5094" max="5094" width="7.5703125" style="557" customWidth="1"/>
    <col min="5095" max="5095" width="6.42578125" style="557" customWidth="1"/>
    <col min="5096" max="5096" width="5.42578125" style="557" customWidth="1"/>
    <col min="5097" max="5097" width="5.140625" style="557" customWidth="1"/>
    <col min="5098" max="5098" width="5.7109375" style="557" customWidth="1"/>
    <col min="5099" max="5099" width="5.42578125" style="557" customWidth="1"/>
    <col min="5100" max="5100" width="4.5703125" style="557" customWidth="1"/>
    <col min="5101" max="5101" width="5.42578125" style="557" customWidth="1"/>
    <col min="5102" max="5104" width="5.85546875" style="557" customWidth="1"/>
    <col min="5105" max="5105" width="4.42578125" style="557" customWidth="1"/>
    <col min="5106" max="5120" width="0" style="557" hidden="1" customWidth="1"/>
    <col min="5121" max="5121" width="9.140625" style="557" customWidth="1"/>
    <col min="5122" max="5266" width="9.140625" style="557"/>
    <col min="5267" max="5267" width="3.140625" style="557" customWidth="1"/>
    <col min="5268" max="5268" width="12.28515625" style="557" customWidth="1"/>
    <col min="5269" max="5269" width="34.85546875" style="557" customWidth="1"/>
    <col min="5270" max="5270" width="8.42578125" style="557" customWidth="1"/>
    <col min="5271" max="5271" width="8.28515625" style="557" customWidth="1"/>
    <col min="5272" max="5272" width="9.42578125" style="557" customWidth="1"/>
    <col min="5273" max="5273" width="8.28515625" style="557" customWidth="1"/>
    <col min="5274" max="5276" width="6.42578125" style="557" customWidth="1"/>
    <col min="5277" max="5277" width="7.140625" style="557" customWidth="1"/>
    <col min="5278" max="5278" width="4.5703125" style="557" customWidth="1"/>
    <col min="5279" max="5279" width="6.7109375" style="557" customWidth="1"/>
    <col min="5280" max="5280" width="6.85546875" style="557" customWidth="1"/>
    <col min="5281" max="5281" width="6.28515625" style="557" customWidth="1"/>
    <col min="5282" max="5282" width="4" style="557" customWidth="1"/>
    <col min="5283" max="5283" width="7.28515625" style="557" customWidth="1"/>
    <col min="5284" max="5284" width="7.5703125" style="557" customWidth="1"/>
    <col min="5285" max="5285" width="6" style="557" customWidth="1"/>
    <col min="5286" max="5286" width="4.7109375" style="557" customWidth="1"/>
    <col min="5287" max="5287" width="5.42578125" style="557" customWidth="1"/>
    <col min="5288" max="5288" width="5.7109375" style="557" customWidth="1"/>
    <col min="5289" max="5289" width="5.85546875" style="557" customWidth="1"/>
    <col min="5290" max="5290" width="5.7109375" style="557" customWidth="1"/>
    <col min="5291" max="5301" width="0" style="557" hidden="1" customWidth="1"/>
    <col min="5302" max="5302" width="5.85546875" style="557" customWidth="1"/>
    <col min="5303" max="5303" width="5.7109375" style="557" customWidth="1"/>
    <col min="5304" max="5304" width="5" style="557" customWidth="1"/>
    <col min="5305" max="5305" width="4.140625" style="557" customWidth="1"/>
    <col min="5306" max="5306" width="5.85546875" style="557" customWidth="1"/>
    <col min="5307" max="5307" width="5.7109375" style="557" customWidth="1"/>
    <col min="5308" max="5308" width="4.7109375" style="557" customWidth="1"/>
    <col min="5309" max="5309" width="4.42578125" style="557" customWidth="1"/>
    <col min="5310" max="5313" width="0" style="557" hidden="1" customWidth="1"/>
    <col min="5314" max="5314" width="5.85546875" style="557" customWidth="1"/>
    <col min="5315" max="5315" width="5.42578125" style="557" customWidth="1"/>
    <col min="5316" max="5316" width="5.28515625" style="557" customWidth="1"/>
    <col min="5317" max="5317" width="4.85546875" style="557" customWidth="1"/>
    <col min="5318" max="5329" width="0" style="557" hidden="1" customWidth="1"/>
    <col min="5330" max="5330" width="5.85546875" style="557" customWidth="1"/>
    <col min="5331" max="5331" width="5.42578125" style="557" customWidth="1"/>
    <col min="5332" max="5332" width="5.140625" style="557" customWidth="1"/>
    <col min="5333" max="5333" width="4.140625" style="557" customWidth="1"/>
    <col min="5334" max="5334" width="6.140625" style="557" customWidth="1"/>
    <col min="5335" max="5336" width="5.5703125" style="557" customWidth="1"/>
    <col min="5337" max="5337" width="4.42578125" style="557" customWidth="1"/>
    <col min="5338" max="5349" width="0" style="557" hidden="1" customWidth="1"/>
    <col min="5350" max="5350" width="7.5703125" style="557" customWidth="1"/>
    <col min="5351" max="5351" width="6.42578125" style="557" customWidth="1"/>
    <col min="5352" max="5352" width="5.42578125" style="557" customWidth="1"/>
    <col min="5353" max="5353" width="5.140625" style="557" customWidth="1"/>
    <col min="5354" max="5354" width="5.7109375" style="557" customWidth="1"/>
    <col min="5355" max="5355" width="5.42578125" style="557" customWidth="1"/>
    <col min="5356" max="5356" width="4.5703125" style="557" customWidth="1"/>
    <col min="5357" max="5357" width="5.42578125" style="557" customWidth="1"/>
    <col min="5358" max="5360" width="5.85546875" style="557" customWidth="1"/>
    <col min="5361" max="5361" width="4.42578125" style="557" customWidth="1"/>
    <col min="5362" max="5376" width="0" style="557" hidden="1" customWidth="1"/>
    <col min="5377" max="5377" width="9.140625" style="557" customWidth="1"/>
    <col min="5378" max="5522" width="9.140625" style="557"/>
    <col min="5523" max="5523" width="3.140625" style="557" customWidth="1"/>
    <col min="5524" max="5524" width="12.28515625" style="557" customWidth="1"/>
    <col min="5525" max="5525" width="34.85546875" style="557" customWidth="1"/>
    <col min="5526" max="5526" width="8.42578125" style="557" customWidth="1"/>
    <col min="5527" max="5527" width="8.28515625" style="557" customWidth="1"/>
    <col min="5528" max="5528" width="9.42578125" style="557" customWidth="1"/>
    <col min="5529" max="5529" width="8.28515625" style="557" customWidth="1"/>
    <col min="5530" max="5532" width="6.42578125" style="557" customWidth="1"/>
    <col min="5533" max="5533" width="7.140625" style="557" customWidth="1"/>
    <col min="5534" max="5534" width="4.5703125" style="557" customWidth="1"/>
    <col min="5535" max="5535" width="6.7109375" style="557" customWidth="1"/>
    <col min="5536" max="5536" width="6.85546875" style="557" customWidth="1"/>
    <col min="5537" max="5537" width="6.28515625" style="557" customWidth="1"/>
    <col min="5538" max="5538" width="4" style="557" customWidth="1"/>
    <col min="5539" max="5539" width="7.28515625" style="557" customWidth="1"/>
    <col min="5540" max="5540" width="7.5703125" style="557" customWidth="1"/>
    <col min="5541" max="5541" width="6" style="557" customWidth="1"/>
    <col min="5542" max="5542" width="4.7109375" style="557" customWidth="1"/>
    <col min="5543" max="5543" width="5.42578125" style="557" customWidth="1"/>
    <col min="5544" max="5544" width="5.7109375" style="557" customWidth="1"/>
    <col min="5545" max="5545" width="5.85546875" style="557" customWidth="1"/>
    <col min="5546" max="5546" width="5.7109375" style="557" customWidth="1"/>
    <col min="5547" max="5557" width="0" style="557" hidden="1" customWidth="1"/>
    <col min="5558" max="5558" width="5.85546875" style="557" customWidth="1"/>
    <col min="5559" max="5559" width="5.7109375" style="557" customWidth="1"/>
    <col min="5560" max="5560" width="5" style="557" customWidth="1"/>
    <col min="5561" max="5561" width="4.140625" style="557" customWidth="1"/>
    <col min="5562" max="5562" width="5.85546875" style="557" customWidth="1"/>
    <col min="5563" max="5563" width="5.7109375" style="557" customWidth="1"/>
    <col min="5564" max="5564" width="4.7109375" style="557" customWidth="1"/>
    <col min="5565" max="5565" width="4.42578125" style="557" customWidth="1"/>
    <col min="5566" max="5569" width="0" style="557" hidden="1" customWidth="1"/>
    <col min="5570" max="5570" width="5.85546875" style="557" customWidth="1"/>
    <col min="5571" max="5571" width="5.42578125" style="557" customWidth="1"/>
    <col min="5572" max="5572" width="5.28515625" style="557" customWidth="1"/>
    <col min="5573" max="5573" width="4.85546875" style="557" customWidth="1"/>
    <col min="5574" max="5585" width="0" style="557" hidden="1" customWidth="1"/>
    <col min="5586" max="5586" width="5.85546875" style="557" customWidth="1"/>
    <col min="5587" max="5587" width="5.42578125" style="557" customWidth="1"/>
    <col min="5588" max="5588" width="5.140625" style="557" customWidth="1"/>
    <col min="5589" max="5589" width="4.140625" style="557" customWidth="1"/>
    <col min="5590" max="5590" width="6.140625" style="557" customWidth="1"/>
    <col min="5591" max="5592" width="5.5703125" style="557" customWidth="1"/>
    <col min="5593" max="5593" width="4.42578125" style="557" customWidth="1"/>
    <col min="5594" max="5605" width="0" style="557" hidden="1" customWidth="1"/>
    <col min="5606" max="5606" width="7.5703125" style="557" customWidth="1"/>
    <col min="5607" max="5607" width="6.42578125" style="557" customWidth="1"/>
    <col min="5608" max="5608" width="5.42578125" style="557" customWidth="1"/>
    <col min="5609" max="5609" width="5.140625" style="557" customWidth="1"/>
    <col min="5610" max="5610" width="5.7109375" style="557" customWidth="1"/>
    <col min="5611" max="5611" width="5.42578125" style="557" customWidth="1"/>
    <col min="5612" max="5612" width="4.5703125" style="557" customWidth="1"/>
    <col min="5613" max="5613" width="5.42578125" style="557" customWidth="1"/>
    <col min="5614" max="5616" width="5.85546875" style="557" customWidth="1"/>
    <col min="5617" max="5617" width="4.42578125" style="557" customWidth="1"/>
    <col min="5618" max="5632" width="0" style="557" hidden="1" customWidth="1"/>
    <col min="5633" max="5633" width="9.140625" style="557" customWidth="1"/>
    <col min="5634" max="5778" width="9.140625" style="557"/>
    <col min="5779" max="5779" width="3.140625" style="557" customWidth="1"/>
    <col min="5780" max="5780" width="12.28515625" style="557" customWidth="1"/>
    <col min="5781" max="5781" width="34.85546875" style="557" customWidth="1"/>
    <col min="5782" max="5782" width="8.42578125" style="557" customWidth="1"/>
    <col min="5783" max="5783" width="8.28515625" style="557" customWidth="1"/>
    <col min="5784" max="5784" width="9.42578125" style="557" customWidth="1"/>
    <col min="5785" max="5785" width="8.28515625" style="557" customWidth="1"/>
    <col min="5786" max="5788" width="6.42578125" style="557" customWidth="1"/>
    <col min="5789" max="5789" width="7.140625" style="557" customWidth="1"/>
    <col min="5790" max="5790" width="4.5703125" style="557" customWidth="1"/>
    <col min="5791" max="5791" width="6.7109375" style="557" customWidth="1"/>
    <col min="5792" max="5792" width="6.85546875" style="557" customWidth="1"/>
    <col min="5793" max="5793" width="6.28515625" style="557" customWidth="1"/>
    <col min="5794" max="5794" width="4" style="557" customWidth="1"/>
    <col min="5795" max="5795" width="7.28515625" style="557" customWidth="1"/>
    <col min="5796" max="5796" width="7.5703125" style="557" customWidth="1"/>
    <col min="5797" max="5797" width="6" style="557" customWidth="1"/>
    <col min="5798" max="5798" width="4.7109375" style="557" customWidth="1"/>
    <col min="5799" max="5799" width="5.42578125" style="557" customWidth="1"/>
    <col min="5800" max="5800" width="5.7109375" style="557" customWidth="1"/>
    <col min="5801" max="5801" width="5.85546875" style="557" customWidth="1"/>
    <col min="5802" max="5802" width="5.7109375" style="557" customWidth="1"/>
    <col min="5803" max="5813" width="0" style="557" hidden="1" customWidth="1"/>
    <col min="5814" max="5814" width="5.85546875" style="557" customWidth="1"/>
    <col min="5815" max="5815" width="5.7109375" style="557" customWidth="1"/>
    <col min="5816" max="5816" width="5" style="557" customWidth="1"/>
    <col min="5817" max="5817" width="4.140625" style="557" customWidth="1"/>
    <col min="5818" max="5818" width="5.85546875" style="557" customWidth="1"/>
    <col min="5819" max="5819" width="5.7109375" style="557" customWidth="1"/>
    <col min="5820" max="5820" width="4.7109375" style="557" customWidth="1"/>
    <col min="5821" max="5821" width="4.42578125" style="557" customWidth="1"/>
    <col min="5822" max="5825" width="0" style="557" hidden="1" customWidth="1"/>
    <col min="5826" max="5826" width="5.85546875" style="557" customWidth="1"/>
    <col min="5827" max="5827" width="5.42578125" style="557" customWidth="1"/>
    <col min="5828" max="5828" width="5.28515625" style="557" customWidth="1"/>
    <col min="5829" max="5829" width="4.85546875" style="557" customWidth="1"/>
    <col min="5830" max="5841" width="0" style="557" hidden="1" customWidth="1"/>
    <col min="5842" max="5842" width="5.85546875" style="557" customWidth="1"/>
    <col min="5843" max="5843" width="5.42578125" style="557" customWidth="1"/>
    <col min="5844" max="5844" width="5.140625" style="557" customWidth="1"/>
    <col min="5845" max="5845" width="4.140625" style="557" customWidth="1"/>
    <col min="5846" max="5846" width="6.140625" style="557" customWidth="1"/>
    <col min="5847" max="5848" width="5.5703125" style="557" customWidth="1"/>
    <col min="5849" max="5849" width="4.42578125" style="557" customWidth="1"/>
    <col min="5850" max="5861" width="0" style="557" hidden="1" customWidth="1"/>
    <col min="5862" max="5862" width="7.5703125" style="557" customWidth="1"/>
    <col min="5863" max="5863" width="6.42578125" style="557" customWidth="1"/>
    <col min="5864" max="5864" width="5.42578125" style="557" customWidth="1"/>
    <col min="5865" max="5865" width="5.140625" style="557" customWidth="1"/>
    <col min="5866" max="5866" width="5.7109375" style="557" customWidth="1"/>
    <col min="5867" max="5867" width="5.42578125" style="557" customWidth="1"/>
    <col min="5868" max="5868" width="4.5703125" style="557" customWidth="1"/>
    <col min="5869" max="5869" width="5.42578125" style="557" customWidth="1"/>
    <col min="5870" max="5872" width="5.85546875" style="557" customWidth="1"/>
    <col min="5873" max="5873" width="4.42578125" style="557" customWidth="1"/>
    <col min="5874" max="5888" width="0" style="557" hidden="1" customWidth="1"/>
    <col min="5889" max="5889" width="9.140625" style="557" customWidth="1"/>
    <col min="5890" max="6034" width="9.140625" style="557"/>
    <col min="6035" max="6035" width="3.140625" style="557" customWidth="1"/>
    <col min="6036" max="6036" width="12.28515625" style="557" customWidth="1"/>
    <col min="6037" max="6037" width="34.85546875" style="557" customWidth="1"/>
    <col min="6038" max="6038" width="8.42578125" style="557" customWidth="1"/>
    <col min="6039" max="6039" width="8.28515625" style="557" customWidth="1"/>
    <col min="6040" max="6040" width="9.42578125" style="557" customWidth="1"/>
    <col min="6041" max="6041" width="8.28515625" style="557" customWidth="1"/>
    <col min="6042" max="6044" width="6.42578125" style="557" customWidth="1"/>
    <col min="6045" max="6045" width="7.140625" style="557" customWidth="1"/>
    <col min="6046" max="6046" width="4.5703125" style="557" customWidth="1"/>
    <col min="6047" max="6047" width="6.7109375" style="557" customWidth="1"/>
    <col min="6048" max="6048" width="6.85546875" style="557" customWidth="1"/>
    <col min="6049" max="6049" width="6.28515625" style="557" customWidth="1"/>
    <col min="6050" max="6050" width="4" style="557" customWidth="1"/>
    <col min="6051" max="6051" width="7.28515625" style="557" customWidth="1"/>
    <col min="6052" max="6052" width="7.5703125" style="557" customWidth="1"/>
    <col min="6053" max="6053" width="6" style="557" customWidth="1"/>
    <col min="6054" max="6054" width="4.7109375" style="557" customWidth="1"/>
    <col min="6055" max="6055" width="5.42578125" style="557" customWidth="1"/>
    <col min="6056" max="6056" width="5.7109375" style="557" customWidth="1"/>
    <col min="6057" max="6057" width="5.85546875" style="557" customWidth="1"/>
    <col min="6058" max="6058" width="5.7109375" style="557" customWidth="1"/>
    <col min="6059" max="6069" width="0" style="557" hidden="1" customWidth="1"/>
    <col min="6070" max="6070" width="5.85546875" style="557" customWidth="1"/>
    <col min="6071" max="6071" width="5.7109375" style="557" customWidth="1"/>
    <col min="6072" max="6072" width="5" style="557" customWidth="1"/>
    <col min="6073" max="6073" width="4.140625" style="557" customWidth="1"/>
    <col min="6074" max="6074" width="5.85546875" style="557" customWidth="1"/>
    <col min="6075" max="6075" width="5.7109375" style="557" customWidth="1"/>
    <col min="6076" max="6076" width="4.7109375" style="557" customWidth="1"/>
    <col min="6077" max="6077" width="4.42578125" style="557" customWidth="1"/>
    <col min="6078" max="6081" width="0" style="557" hidden="1" customWidth="1"/>
    <col min="6082" max="6082" width="5.85546875" style="557" customWidth="1"/>
    <col min="6083" max="6083" width="5.42578125" style="557" customWidth="1"/>
    <col min="6084" max="6084" width="5.28515625" style="557" customWidth="1"/>
    <col min="6085" max="6085" width="4.85546875" style="557" customWidth="1"/>
    <col min="6086" max="6097" width="0" style="557" hidden="1" customWidth="1"/>
    <col min="6098" max="6098" width="5.85546875" style="557" customWidth="1"/>
    <col min="6099" max="6099" width="5.42578125" style="557" customWidth="1"/>
    <col min="6100" max="6100" width="5.140625" style="557" customWidth="1"/>
    <col min="6101" max="6101" width="4.140625" style="557" customWidth="1"/>
    <col min="6102" max="6102" width="6.140625" style="557" customWidth="1"/>
    <col min="6103" max="6104" width="5.5703125" style="557" customWidth="1"/>
    <col min="6105" max="6105" width="4.42578125" style="557" customWidth="1"/>
    <col min="6106" max="6117" width="0" style="557" hidden="1" customWidth="1"/>
    <col min="6118" max="6118" width="7.5703125" style="557" customWidth="1"/>
    <col min="6119" max="6119" width="6.42578125" style="557" customWidth="1"/>
    <col min="6120" max="6120" width="5.42578125" style="557" customWidth="1"/>
    <col min="6121" max="6121" width="5.140625" style="557" customWidth="1"/>
    <col min="6122" max="6122" width="5.7109375" style="557" customWidth="1"/>
    <col min="6123" max="6123" width="5.42578125" style="557" customWidth="1"/>
    <col min="6124" max="6124" width="4.5703125" style="557" customWidth="1"/>
    <col min="6125" max="6125" width="5.42578125" style="557" customWidth="1"/>
    <col min="6126" max="6128" width="5.85546875" style="557" customWidth="1"/>
    <col min="6129" max="6129" width="4.42578125" style="557" customWidth="1"/>
    <col min="6130" max="6144" width="0" style="557" hidden="1" customWidth="1"/>
    <col min="6145" max="6145" width="9.140625" style="557" customWidth="1"/>
    <col min="6146" max="6290" width="9.140625" style="557"/>
    <col min="6291" max="6291" width="3.140625" style="557" customWidth="1"/>
    <col min="6292" max="6292" width="12.28515625" style="557" customWidth="1"/>
    <col min="6293" max="6293" width="34.85546875" style="557" customWidth="1"/>
    <col min="6294" max="6294" width="8.42578125" style="557" customWidth="1"/>
    <col min="6295" max="6295" width="8.28515625" style="557" customWidth="1"/>
    <col min="6296" max="6296" width="9.42578125" style="557" customWidth="1"/>
    <col min="6297" max="6297" width="8.28515625" style="557" customWidth="1"/>
    <col min="6298" max="6300" width="6.42578125" style="557" customWidth="1"/>
    <col min="6301" max="6301" width="7.140625" style="557" customWidth="1"/>
    <col min="6302" max="6302" width="4.5703125" style="557" customWidth="1"/>
    <col min="6303" max="6303" width="6.7109375" style="557" customWidth="1"/>
    <col min="6304" max="6304" width="6.85546875" style="557" customWidth="1"/>
    <col min="6305" max="6305" width="6.28515625" style="557" customWidth="1"/>
    <col min="6306" max="6306" width="4" style="557" customWidth="1"/>
    <col min="6307" max="6307" width="7.28515625" style="557" customWidth="1"/>
    <col min="6308" max="6308" width="7.5703125" style="557" customWidth="1"/>
    <col min="6309" max="6309" width="6" style="557" customWidth="1"/>
    <col min="6310" max="6310" width="4.7109375" style="557" customWidth="1"/>
    <col min="6311" max="6311" width="5.42578125" style="557" customWidth="1"/>
    <col min="6312" max="6312" width="5.7109375" style="557" customWidth="1"/>
    <col min="6313" max="6313" width="5.85546875" style="557" customWidth="1"/>
    <col min="6314" max="6314" width="5.7109375" style="557" customWidth="1"/>
    <col min="6315" max="6325" width="0" style="557" hidden="1" customWidth="1"/>
    <col min="6326" max="6326" width="5.85546875" style="557" customWidth="1"/>
    <col min="6327" max="6327" width="5.7109375" style="557" customWidth="1"/>
    <col min="6328" max="6328" width="5" style="557" customWidth="1"/>
    <col min="6329" max="6329" width="4.140625" style="557" customWidth="1"/>
    <col min="6330" max="6330" width="5.85546875" style="557" customWidth="1"/>
    <col min="6331" max="6331" width="5.7109375" style="557" customWidth="1"/>
    <col min="6332" max="6332" width="4.7109375" style="557" customWidth="1"/>
    <col min="6333" max="6333" width="4.42578125" style="557" customWidth="1"/>
    <col min="6334" max="6337" width="0" style="557" hidden="1" customWidth="1"/>
    <col min="6338" max="6338" width="5.85546875" style="557" customWidth="1"/>
    <col min="6339" max="6339" width="5.42578125" style="557" customWidth="1"/>
    <col min="6340" max="6340" width="5.28515625" style="557" customWidth="1"/>
    <col min="6341" max="6341" width="4.85546875" style="557" customWidth="1"/>
    <col min="6342" max="6353" width="0" style="557" hidden="1" customWidth="1"/>
    <col min="6354" max="6354" width="5.85546875" style="557" customWidth="1"/>
    <col min="6355" max="6355" width="5.42578125" style="557" customWidth="1"/>
    <col min="6356" max="6356" width="5.140625" style="557" customWidth="1"/>
    <col min="6357" max="6357" width="4.140625" style="557" customWidth="1"/>
    <col min="6358" max="6358" width="6.140625" style="557" customWidth="1"/>
    <col min="6359" max="6360" width="5.5703125" style="557" customWidth="1"/>
    <col min="6361" max="6361" width="4.42578125" style="557" customWidth="1"/>
    <col min="6362" max="6373" width="0" style="557" hidden="1" customWidth="1"/>
    <col min="6374" max="6374" width="7.5703125" style="557" customWidth="1"/>
    <col min="6375" max="6375" width="6.42578125" style="557" customWidth="1"/>
    <col min="6376" max="6376" width="5.42578125" style="557" customWidth="1"/>
    <col min="6377" max="6377" width="5.140625" style="557" customWidth="1"/>
    <col min="6378" max="6378" width="5.7109375" style="557" customWidth="1"/>
    <col min="6379" max="6379" width="5.42578125" style="557" customWidth="1"/>
    <col min="6380" max="6380" width="4.5703125" style="557" customWidth="1"/>
    <col min="6381" max="6381" width="5.42578125" style="557" customWidth="1"/>
    <col min="6382" max="6384" width="5.85546875" style="557" customWidth="1"/>
    <col min="6385" max="6385" width="4.42578125" style="557" customWidth="1"/>
    <col min="6386" max="6400" width="0" style="557" hidden="1" customWidth="1"/>
    <col min="6401" max="6401" width="9.140625" style="557" customWidth="1"/>
    <col min="6402" max="6546" width="9.140625" style="557"/>
    <col min="6547" max="6547" width="3.140625" style="557" customWidth="1"/>
    <col min="6548" max="6548" width="12.28515625" style="557" customWidth="1"/>
    <col min="6549" max="6549" width="34.85546875" style="557" customWidth="1"/>
    <col min="6550" max="6550" width="8.42578125" style="557" customWidth="1"/>
    <col min="6551" max="6551" width="8.28515625" style="557" customWidth="1"/>
    <col min="6552" max="6552" width="9.42578125" style="557" customWidth="1"/>
    <col min="6553" max="6553" width="8.28515625" style="557" customWidth="1"/>
    <col min="6554" max="6556" width="6.42578125" style="557" customWidth="1"/>
    <col min="6557" max="6557" width="7.140625" style="557" customWidth="1"/>
    <col min="6558" max="6558" width="4.5703125" style="557" customWidth="1"/>
    <col min="6559" max="6559" width="6.7109375" style="557" customWidth="1"/>
    <col min="6560" max="6560" width="6.85546875" style="557" customWidth="1"/>
    <col min="6561" max="6561" width="6.28515625" style="557" customWidth="1"/>
    <col min="6562" max="6562" width="4" style="557" customWidth="1"/>
    <col min="6563" max="6563" width="7.28515625" style="557" customWidth="1"/>
    <col min="6564" max="6564" width="7.5703125" style="557" customWidth="1"/>
    <col min="6565" max="6565" width="6" style="557" customWidth="1"/>
    <col min="6566" max="6566" width="4.7109375" style="557" customWidth="1"/>
    <col min="6567" max="6567" width="5.42578125" style="557" customWidth="1"/>
    <col min="6568" max="6568" width="5.7109375" style="557" customWidth="1"/>
    <col min="6569" max="6569" width="5.85546875" style="557" customWidth="1"/>
    <col min="6570" max="6570" width="5.7109375" style="557" customWidth="1"/>
    <col min="6571" max="6581" width="0" style="557" hidden="1" customWidth="1"/>
    <col min="6582" max="6582" width="5.85546875" style="557" customWidth="1"/>
    <col min="6583" max="6583" width="5.7109375" style="557" customWidth="1"/>
    <col min="6584" max="6584" width="5" style="557" customWidth="1"/>
    <col min="6585" max="6585" width="4.140625" style="557" customWidth="1"/>
    <col min="6586" max="6586" width="5.85546875" style="557" customWidth="1"/>
    <col min="6587" max="6587" width="5.7109375" style="557" customWidth="1"/>
    <col min="6588" max="6588" width="4.7109375" style="557" customWidth="1"/>
    <col min="6589" max="6589" width="4.42578125" style="557" customWidth="1"/>
    <col min="6590" max="6593" width="0" style="557" hidden="1" customWidth="1"/>
    <col min="6594" max="6594" width="5.85546875" style="557" customWidth="1"/>
    <col min="6595" max="6595" width="5.42578125" style="557" customWidth="1"/>
    <col min="6596" max="6596" width="5.28515625" style="557" customWidth="1"/>
    <col min="6597" max="6597" width="4.85546875" style="557" customWidth="1"/>
    <col min="6598" max="6609" width="0" style="557" hidden="1" customWidth="1"/>
    <col min="6610" max="6610" width="5.85546875" style="557" customWidth="1"/>
    <col min="6611" max="6611" width="5.42578125" style="557" customWidth="1"/>
    <col min="6612" max="6612" width="5.140625" style="557" customWidth="1"/>
    <col min="6613" max="6613" width="4.140625" style="557" customWidth="1"/>
    <col min="6614" max="6614" width="6.140625" style="557" customWidth="1"/>
    <col min="6615" max="6616" width="5.5703125" style="557" customWidth="1"/>
    <col min="6617" max="6617" width="4.42578125" style="557" customWidth="1"/>
    <col min="6618" max="6629" width="0" style="557" hidden="1" customWidth="1"/>
    <col min="6630" max="6630" width="7.5703125" style="557" customWidth="1"/>
    <col min="6631" max="6631" width="6.42578125" style="557" customWidth="1"/>
    <col min="6632" max="6632" width="5.42578125" style="557" customWidth="1"/>
    <col min="6633" max="6633" width="5.140625" style="557" customWidth="1"/>
    <col min="6634" max="6634" width="5.7109375" style="557" customWidth="1"/>
    <col min="6635" max="6635" width="5.42578125" style="557" customWidth="1"/>
    <col min="6636" max="6636" width="4.5703125" style="557" customWidth="1"/>
    <col min="6637" max="6637" width="5.42578125" style="557" customWidth="1"/>
    <col min="6638" max="6640" width="5.85546875" style="557" customWidth="1"/>
    <col min="6641" max="6641" width="4.42578125" style="557" customWidth="1"/>
    <col min="6642" max="6656" width="0" style="557" hidden="1" customWidth="1"/>
    <col min="6657" max="6657" width="9.140625" style="557" customWidth="1"/>
    <col min="6658" max="6802" width="9.140625" style="557"/>
    <col min="6803" max="6803" width="3.140625" style="557" customWidth="1"/>
    <col min="6804" max="6804" width="12.28515625" style="557" customWidth="1"/>
    <col min="6805" max="6805" width="34.85546875" style="557" customWidth="1"/>
    <col min="6806" max="6806" width="8.42578125" style="557" customWidth="1"/>
    <col min="6807" max="6807" width="8.28515625" style="557" customWidth="1"/>
    <col min="6808" max="6808" width="9.42578125" style="557" customWidth="1"/>
    <col min="6809" max="6809" width="8.28515625" style="557" customWidth="1"/>
    <col min="6810" max="6812" width="6.42578125" style="557" customWidth="1"/>
    <col min="6813" max="6813" width="7.140625" style="557" customWidth="1"/>
    <col min="6814" max="6814" width="4.5703125" style="557" customWidth="1"/>
    <col min="6815" max="6815" width="6.7109375" style="557" customWidth="1"/>
    <col min="6816" max="6816" width="6.85546875" style="557" customWidth="1"/>
    <col min="6817" max="6817" width="6.28515625" style="557" customWidth="1"/>
    <col min="6818" max="6818" width="4" style="557" customWidth="1"/>
    <col min="6819" max="6819" width="7.28515625" style="557" customWidth="1"/>
    <col min="6820" max="6820" width="7.5703125" style="557" customWidth="1"/>
    <col min="6821" max="6821" width="6" style="557" customWidth="1"/>
    <col min="6822" max="6822" width="4.7109375" style="557" customWidth="1"/>
    <col min="6823" max="6823" width="5.42578125" style="557" customWidth="1"/>
    <col min="6824" max="6824" width="5.7109375" style="557" customWidth="1"/>
    <col min="6825" max="6825" width="5.85546875" style="557" customWidth="1"/>
    <col min="6826" max="6826" width="5.7109375" style="557" customWidth="1"/>
    <col min="6827" max="6837" width="0" style="557" hidden="1" customWidth="1"/>
    <col min="6838" max="6838" width="5.85546875" style="557" customWidth="1"/>
    <col min="6839" max="6839" width="5.7109375" style="557" customWidth="1"/>
    <col min="6840" max="6840" width="5" style="557" customWidth="1"/>
    <col min="6841" max="6841" width="4.140625" style="557" customWidth="1"/>
    <col min="6842" max="6842" width="5.85546875" style="557" customWidth="1"/>
    <col min="6843" max="6843" width="5.7109375" style="557" customWidth="1"/>
    <col min="6844" max="6844" width="4.7109375" style="557" customWidth="1"/>
    <col min="6845" max="6845" width="4.42578125" style="557" customWidth="1"/>
    <col min="6846" max="6849" width="0" style="557" hidden="1" customWidth="1"/>
    <col min="6850" max="6850" width="5.85546875" style="557" customWidth="1"/>
    <col min="6851" max="6851" width="5.42578125" style="557" customWidth="1"/>
    <col min="6852" max="6852" width="5.28515625" style="557" customWidth="1"/>
    <col min="6853" max="6853" width="4.85546875" style="557" customWidth="1"/>
    <col min="6854" max="6865" width="0" style="557" hidden="1" customWidth="1"/>
    <col min="6866" max="6866" width="5.85546875" style="557" customWidth="1"/>
    <col min="6867" max="6867" width="5.42578125" style="557" customWidth="1"/>
    <col min="6868" max="6868" width="5.140625" style="557" customWidth="1"/>
    <col min="6869" max="6869" width="4.140625" style="557" customWidth="1"/>
    <col min="6870" max="6870" width="6.140625" style="557" customWidth="1"/>
    <col min="6871" max="6872" width="5.5703125" style="557" customWidth="1"/>
    <col min="6873" max="6873" width="4.42578125" style="557" customWidth="1"/>
    <col min="6874" max="6885" width="0" style="557" hidden="1" customWidth="1"/>
    <col min="6886" max="6886" width="7.5703125" style="557" customWidth="1"/>
    <col min="6887" max="6887" width="6.42578125" style="557" customWidth="1"/>
    <col min="6888" max="6888" width="5.42578125" style="557" customWidth="1"/>
    <col min="6889" max="6889" width="5.140625" style="557" customWidth="1"/>
    <col min="6890" max="6890" width="5.7109375" style="557" customWidth="1"/>
    <col min="6891" max="6891" width="5.42578125" style="557" customWidth="1"/>
    <col min="6892" max="6892" width="4.5703125" style="557" customWidth="1"/>
    <col min="6893" max="6893" width="5.42578125" style="557" customWidth="1"/>
    <col min="6894" max="6896" width="5.85546875" style="557" customWidth="1"/>
    <col min="6897" max="6897" width="4.42578125" style="557" customWidth="1"/>
    <col min="6898" max="6912" width="0" style="557" hidden="1" customWidth="1"/>
    <col min="6913" max="6913" width="9.140625" style="557" customWidth="1"/>
    <col min="6914" max="7058" width="9.140625" style="557"/>
    <col min="7059" max="7059" width="3.140625" style="557" customWidth="1"/>
    <col min="7060" max="7060" width="12.28515625" style="557" customWidth="1"/>
    <col min="7061" max="7061" width="34.85546875" style="557" customWidth="1"/>
    <col min="7062" max="7062" width="8.42578125" style="557" customWidth="1"/>
    <col min="7063" max="7063" width="8.28515625" style="557" customWidth="1"/>
    <col min="7064" max="7064" width="9.42578125" style="557" customWidth="1"/>
    <col min="7065" max="7065" width="8.28515625" style="557" customWidth="1"/>
    <col min="7066" max="7068" width="6.42578125" style="557" customWidth="1"/>
    <col min="7069" max="7069" width="7.140625" style="557" customWidth="1"/>
    <col min="7070" max="7070" width="4.5703125" style="557" customWidth="1"/>
    <col min="7071" max="7071" width="6.7109375" style="557" customWidth="1"/>
    <col min="7072" max="7072" width="6.85546875" style="557" customWidth="1"/>
    <col min="7073" max="7073" width="6.28515625" style="557" customWidth="1"/>
    <col min="7074" max="7074" width="4" style="557" customWidth="1"/>
    <col min="7075" max="7075" width="7.28515625" style="557" customWidth="1"/>
    <col min="7076" max="7076" width="7.5703125" style="557" customWidth="1"/>
    <col min="7077" max="7077" width="6" style="557" customWidth="1"/>
    <col min="7078" max="7078" width="4.7109375" style="557" customWidth="1"/>
    <col min="7079" max="7079" width="5.42578125" style="557" customWidth="1"/>
    <col min="7080" max="7080" width="5.7109375" style="557" customWidth="1"/>
    <col min="7081" max="7081" width="5.85546875" style="557" customWidth="1"/>
    <col min="7082" max="7082" width="5.7109375" style="557" customWidth="1"/>
    <col min="7083" max="7093" width="0" style="557" hidden="1" customWidth="1"/>
    <col min="7094" max="7094" width="5.85546875" style="557" customWidth="1"/>
    <col min="7095" max="7095" width="5.7109375" style="557" customWidth="1"/>
    <col min="7096" max="7096" width="5" style="557" customWidth="1"/>
    <col min="7097" max="7097" width="4.140625" style="557" customWidth="1"/>
    <col min="7098" max="7098" width="5.85546875" style="557" customWidth="1"/>
    <col min="7099" max="7099" width="5.7109375" style="557" customWidth="1"/>
    <col min="7100" max="7100" width="4.7109375" style="557" customWidth="1"/>
    <col min="7101" max="7101" width="4.42578125" style="557" customWidth="1"/>
    <col min="7102" max="7105" width="0" style="557" hidden="1" customWidth="1"/>
    <col min="7106" max="7106" width="5.85546875" style="557" customWidth="1"/>
    <col min="7107" max="7107" width="5.42578125" style="557" customWidth="1"/>
    <col min="7108" max="7108" width="5.28515625" style="557" customWidth="1"/>
    <col min="7109" max="7109" width="4.85546875" style="557" customWidth="1"/>
    <col min="7110" max="7121" width="0" style="557" hidden="1" customWidth="1"/>
    <col min="7122" max="7122" width="5.85546875" style="557" customWidth="1"/>
    <col min="7123" max="7123" width="5.42578125" style="557" customWidth="1"/>
    <col min="7124" max="7124" width="5.140625" style="557" customWidth="1"/>
    <col min="7125" max="7125" width="4.140625" style="557" customWidth="1"/>
    <col min="7126" max="7126" width="6.140625" style="557" customWidth="1"/>
    <col min="7127" max="7128" width="5.5703125" style="557" customWidth="1"/>
    <col min="7129" max="7129" width="4.42578125" style="557" customWidth="1"/>
    <col min="7130" max="7141" width="0" style="557" hidden="1" customWidth="1"/>
    <col min="7142" max="7142" width="7.5703125" style="557" customWidth="1"/>
    <col min="7143" max="7143" width="6.42578125" style="557" customWidth="1"/>
    <col min="7144" max="7144" width="5.42578125" style="557" customWidth="1"/>
    <col min="7145" max="7145" width="5.140625" style="557" customWidth="1"/>
    <col min="7146" max="7146" width="5.7109375" style="557" customWidth="1"/>
    <col min="7147" max="7147" width="5.42578125" style="557" customWidth="1"/>
    <col min="7148" max="7148" width="4.5703125" style="557" customWidth="1"/>
    <col min="7149" max="7149" width="5.42578125" style="557" customWidth="1"/>
    <col min="7150" max="7152" width="5.85546875" style="557" customWidth="1"/>
    <col min="7153" max="7153" width="4.42578125" style="557" customWidth="1"/>
    <col min="7154" max="7168" width="0" style="557" hidden="1" customWidth="1"/>
    <col min="7169" max="7169" width="9.140625" style="557" customWidth="1"/>
    <col min="7170" max="7314" width="9.140625" style="557"/>
    <col min="7315" max="7315" width="3.140625" style="557" customWidth="1"/>
    <col min="7316" max="7316" width="12.28515625" style="557" customWidth="1"/>
    <col min="7317" max="7317" width="34.85546875" style="557" customWidth="1"/>
    <col min="7318" max="7318" width="8.42578125" style="557" customWidth="1"/>
    <col min="7319" max="7319" width="8.28515625" style="557" customWidth="1"/>
    <col min="7320" max="7320" width="9.42578125" style="557" customWidth="1"/>
    <col min="7321" max="7321" width="8.28515625" style="557" customWidth="1"/>
    <col min="7322" max="7324" width="6.42578125" style="557" customWidth="1"/>
    <col min="7325" max="7325" width="7.140625" style="557" customWidth="1"/>
    <col min="7326" max="7326" width="4.5703125" style="557" customWidth="1"/>
    <col min="7327" max="7327" width="6.7109375" style="557" customWidth="1"/>
    <col min="7328" max="7328" width="6.85546875" style="557" customWidth="1"/>
    <col min="7329" max="7329" width="6.28515625" style="557" customWidth="1"/>
    <col min="7330" max="7330" width="4" style="557" customWidth="1"/>
    <col min="7331" max="7331" width="7.28515625" style="557" customWidth="1"/>
    <col min="7332" max="7332" width="7.5703125" style="557" customWidth="1"/>
    <col min="7333" max="7333" width="6" style="557" customWidth="1"/>
    <col min="7334" max="7334" width="4.7109375" style="557" customWidth="1"/>
    <col min="7335" max="7335" width="5.42578125" style="557" customWidth="1"/>
    <col min="7336" max="7336" width="5.7109375" style="557" customWidth="1"/>
    <col min="7337" max="7337" width="5.85546875" style="557" customWidth="1"/>
    <col min="7338" max="7338" width="5.7109375" style="557" customWidth="1"/>
    <col min="7339" max="7349" width="0" style="557" hidden="1" customWidth="1"/>
    <col min="7350" max="7350" width="5.85546875" style="557" customWidth="1"/>
    <col min="7351" max="7351" width="5.7109375" style="557" customWidth="1"/>
    <col min="7352" max="7352" width="5" style="557" customWidth="1"/>
    <col min="7353" max="7353" width="4.140625" style="557" customWidth="1"/>
    <col min="7354" max="7354" width="5.85546875" style="557" customWidth="1"/>
    <col min="7355" max="7355" width="5.7109375" style="557" customWidth="1"/>
    <col min="7356" max="7356" width="4.7109375" style="557" customWidth="1"/>
    <col min="7357" max="7357" width="4.42578125" style="557" customWidth="1"/>
    <col min="7358" max="7361" width="0" style="557" hidden="1" customWidth="1"/>
    <col min="7362" max="7362" width="5.85546875" style="557" customWidth="1"/>
    <col min="7363" max="7363" width="5.42578125" style="557" customWidth="1"/>
    <col min="7364" max="7364" width="5.28515625" style="557" customWidth="1"/>
    <col min="7365" max="7365" width="4.85546875" style="557" customWidth="1"/>
    <col min="7366" max="7377" width="0" style="557" hidden="1" customWidth="1"/>
    <col min="7378" max="7378" width="5.85546875" style="557" customWidth="1"/>
    <col min="7379" max="7379" width="5.42578125" style="557" customWidth="1"/>
    <col min="7380" max="7380" width="5.140625" style="557" customWidth="1"/>
    <col min="7381" max="7381" width="4.140625" style="557" customWidth="1"/>
    <col min="7382" max="7382" width="6.140625" style="557" customWidth="1"/>
    <col min="7383" max="7384" width="5.5703125" style="557" customWidth="1"/>
    <col min="7385" max="7385" width="4.42578125" style="557" customWidth="1"/>
    <col min="7386" max="7397" width="0" style="557" hidden="1" customWidth="1"/>
    <col min="7398" max="7398" width="7.5703125" style="557" customWidth="1"/>
    <col min="7399" max="7399" width="6.42578125" style="557" customWidth="1"/>
    <col min="7400" max="7400" width="5.42578125" style="557" customWidth="1"/>
    <col min="7401" max="7401" width="5.140625" style="557" customWidth="1"/>
    <col min="7402" max="7402" width="5.7109375" style="557" customWidth="1"/>
    <col min="7403" max="7403" width="5.42578125" style="557" customWidth="1"/>
    <col min="7404" max="7404" width="4.5703125" style="557" customWidth="1"/>
    <col min="7405" max="7405" width="5.42578125" style="557" customWidth="1"/>
    <col min="7406" max="7408" width="5.85546875" style="557" customWidth="1"/>
    <col min="7409" max="7409" width="4.42578125" style="557" customWidth="1"/>
    <col min="7410" max="7424" width="0" style="557" hidden="1" customWidth="1"/>
    <col min="7425" max="7425" width="9.140625" style="557" customWidth="1"/>
    <col min="7426" max="7570" width="9.140625" style="557"/>
    <col min="7571" max="7571" width="3.140625" style="557" customWidth="1"/>
    <col min="7572" max="7572" width="12.28515625" style="557" customWidth="1"/>
    <col min="7573" max="7573" width="34.85546875" style="557" customWidth="1"/>
    <col min="7574" max="7574" width="8.42578125" style="557" customWidth="1"/>
    <col min="7575" max="7575" width="8.28515625" style="557" customWidth="1"/>
    <col min="7576" max="7576" width="9.42578125" style="557" customWidth="1"/>
    <col min="7577" max="7577" width="8.28515625" style="557" customWidth="1"/>
    <col min="7578" max="7580" width="6.42578125" style="557" customWidth="1"/>
    <col min="7581" max="7581" width="7.140625" style="557" customWidth="1"/>
    <col min="7582" max="7582" width="4.5703125" style="557" customWidth="1"/>
    <col min="7583" max="7583" width="6.7109375" style="557" customWidth="1"/>
    <col min="7584" max="7584" width="6.85546875" style="557" customWidth="1"/>
    <col min="7585" max="7585" width="6.28515625" style="557" customWidth="1"/>
    <col min="7586" max="7586" width="4" style="557" customWidth="1"/>
    <col min="7587" max="7587" width="7.28515625" style="557" customWidth="1"/>
    <col min="7588" max="7588" width="7.5703125" style="557" customWidth="1"/>
    <col min="7589" max="7589" width="6" style="557" customWidth="1"/>
    <col min="7590" max="7590" width="4.7109375" style="557" customWidth="1"/>
    <col min="7591" max="7591" width="5.42578125" style="557" customWidth="1"/>
    <col min="7592" max="7592" width="5.7109375" style="557" customWidth="1"/>
    <col min="7593" max="7593" width="5.85546875" style="557" customWidth="1"/>
    <col min="7594" max="7594" width="5.7109375" style="557" customWidth="1"/>
    <col min="7595" max="7605" width="0" style="557" hidden="1" customWidth="1"/>
    <col min="7606" max="7606" width="5.85546875" style="557" customWidth="1"/>
    <col min="7607" max="7607" width="5.7109375" style="557" customWidth="1"/>
    <col min="7608" max="7608" width="5" style="557" customWidth="1"/>
    <col min="7609" max="7609" width="4.140625" style="557" customWidth="1"/>
    <col min="7610" max="7610" width="5.85546875" style="557" customWidth="1"/>
    <col min="7611" max="7611" width="5.7109375" style="557" customWidth="1"/>
    <col min="7612" max="7612" width="4.7109375" style="557" customWidth="1"/>
    <col min="7613" max="7613" width="4.42578125" style="557" customWidth="1"/>
    <col min="7614" max="7617" width="0" style="557" hidden="1" customWidth="1"/>
    <col min="7618" max="7618" width="5.85546875" style="557" customWidth="1"/>
    <col min="7619" max="7619" width="5.42578125" style="557" customWidth="1"/>
    <col min="7620" max="7620" width="5.28515625" style="557" customWidth="1"/>
    <col min="7621" max="7621" width="4.85546875" style="557" customWidth="1"/>
    <col min="7622" max="7633" width="0" style="557" hidden="1" customWidth="1"/>
    <col min="7634" max="7634" width="5.85546875" style="557" customWidth="1"/>
    <col min="7635" max="7635" width="5.42578125" style="557" customWidth="1"/>
    <col min="7636" max="7636" width="5.140625" style="557" customWidth="1"/>
    <col min="7637" max="7637" width="4.140625" style="557" customWidth="1"/>
    <col min="7638" max="7638" width="6.140625" style="557" customWidth="1"/>
    <col min="7639" max="7640" width="5.5703125" style="557" customWidth="1"/>
    <col min="7641" max="7641" width="4.42578125" style="557" customWidth="1"/>
    <col min="7642" max="7653" width="0" style="557" hidden="1" customWidth="1"/>
    <col min="7654" max="7654" width="7.5703125" style="557" customWidth="1"/>
    <col min="7655" max="7655" width="6.42578125" style="557" customWidth="1"/>
    <col min="7656" max="7656" width="5.42578125" style="557" customWidth="1"/>
    <col min="7657" max="7657" width="5.140625" style="557" customWidth="1"/>
    <col min="7658" max="7658" width="5.7109375" style="557" customWidth="1"/>
    <col min="7659" max="7659" width="5.42578125" style="557" customWidth="1"/>
    <col min="7660" max="7660" width="4.5703125" style="557" customWidth="1"/>
    <col min="7661" max="7661" width="5.42578125" style="557" customWidth="1"/>
    <col min="7662" max="7664" width="5.85546875" style="557" customWidth="1"/>
    <col min="7665" max="7665" width="4.42578125" style="557" customWidth="1"/>
    <col min="7666" max="7680" width="0" style="557" hidden="1" customWidth="1"/>
    <col min="7681" max="7681" width="9.140625" style="557" customWidth="1"/>
    <col min="7682" max="7826" width="9.140625" style="557"/>
    <col min="7827" max="7827" width="3.140625" style="557" customWidth="1"/>
    <col min="7828" max="7828" width="12.28515625" style="557" customWidth="1"/>
    <col min="7829" max="7829" width="34.85546875" style="557" customWidth="1"/>
    <col min="7830" max="7830" width="8.42578125" style="557" customWidth="1"/>
    <col min="7831" max="7831" width="8.28515625" style="557" customWidth="1"/>
    <col min="7832" max="7832" width="9.42578125" style="557" customWidth="1"/>
    <col min="7833" max="7833" width="8.28515625" style="557" customWidth="1"/>
    <col min="7834" max="7836" width="6.42578125" style="557" customWidth="1"/>
    <col min="7837" max="7837" width="7.140625" style="557" customWidth="1"/>
    <col min="7838" max="7838" width="4.5703125" style="557" customWidth="1"/>
    <col min="7839" max="7839" width="6.7109375" style="557" customWidth="1"/>
    <col min="7840" max="7840" width="6.85546875" style="557" customWidth="1"/>
    <col min="7841" max="7841" width="6.28515625" style="557" customWidth="1"/>
    <col min="7842" max="7842" width="4" style="557" customWidth="1"/>
    <col min="7843" max="7843" width="7.28515625" style="557" customWidth="1"/>
    <col min="7844" max="7844" width="7.5703125" style="557" customWidth="1"/>
    <col min="7845" max="7845" width="6" style="557" customWidth="1"/>
    <col min="7846" max="7846" width="4.7109375" style="557" customWidth="1"/>
    <col min="7847" max="7847" width="5.42578125" style="557" customWidth="1"/>
    <col min="7848" max="7848" width="5.7109375" style="557" customWidth="1"/>
    <col min="7849" max="7849" width="5.85546875" style="557" customWidth="1"/>
    <col min="7850" max="7850" width="5.7109375" style="557" customWidth="1"/>
    <col min="7851" max="7861" width="0" style="557" hidden="1" customWidth="1"/>
    <col min="7862" max="7862" width="5.85546875" style="557" customWidth="1"/>
    <col min="7863" max="7863" width="5.7109375" style="557" customWidth="1"/>
    <col min="7864" max="7864" width="5" style="557" customWidth="1"/>
    <col min="7865" max="7865" width="4.140625" style="557" customWidth="1"/>
    <col min="7866" max="7866" width="5.85546875" style="557" customWidth="1"/>
    <col min="7867" max="7867" width="5.7109375" style="557" customWidth="1"/>
    <col min="7868" max="7868" width="4.7109375" style="557" customWidth="1"/>
    <col min="7869" max="7869" width="4.42578125" style="557" customWidth="1"/>
    <col min="7870" max="7873" width="0" style="557" hidden="1" customWidth="1"/>
    <col min="7874" max="7874" width="5.85546875" style="557" customWidth="1"/>
    <col min="7875" max="7875" width="5.42578125" style="557" customWidth="1"/>
    <col min="7876" max="7876" width="5.28515625" style="557" customWidth="1"/>
    <col min="7877" max="7877" width="4.85546875" style="557" customWidth="1"/>
    <col min="7878" max="7889" width="0" style="557" hidden="1" customWidth="1"/>
    <col min="7890" max="7890" width="5.85546875" style="557" customWidth="1"/>
    <col min="7891" max="7891" width="5.42578125" style="557" customWidth="1"/>
    <col min="7892" max="7892" width="5.140625" style="557" customWidth="1"/>
    <col min="7893" max="7893" width="4.140625" style="557" customWidth="1"/>
    <col min="7894" max="7894" width="6.140625" style="557" customWidth="1"/>
    <col min="7895" max="7896" width="5.5703125" style="557" customWidth="1"/>
    <col min="7897" max="7897" width="4.42578125" style="557" customWidth="1"/>
    <col min="7898" max="7909" width="0" style="557" hidden="1" customWidth="1"/>
    <col min="7910" max="7910" width="7.5703125" style="557" customWidth="1"/>
    <col min="7911" max="7911" width="6.42578125" style="557" customWidth="1"/>
    <col min="7912" max="7912" width="5.42578125" style="557" customWidth="1"/>
    <col min="7913" max="7913" width="5.140625" style="557" customWidth="1"/>
    <col min="7914" max="7914" width="5.7109375" style="557" customWidth="1"/>
    <col min="7915" max="7915" width="5.42578125" style="557" customWidth="1"/>
    <col min="7916" max="7916" width="4.5703125" style="557" customWidth="1"/>
    <col min="7917" max="7917" width="5.42578125" style="557" customWidth="1"/>
    <col min="7918" max="7920" width="5.85546875" style="557" customWidth="1"/>
    <col min="7921" max="7921" width="4.42578125" style="557" customWidth="1"/>
    <col min="7922" max="7936" width="0" style="557" hidden="1" customWidth="1"/>
    <col min="7937" max="7937" width="9.140625" style="557" customWidth="1"/>
    <col min="7938" max="8082" width="9.140625" style="557"/>
    <col min="8083" max="8083" width="3.140625" style="557" customWidth="1"/>
    <col min="8084" max="8084" width="12.28515625" style="557" customWidth="1"/>
    <col min="8085" max="8085" width="34.85546875" style="557" customWidth="1"/>
    <col min="8086" max="8086" width="8.42578125" style="557" customWidth="1"/>
    <col min="8087" max="8087" width="8.28515625" style="557" customWidth="1"/>
    <col min="8088" max="8088" width="9.42578125" style="557" customWidth="1"/>
    <col min="8089" max="8089" width="8.28515625" style="557" customWidth="1"/>
    <col min="8090" max="8092" width="6.42578125" style="557" customWidth="1"/>
    <col min="8093" max="8093" width="7.140625" style="557" customWidth="1"/>
    <col min="8094" max="8094" width="4.5703125" style="557" customWidth="1"/>
    <col min="8095" max="8095" width="6.7109375" style="557" customWidth="1"/>
    <col min="8096" max="8096" width="6.85546875" style="557" customWidth="1"/>
    <col min="8097" max="8097" width="6.28515625" style="557" customWidth="1"/>
    <col min="8098" max="8098" width="4" style="557" customWidth="1"/>
    <col min="8099" max="8099" width="7.28515625" style="557" customWidth="1"/>
    <col min="8100" max="8100" width="7.5703125" style="557" customWidth="1"/>
    <col min="8101" max="8101" width="6" style="557" customWidth="1"/>
    <col min="8102" max="8102" width="4.7109375" style="557" customWidth="1"/>
    <col min="8103" max="8103" width="5.42578125" style="557" customWidth="1"/>
    <col min="8104" max="8104" width="5.7109375" style="557" customWidth="1"/>
    <col min="8105" max="8105" width="5.85546875" style="557" customWidth="1"/>
    <col min="8106" max="8106" width="5.7109375" style="557" customWidth="1"/>
    <col min="8107" max="8117" width="0" style="557" hidden="1" customWidth="1"/>
    <col min="8118" max="8118" width="5.85546875" style="557" customWidth="1"/>
    <col min="8119" max="8119" width="5.7109375" style="557" customWidth="1"/>
    <col min="8120" max="8120" width="5" style="557" customWidth="1"/>
    <col min="8121" max="8121" width="4.140625" style="557" customWidth="1"/>
    <col min="8122" max="8122" width="5.85546875" style="557" customWidth="1"/>
    <col min="8123" max="8123" width="5.7109375" style="557" customWidth="1"/>
    <col min="8124" max="8124" width="4.7109375" style="557" customWidth="1"/>
    <col min="8125" max="8125" width="4.42578125" style="557" customWidth="1"/>
    <col min="8126" max="8129" width="0" style="557" hidden="1" customWidth="1"/>
    <col min="8130" max="8130" width="5.85546875" style="557" customWidth="1"/>
    <col min="8131" max="8131" width="5.42578125" style="557" customWidth="1"/>
    <col min="8132" max="8132" width="5.28515625" style="557" customWidth="1"/>
    <col min="8133" max="8133" width="4.85546875" style="557" customWidth="1"/>
    <col min="8134" max="8145" width="0" style="557" hidden="1" customWidth="1"/>
    <col min="8146" max="8146" width="5.85546875" style="557" customWidth="1"/>
    <col min="8147" max="8147" width="5.42578125" style="557" customWidth="1"/>
    <col min="8148" max="8148" width="5.140625" style="557" customWidth="1"/>
    <col min="8149" max="8149" width="4.140625" style="557" customWidth="1"/>
    <col min="8150" max="8150" width="6.140625" style="557" customWidth="1"/>
    <col min="8151" max="8152" width="5.5703125" style="557" customWidth="1"/>
    <col min="8153" max="8153" width="4.42578125" style="557" customWidth="1"/>
    <col min="8154" max="8165" width="0" style="557" hidden="1" customWidth="1"/>
    <col min="8166" max="8166" width="7.5703125" style="557" customWidth="1"/>
    <col min="8167" max="8167" width="6.42578125" style="557" customWidth="1"/>
    <col min="8168" max="8168" width="5.42578125" style="557" customWidth="1"/>
    <col min="8169" max="8169" width="5.140625" style="557" customWidth="1"/>
    <col min="8170" max="8170" width="5.7109375" style="557" customWidth="1"/>
    <col min="8171" max="8171" width="5.42578125" style="557" customWidth="1"/>
    <col min="8172" max="8172" width="4.5703125" style="557" customWidth="1"/>
    <col min="8173" max="8173" width="5.42578125" style="557" customWidth="1"/>
    <col min="8174" max="8176" width="5.85546875" style="557" customWidth="1"/>
    <col min="8177" max="8177" width="4.42578125" style="557" customWidth="1"/>
    <col min="8178" max="8192" width="0" style="557" hidden="1" customWidth="1"/>
    <col min="8193" max="8193" width="9.140625" style="557" customWidth="1"/>
    <col min="8194" max="8338" width="9.140625" style="557"/>
    <col min="8339" max="8339" width="3.140625" style="557" customWidth="1"/>
    <col min="8340" max="8340" width="12.28515625" style="557" customWidth="1"/>
    <col min="8341" max="8341" width="34.85546875" style="557" customWidth="1"/>
    <col min="8342" max="8342" width="8.42578125" style="557" customWidth="1"/>
    <col min="8343" max="8343" width="8.28515625" style="557" customWidth="1"/>
    <col min="8344" max="8344" width="9.42578125" style="557" customWidth="1"/>
    <col min="8345" max="8345" width="8.28515625" style="557" customWidth="1"/>
    <col min="8346" max="8348" width="6.42578125" style="557" customWidth="1"/>
    <col min="8349" max="8349" width="7.140625" style="557" customWidth="1"/>
    <col min="8350" max="8350" width="4.5703125" style="557" customWidth="1"/>
    <col min="8351" max="8351" width="6.7109375" style="557" customWidth="1"/>
    <col min="8352" max="8352" width="6.85546875" style="557" customWidth="1"/>
    <col min="8353" max="8353" width="6.28515625" style="557" customWidth="1"/>
    <col min="8354" max="8354" width="4" style="557" customWidth="1"/>
    <col min="8355" max="8355" width="7.28515625" style="557" customWidth="1"/>
    <col min="8356" max="8356" width="7.5703125" style="557" customWidth="1"/>
    <col min="8357" max="8357" width="6" style="557" customWidth="1"/>
    <col min="8358" max="8358" width="4.7109375" style="557" customWidth="1"/>
    <col min="8359" max="8359" width="5.42578125" style="557" customWidth="1"/>
    <col min="8360" max="8360" width="5.7109375" style="557" customWidth="1"/>
    <col min="8361" max="8361" width="5.85546875" style="557" customWidth="1"/>
    <col min="8362" max="8362" width="5.7109375" style="557" customWidth="1"/>
    <col min="8363" max="8373" width="0" style="557" hidden="1" customWidth="1"/>
    <col min="8374" max="8374" width="5.85546875" style="557" customWidth="1"/>
    <col min="8375" max="8375" width="5.7109375" style="557" customWidth="1"/>
    <col min="8376" max="8376" width="5" style="557" customWidth="1"/>
    <col min="8377" max="8377" width="4.140625" style="557" customWidth="1"/>
    <col min="8378" max="8378" width="5.85546875" style="557" customWidth="1"/>
    <col min="8379" max="8379" width="5.7109375" style="557" customWidth="1"/>
    <col min="8380" max="8380" width="4.7109375" style="557" customWidth="1"/>
    <col min="8381" max="8381" width="4.42578125" style="557" customWidth="1"/>
    <col min="8382" max="8385" width="0" style="557" hidden="1" customWidth="1"/>
    <col min="8386" max="8386" width="5.85546875" style="557" customWidth="1"/>
    <col min="8387" max="8387" width="5.42578125" style="557" customWidth="1"/>
    <col min="8388" max="8388" width="5.28515625" style="557" customWidth="1"/>
    <col min="8389" max="8389" width="4.85546875" style="557" customWidth="1"/>
    <col min="8390" max="8401" width="0" style="557" hidden="1" customWidth="1"/>
    <col min="8402" max="8402" width="5.85546875" style="557" customWidth="1"/>
    <col min="8403" max="8403" width="5.42578125" style="557" customWidth="1"/>
    <col min="8404" max="8404" width="5.140625" style="557" customWidth="1"/>
    <col min="8405" max="8405" width="4.140625" style="557" customWidth="1"/>
    <col min="8406" max="8406" width="6.140625" style="557" customWidth="1"/>
    <col min="8407" max="8408" width="5.5703125" style="557" customWidth="1"/>
    <col min="8409" max="8409" width="4.42578125" style="557" customWidth="1"/>
    <col min="8410" max="8421" width="0" style="557" hidden="1" customWidth="1"/>
    <col min="8422" max="8422" width="7.5703125" style="557" customWidth="1"/>
    <col min="8423" max="8423" width="6.42578125" style="557" customWidth="1"/>
    <col min="8424" max="8424" width="5.42578125" style="557" customWidth="1"/>
    <col min="8425" max="8425" width="5.140625" style="557" customWidth="1"/>
    <col min="8426" max="8426" width="5.7109375" style="557" customWidth="1"/>
    <col min="8427" max="8427" width="5.42578125" style="557" customWidth="1"/>
    <col min="8428" max="8428" width="4.5703125" style="557" customWidth="1"/>
    <col min="8429" max="8429" width="5.42578125" style="557" customWidth="1"/>
    <col min="8430" max="8432" width="5.85546875" style="557" customWidth="1"/>
    <col min="8433" max="8433" width="4.42578125" style="557" customWidth="1"/>
    <col min="8434" max="8448" width="0" style="557" hidden="1" customWidth="1"/>
    <col min="8449" max="8449" width="9.140625" style="557" customWidth="1"/>
    <col min="8450" max="8594" width="9.140625" style="557"/>
    <col min="8595" max="8595" width="3.140625" style="557" customWidth="1"/>
    <col min="8596" max="8596" width="12.28515625" style="557" customWidth="1"/>
    <col min="8597" max="8597" width="34.85546875" style="557" customWidth="1"/>
    <col min="8598" max="8598" width="8.42578125" style="557" customWidth="1"/>
    <col min="8599" max="8599" width="8.28515625" style="557" customWidth="1"/>
    <col min="8600" max="8600" width="9.42578125" style="557" customWidth="1"/>
    <col min="8601" max="8601" width="8.28515625" style="557" customWidth="1"/>
    <col min="8602" max="8604" width="6.42578125" style="557" customWidth="1"/>
    <col min="8605" max="8605" width="7.140625" style="557" customWidth="1"/>
    <col min="8606" max="8606" width="4.5703125" style="557" customWidth="1"/>
    <col min="8607" max="8607" width="6.7109375" style="557" customWidth="1"/>
    <col min="8608" max="8608" width="6.85546875" style="557" customWidth="1"/>
    <col min="8609" max="8609" width="6.28515625" style="557" customWidth="1"/>
    <col min="8610" max="8610" width="4" style="557" customWidth="1"/>
    <col min="8611" max="8611" width="7.28515625" style="557" customWidth="1"/>
    <col min="8612" max="8612" width="7.5703125" style="557" customWidth="1"/>
    <col min="8613" max="8613" width="6" style="557" customWidth="1"/>
    <col min="8614" max="8614" width="4.7109375" style="557" customWidth="1"/>
    <col min="8615" max="8615" width="5.42578125" style="557" customWidth="1"/>
    <col min="8616" max="8616" width="5.7109375" style="557" customWidth="1"/>
    <col min="8617" max="8617" width="5.85546875" style="557" customWidth="1"/>
    <col min="8618" max="8618" width="5.7109375" style="557" customWidth="1"/>
    <col min="8619" max="8629" width="0" style="557" hidden="1" customWidth="1"/>
    <col min="8630" max="8630" width="5.85546875" style="557" customWidth="1"/>
    <col min="8631" max="8631" width="5.7109375" style="557" customWidth="1"/>
    <col min="8632" max="8632" width="5" style="557" customWidth="1"/>
    <col min="8633" max="8633" width="4.140625" style="557" customWidth="1"/>
    <col min="8634" max="8634" width="5.85546875" style="557" customWidth="1"/>
    <col min="8635" max="8635" width="5.7109375" style="557" customWidth="1"/>
    <col min="8636" max="8636" width="4.7109375" style="557" customWidth="1"/>
    <col min="8637" max="8637" width="4.42578125" style="557" customWidth="1"/>
    <col min="8638" max="8641" width="0" style="557" hidden="1" customWidth="1"/>
    <col min="8642" max="8642" width="5.85546875" style="557" customWidth="1"/>
    <col min="8643" max="8643" width="5.42578125" style="557" customWidth="1"/>
    <col min="8644" max="8644" width="5.28515625" style="557" customWidth="1"/>
    <col min="8645" max="8645" width="4.85546875" style="557" customWidth="1"/>
    <col min="8646" max="8657" width="0" style="557" hidden="1" customWidth="1"/>
    <col min="8658" max="8658" width="5.85546875" style="557" customWidth="1"/>
    <col min="8659" max="8659" width="5.42578125" style="557" customWidth="1"/>
    <col min="8660" max="8660" width="5.140625" style="557" customWidth="1"/>
    <col min="8661" max="8661" width="4.140625" style="557" customWidth="1"/>
    <col min="8662" max="8662" width="6.140625" style="557" customWidth="1"/>
    <col min="8663" max="8664" width="5.5703125" style="557" customWidth="1"/>
    <col min="8665" max="8665" width="4.42578125" style="557" customWidth="1"/>
    <col min="8666" max="8677" width="0" style="557" hidden="1" customWidth="1"/>
    <col min="8678" max="8678" width="7.5703125" style="557" customWidth="1"/>
    <col min="8679" max="8679" width="6.42578125" style="557" customWidth="1"/>
    <col min="8680" max="8680" width="5.42578125" style="557" customWidth="1"/>
    <col min="8681" max="8681" width="5.140625" style="557" customWidth="1"/>
    <col min="8682" max="8682" width="5.7109375" style="557" customWidth="1"/>
    <col min="8683" max="8683" width="5.42578125" style="557" customWidth="1"/>
    <col min="8684" max="8684" width="4.5703125" style="557" customWidth="1"/>
    <col min="8685" max="8685" width="5.42578125" style="557" customWidth="1"/>
    <col min="8686" max="8688" width="5.85546875" style="557" customWidth="1"/>
    <col min="8689" max="8689" width="4.42578125" style="557" customWidth="1"/>
    <col min="8690" max="8704" width="0" style="557" hidden="1" customWidth="1"/>
    <col min="8705" max="8705" width="9.140625" style="557" customWidth="1"/>
    <col min="8706" max="8850" width="9.140625" style="557"/>
    <col min="8851" max="8851" width="3.140625" style="557" customWidth="1"/>
    <col min="8852" max="8852" width="12.28515625" style="557" customWidth="1"/>
    <col min="8853" max="8853" width="34.85546875" style="557" customWidth="1"/>
    <col min="8854" max="8854" width="8.42578125" style="557" customWidth="1"/>
    <col min="8855" max="8855" width="8.28515625" style="557" customWidth="1"/>
    <col min="8856" max="8856" width="9.42578125" style="557" customWidth="1"/>
    <col min="8857" max="8857" width="8.28515625" style="557" customWidth="1"/>
    <col min="8858" max="8860" width="6.42578125" style="557" customWidth="1"/>
    <col min="8861" max="8861" width="7.140625" style="557" customWidth="1"/>
    <col min="8862" max="8862" width="4.5703125" style="557" customWidth="1"/>
    <col min="8863" max="8863" width="6.7109375" style="557" customWidth="1"/>
    <col min="8864" max="8864" width="6.85546875" style="557" customWidth="1"/>
    <col min="8865" max="8865" width="6.28515625" style="557" customWidth="1"/>
    <col min="8866" max="8866" width="4" style="557" customWidth="1"/>
    <col min="8867" max="8867" width="7.28515625" style="557" customWidth="1"/>
    <col min="8868" max="8868" width="7.5703125" style="557" customWidth="1"/>
    <col min="8869" max="8869" width="6" style="557" customWidth="1"/>
    <col min="8870" max="8870" width="4.7109375" style="557" customWidth="1"/>
    <col min="8871" max="8871" width="5.42578125" style="557" customWidth="1"/>
    <col min="8872" max="8872" width="5.7109375" style="557" customWidth="1"/>
    <col min="8873" max="8873" width="5.85546875" style="557" customWidth="1"/>
    <col min="8874" max="8874" width="5.7109375" style="557" customWidth="1"/>
    <col min="8875" max="8885" width="0" style="557" hidden="1" customWidth="1"/>
    <col min="8886" max="8886" width="5.85546875" style="557" customWidth="1"/>
    <col min="8887" max="8887" width="5.7109375" style="557" customWidth="1"/>
    <col min="8888" max="8888" width="5" style="557" customWidth="1"/>
    <col min="8889" max="8889" width="4.140625" style="557" customWidth="1"/>
    <col min="8890" max="8890" width="5.85546875" style="557" customWidth="1"/>
    <col min="8891" max="8891" width="5.7109375" style="557" customWidth="1"/>
    <col min="8892" max="8892" width="4.7109375" style="557" customWidth="1"/>
    <col min="8893" max="8893" width="4.42578125" style="557" customWidth="1"/>
    <col min="8894" max="8897" width="0" style="557" hidden="1" customWidth="1"/>
    <col min="8898" max="8898" width="5.85546875" style="557" customWidth="1"/>
    <col min="8899" max="8899" width="5.42578125" style="557" customWidth="1"/>
    <col min="8900" max="8900" width="5.28515625" style="557" customWidth="1"/>
    <col min="8901" max="8901" width="4.85546875" style="557" customWidth="1"/>
    <col min="8902" max="8913" width="0" style="557" hidden="1" customWidth="1"/>
    <col min="8914" max="8914" width="5.85546875" style="557" customWidth="1"/>
    <col min="8915" max="8915" width="5.42578125" style="557" customWidth="1"/>
    <col min="8916" max="8916" width="5.140625" style="557" customWidth="1"/>
    <col min="8917" max="8917" width="4.140625" style="557" customWidth="1"/>
    <col min="8918" max="8918" width="6.140625" style="557" customWidth="1"/>
    <col min="8919" max="8920" width="5.5703125" style="557" customWidth="1"/>
    <col min="8921" max="8921" width="4.42578125" style="557" customWidth="1"/>
    <col min="8922" max="8933" width="0" style="557" hidden="1" customWidth="1"/>
    <col min="8934" max="8934" width="7.5703125" style="557" customWidth="1"/>
    <col min="8935" max="8935" width="6.42578125" style="557" customWidth="1"/>
    <col min="8936" max="8936" width="5.42578125" style="557" customWidth="1"/>
    <col min="8937" max="8937" width="5.140625" style="557" customWidth="1"/>
    <col min="8938" max="8938" width="5.7109375" style="557" customWidth="1"/>
    <col min="8939" max="8939" width="5.42578125" style="557" customWidth="1"/>
    <col min="8940" max="8940" width="4.5703125" style="557" customWidth="1"/>
    <col min="8941" max="8941" width="5.42578125" style="557" customWidth="1"/>
    <col min="8942" max="8944" width="5.85546875" style="557" customWidth="1"/>
    <col min="8945" max="8945" width="4.42578125" style="557" customWidth="1"/>
    <col min="8946" max="8960" width="0" style="557" hidden="1" customWidth="1"/>
    <col min="8961" max="8961" width="9.140625" style="557" customWidth="1"/>
    <col min="8962" max="9106" width="9.140625" style="557"/>
    <col min="9107" max="9107" width="3.140625" style="557" customWidth="1"/>
    <col min="9108" max="9108" width="12.28515625" style="557" customWidth="1"/>
    <col min="9109" max="9109" width="34.85546875" style="557" customWidth="1"/>
    <col min="9110" max="9110" width="8.42578125" style="557" customWidth="1"/>
    <col min="9111" max="9111" width="8.28515625" style="557" customWidth="1"/>
    <col min="9112" max="9112" width="9.42578125" style="557" customWidth="1"/>
    <col min="9113" max="9113" width="8.28515625" style="557" customWidth="1"/>
    <col min="9114" max="9116" width="6.42578125" style="557" customWidth="1"/>
    <col min="9117" max="9117" width="7.140625" style="557" customWidth="1"/>
    <col min="9118" max="9118" width="4.5703125" style="557" customWidth="1"/>
    <col min="9119" max="9119" width="6.7109375" style="557" customWidth="1"/>
    <col min="9120" max="9120" width="6.85546875" style="557" customWidth="1"/>
    <col min="9121" max="9121" width="6.28515625" style="557" customWidth="1"/>
    <col min="9122" max="9122" width="4" style="557" customWidth="1"/>
    <col min="9123" max="9123" width="7.28515625" style="557" customWidth="1"/>
    <col min="9124" max="9124" width="7.5703125" style="557" customWidth="1"/>
    <col min="9125" max="9125" width="6" style="557" customWidth="1"/>
    <col min="9126" max="9126" width="4.7109375" style="557" customWidth="1"/>
    <col min="9127" max="9127" width="5.42578125" style="557" customWidth="1"/>
    <col min="9128" max="9128" width="5.7109375" style="557" customWidth="1"/>
    <col min="9129" max="9129" width="5.85546875" style="557" customWidth="1"/>
    <col min="9130" max="9130" width="5.7109375" style="557" customWidth="1"/>
    <col min="9131" max="9141" width="0" style="557" hidden="1" customWidth="1"/>
    <col min="9142" max="9142" width="5.85546875" style="557" customWidth="1"/>
    <col min="9143" max="9143" width="5.7109375" style="557" customWidth="1"/>
    <col min="9144" max="9144" width="5" style="557" customWidth="1"/>
    <col min="9145" max="9145" width="4.140625" style="557" customWidth="1"/>
    <col min="9146" max="9146" width="5.85546875" style="557" customWidth="1"/>
    <col min="9147" max="9147" width="5.7109375" style="557" customWidth="1"/>
    <col min="9148" max="9148" width="4.7109375" style="557" customWidth="1"/>
    <col min="9149" max="9149" width="4.42578125" style="557" customWidth="1"/>
    <col min="9150" max="9153" width="0" style="557" hidden="1" customWidth="1"/>
    <col min="9154" max="9154" width="5.85546875" style="557" customWidth="1"/>
    <col min="9155" max="9155" width="5.42578125" style="557" customWidth="1"/>
    <col min="9156" max="9156" width="5.28515625" style="557" customWidth="1"/>
    <col min="9157" max="9157" width="4.85546875" style="557" customWidth="1"/>
    <col min="9158" max="9169" width="0" style="557" hidden="1" customWidth="1"/>
    <col min="9170" max="9170" width="5.85546875" style="557" customWidth="1"/>
    <col min="9171" max="9171" width="5.42578125" style="557" customWidth="1"/>
    <col min="9172" max="9172" width="5.140625" style="557" customWidth="1"/>
    <col min="9173" max="9173" width="4.140625" style="557" customWidth="1"/>
    <col min="9174" max="9174" width="6.140625" style="557" customWidth="1"/>
    <col min="9175" max="9176" width="5.5703125" style="557" customWidth="1"/>
    <col min="9177" max="9177" width="4.42578125" style="557" customWidth="1"/>
    <col min="9178" max="9189" width="0" style="557" hidden="1" customWidth="1"/>
    <col min="9190" max="9190" width="7.5703125" style="557" customWidth="1"/>
    <col min="9191" max="9191" width="6.42578125" style="557" customWidth="1"/>
    <col min="9192" max="9192" width="5.42578125" style="557" customWidth="1"/>
    <col min="9193" max="9193" width="5.140625" style="557" customWidth="1"/>
    <col min="9194" max="9194" width="5.7109375" style="557" customWidth="1"/>
    <col min="9195" max="9195" width="5.42578125" style="557" customWidth="1"/>
    <col min="9196" max="9196" width="4.5703125" style="557" customWidth="1"/>
    <col min="9197" max="9197" width="5.42578125" style="557" customWidth="1"/>
    <col min="9198" max="9200" width="5.85546875" style="557" customWidth="1"/>
    <col min="9201" max="9201" width="4.42578125" style="557" customWidth="1"/>
    <col min="9202" max="9216" width="0" style="557" hidden="1" customWidth="1"/>
    <col min="9217" max="9217" width="9.140625" style="557" customWidth="1"/>
    <col min="9218" max="9362" width="9.140625" style="557"/>
    <col min="9363" max="9363" width="3.140625" style="557" customWidth="1"/>
    <col min="9364" max="9364" width="12.28515625" style="557" customWidth="1"/>
    <col min="9365" max="9365" width="34.85546875" style="557" customWidth="1"/>
    <col min="9366" max="9366" width="8.42578125" style="557" customWidth="1"/>
    <col min="9367" max="9367" width="8.28515625" style="557" customWidth="1"/>
    <col min="9368" max="9368" width="9.42578125" style="557" customWidth="1"/>
    <col min="9369" max="9369" width="8.28515625" style="557" customWidth="1"/>
    <col min="9370" max="9372" width="6.42578125" style="557" customWidth="1"/>
    <col min="9373" max="9373" width="7.140625" style="557" customWidth="1"/>
    <col min="9374" max="9374" width="4.5703125" style="557" customWidth="1"/>
    <col min="9375" max="9375" width="6.7109375" style="557" customWidth="1"/>
    <col min="9376" max="9376" width="6.85546875" style="557" customWidth="1"/>
    <col min="9377" max="9377" width="6.28515625" style="557" customWidth="1"/>
    <col min="9378" max="9378" width="4" style="557" customWidth="1"/>
    <col min="9379" max="9379" width="7.28515625" style="557" customWidth="1"/>
    <col min="9380" max="9380" width="7.5703125" style="557" customWidth="1"/>
    <col min="9381" max="9381" width="6" style="557" customWidth="1"/>
    <col min="9382" max="9382" width="4.7109375" style="557" customWidth="1"/>
    <col min="9383" max="9383" width="5.42578125" style="557" customWidth="1"/>
    <col min="9384" max="9384" width="5.7109375" style="557" customWidth="1"/>
    <col min="9385" max="9385" width="5.85546875" style="557" customWidth="1"/>
    <col min="9386" max="9386" width="5.7109375" style="557" customWidth="1"/>
    <col min="9387" max="9397" width="0" style="557" hidden="1" customWidth="1"/>
    <col min="9398" max="9398" width="5.85546875" style="557" customWidth="1"/>
    <col min="9399" max="9399" width="5.7109375" style="557" customWidth="1"/>
    <col min="9400" max="9400" width="5" style="557" customWidth="1"/>
    <col min="9401" max="9401" width="4.140625" style="557" customWidth="1"/>
    <col min="9402" max="9402" width="5.85546875" style="557" customWidth="1"/>
    <col min="9403" max="9403" width="5.7109375" style="557" customWidth="1"/>
    <col min="9404" max="9404" width="4.7109375" style="557" customWidth="1"/>
    <col min="9405" max="9405" width="4.42578125" style="557" customWidth="1"/>
    <col min="9406" max="9409" width="0" style="557" hidden="1" customWidth="1"/>
    <col min="9410" max="9410" width="5.85546875" style="557" customWidth="1"/>
    <col min="9411" max="9411" width="5.42578125" style="557" customWidth="1"/>
    <col min="9412" max="9412" width="5.28515625" style="557" customWidth="1"/>
    <col min="9413" max="9413" width="4.85546875" style="557" customWidth="1"/>
    <col min="9414" max="9425" width="0" style="557" hidden="1" customWidth="1"/>
    <col min="9426" max="9426" width="5.85546875" style="557" customWidth="1"/>
    <col min="9427" max="9427" width="5.42578125" style="557" customWidth="1"/>
    <col min="9428" max="9428" width="5.140625" style="557" customWidth="1"/>
    <col min="9429" max="9429" width="4.140625" style="557" customWidth="1"/>
    <col min="9430" max="9430" width="6.140625" style="557" customWidth="1"/>
    <col min="9431" max="9432" width="5.5703125" style="557" customWidth="1"/>
    <col min="9433" max="9433" width="4.42578125" style="557" customWidth="1"/>
    <col min="9434" max="9445" width="0" style="557" hidden="1" customWidth="1"/>
    <col min="9446" max="9446" width="7.5703125" style="557" customWidth="1"/>
    <col min="9447" max="9447" width="6.42578125" style="557" customWidth="1"/>
    <col min="9448" max="9448" width="5.42578125" style="557" customWidth="1"/>
    <col min="9449" max="9449" width="5.140625" style="557" customWidth="1"/>
    <col min="9450" max="9450" width="5.7109375" style="557" customWidth="1"/>
    <col min="9451" max="9451" width="5.42578125" style="557" customWidth="1"/>
    <col min="9452" max="9452" width="4.5703125" style="557" customWidth="1"/>
    <col min="9453" max="9453" width="5.42578125" style="557" customWidth="1"/>
    <col min="9454" max="9456" width="5.85546875" style="557" customWidth="1"/>
    <col min="9457" max="9457" width="4.42578125" style="557" customWidth="1"/>
    <col min="9458" max="9472" width="0" style="557" hidden="1" customWidth="1"/>
    <col min="9473" max="9473" width="9.140625" style="557" customWidth="1"/>
    <col min="9474" max="9618" width="9.140625" style="557"/>
    <col min="9619" max="9619" width="3.140625" style="557" customWidth="1"/>
    <col min="9620" max="9620" width="12.28515625" style="557" customWidth="1"/>
    <col min="9621" max="9621" width="34.85546875" style="557" customWidth="1"/>
    <col min="9622" max="9622" width="8.42578125" style="557" customWidth="1"/>
    <col min="9623" max="9623" width="8.28515625" style="557" customWidth="1"/>
    <col min="9624" max="9624" width="9.42578125" style="557" customWidth="1"/>
    <col min="9625" max="9625" width="8.28515625" style="557" customWidth="1"/>
    <col min="9626" max="9628" width="6.42578125" style="557" customWidth="1"/>
    <col min="9629" max="9629" width="7.140625" style="557" customWidth="1"/>
    <col min="9630" max="9630" width="4.5703125" style="557" customWidth="1"/>
    <col min="9631" max="9631" width="6.7109375" style="557" customWidth="1"/>
    <col min="9632" max="9632" width="6.85546875" style="557" customWidth="1"/>
    <col min="9633" max="9633" width="6.28515625" style="557" customWidth="1"/>
    <col min="9634" max="9634" width="4" style="557" customWidth="1"/>
    <col min="9635" max="9635" width="7.28515625" style="557" customWidth="1"/>
    <col min="9636" max="9636" width="7.5703125" style="557" customWidth="1"/>
    <col min="9637" max="9637" width="6" style="557" customWidth="1"/>
    <col min="9638" max="9638" width="4.7109375" style="557" customWidth="1"/>
    <col min="9639" max="9639" width="5.42578125" style="557" customWidth="1"/>
    <col min="9640" max="9640" width="5.7109375" style="557" customWidth="1"/>
    <col min="9641" max="9641" width="5.85546875" style="557" customWidth="1"/>
    <col min="9642" max="9642" width="5.7109375" style="557" customWidth="1"/>
    <col min="9643" max="9653" width="0" style="557" hidden="1" customWidth="1"/>
    <col min="9654" max="9654" width="5.85546875" style="557" customWidth="1"/>
    <col min="9655" max="9655" width="5.7109375" style="557" customWidth="1"/>
    <col min="9656" max="9656" width="5" style="557" customWidth="1"/>
    <col min="9657" max="9657" width="4.140625" style="557" customWidth="1"/>
    <col min="9658" max="9658" width="5.85546875" style="557" customWidth="1"/>
    <col min="9659" max="9659" width="5.7109375" style="557" customWidth="1"/>
    <col min="9660" max="9660" width="4.7109375" style="557" customWidth="1"/>
    <col min="9661" max="9661" width="4.42578125" style="557" customWidth="1"/>
    <col min="9662" max="9665" width="0" style="557" hidden="1" customWidth="1"/>
    <col min="9666" max="9666" width="5.85546875" style="557" customWidth="1"/>
    <col min="9667" max="9667" width="5.42578125" style="557" customWidth="1"/>
    <col min="9668" max="9668" width="5.28515625" style="557" customWidth="1"/>
    <col min="9669" max="9669" width="4.85546875" style="557" customWidth="1"/>
    <col min="9670" max="9681" width="0" style="557" hidden="1" customWidth="1"/>
    <col min="9682" max="9682" width="5.85546875" style="557" customWidth="1"/>
    <col min="9683" max="9683" width="5.42578125" style="557" customWidth="1"/>
    <col min="9684" max="9684" width="5.140625" style="557" customWidth="1"/>
    <col min="9685" max="9685" width="4.140625" style="557" customWidth="1"/>
    <col min="9686" max="9686" width="6.140625" style="557" customWidth="1"/>
    <col min="9687" max="9688" width="5.5703125" style="557" customWidth="1"/>
    <col min="9689" max="9689" width="4.42578125" style="557" customWidth="1"/>
    <col min="9690" max="9701" width="0" style="557" hidden="1" customWidth="1"/>
    <col min="9702" max="9702" width="7.5703125" style="557" customWidth="1"/>
    <col min="9703" max="9703" width="6.42578125" style="557" customWidth="1"/>
    <col min="9704" max="9704" width="5.42578125" style="557" customWidth="1"/>
    <col min="9705" max="9705" width="5.140625" style="557" customWidth="1"/>
    <col min="9706" max="9706" width="5.7109375" style="557" customWidth="1"/>
    <col min="9707" max="9707" width="5.42578125" style="557" customWidth="1"/>
    <col min="9708" max="9708" width="4.5703125" style="557" customWidth="1"/>
    <col min="9709" max="9709" width="5.42578125" style="557" customWidth="1"/>
    <col min="9710" max="9712" width="5.85546875" style="557" customWidth="1"/>
    <col min="9713" max="9713" width="4.42578125" style="557" customWidth="1"/>
    <col min="9714" max="9728" width="0" style="557" hidden="1" customWidth="1"/>
    <col min="9729" max="9729" width="9.140625" style="557" customWidth="1"/>
    <col min="9730" max="9874" width="9.140625" style="557"/>
    <col min="9875" max="9875" width="3.140625" style="557" customWidth="1"/>
    <col min="9876" max="9876" width="12.28515625" style="557" customWidth="1"/>
    <col min="9877" max="9877" width="34.85546875" style="557" customWidth="1"/>
    <col min="9878" max="9878" width="8.42578125" style="557" customWidth="1"/>
    <col min="9879" max="9879" width="8.28515625" style="557" customWidth="1"/>
    <col min="9880" max="9880" width="9.42578125" style="557" customWidth="1"/>
    <col min="9881" max="9881" width="8.28515625" style="557" customWidth="1"/>
    <col min="9882" max="9884" width="6.42578125" style="557" customWidth="1"/>
    <col min="9885" max="9885" width="7.140625" style="557" customWidth="1"/>
    <col min="9886" max="9886" width="4.5703125" style="557" customWidth="1"/>
    <col min="9887" max="9887" width="6.7109375" style="557" customWidth="1"/>
    <col min="9888" max="9888" width="6.85546875" style="557" customWidth="1"/>
    <col min="9889" max="9889" width="6.28515625" style="557" customWidth="1"/>
    <col min="9890" max="9890" width="4" style="557" customWidth="1"/>
    <col min="9891" max="9891" width="7.28515625" style="557" customWidth="1"/>
    <col min="9892" max="9892" width="7.5703125" style="557" customWidth="1"/>
    <col min="9893" max="9893" width="6" style="557" customWidth="1"/>
    <col min="9894" max="9894" width="4.7109375" style="557" customWidth="1"/>
    <col min="9895" max="9895" width="5.42578125" style="557" customWidth="1"/>
    <col min="9896" max="9896" width="5.7109375" style="557" customWidth="1"/>
    <col min="9897" max="9897" width="5.85546875" style="557" customWidth="1"/>
    <col min="9898" max="9898" width="5.7109375" style="557" customWidth="1"/>
    <col min="9899" max="9909" width="0" style="557" hidden="1" customWidth="1"/>
    <col min="9910" max="9910" width="5.85546875" style="557" customWidth="1"/>
    <col min="9911" max="9911" width="5.7109375" style="557" customWidth="1"/>
    <col min="9912" max="9912" width="5" style="557" customWidth="1"/>
    <col min="9913" max="9913" width="4.140625" style="557" customWidth="1"/>
    <col min="9914" max="9914" width="5.85546875" style="557" customWidth="1"/>
    <col min="9915" max="9915" width="5.7109375" style="557" customWidth="1"/>
    <col min="9916" max="9916" width="4.7109375" style="557" customWidth="1"/>
    <col min="9917" max="9917" width="4.42578125" style="557" customWidth="1"/>
    <col min="9918" max="9921" width="0" style="557" hidden="1" customWidth="1"/>
    <col min="9922" max="9922" width="5.85546875" style="557" customWidth="1"/>
    <col min="9923" max="9923" width="5.42578125" style="557" customWidth="1"/>
    <col min="9924" max="9924" width="5.28515625" style="557" customWidth="1"/>
    <col min="9925" max="9925" width="4.85546875" style="557" customWidth="1"/>
    <col min="9926" max="9937" width="0" style="557" hidden="1" customWidth="1"/>
    <col min="9938" max="9938" width="5.85546875" style="557" customWidth="1"/>
    <col min="9939" max="9939" width="5.42578125" style="557" customWidth="1"/>
    <col min="9940" max="9940" width="5.140625" style="557" customWidth="1"/>
    <col min="9941" max="9941" width="4.140625" style="557" customWidth="1"/>
    <col min="9942" max="9942" width="6.140625" style="557" customWidth="1"/>
    <col min="9943" max="9944" width="5.5703125" style="557" customWidth="1"/>
    <col min="9945" max="9945" width="4.42578125" style="557" customWidth="1"/>
    <col min="9946" max="9957" width="0" style="557" hidden="1" customWidth="1"/>
    <col min="9958" max="9958" width="7.5703125" style="557" customWidth="1"/>
    <col min="9959" max="9959" width="6.42578125" style="557" customWidth="1"/>
    <col min="9960" max="9960" width="5.42578125" style="557" customWidth="1"/>
    <col min="9961" max="9961" width="5.140625" style="557" customWidth="1"/>
    <col min="9962" max="9962" width="5.7109375" style="557" customWidth="1"/>
    <col min="9963" max="9963" width="5.42578125" style="557" customWidth="1"/>
    <col min="9964" max="9964" width="4.5703125" style="557" customWidth="1"/>
    <col min="9965" max="9965" width="5.42578125" style="557" customWidth="1"/>
    <col min="9966" max="9968" width="5.85546875" style="557" customWidth="1"/>
    <col min="9969" max="9969" width="4.42578125" style="557" customWidth="1"/>
    <col min="9970" max="9984" width="0" style="557" hidden="1" customWidth="1"/>
    <col min="9985" max="9985" width="9.140625" style="557" customWidth="1"/>
    <col min="9986" max="10130" width="9.140625" style="557"/>
    <col min="10131" max="10131" width="3.140625" style="557" customWidth="1"/>
    <col min="10132" max="10132" width="12.28515625" style="557" customWidth="1"/>
    <col min="10133" max="10133" width="34.85546875" style="557" customWidth="1"/>
    <col min="10134" max="10134" width="8.42578125" style="557" customWidth="1"/>
    <col min="10135" max="10135" width="8.28515625" style="557" customWidth="1"/>
    <col min="10136" max="10136" width="9.42578125" style="557" customWidth="1"/>
    <col min="10137" max="10137" width="8.28515625" style="557" customWidth="1"/>
    <col min="10138" max="10140" width="6.42578125" style="557" customWidth="1"/>
    <col min="10141" max="10141" width="7.140625" style="557" customWidth="1"/>
    <col min="10142" max="10142" width="4.5703125" style="557" customWidth="1"/>
    <col min="10143" max="10143" width="6.7109375" style="557" customWidth="1"/>
    <col min="10144" max="10144" width="6.85546875" style="557" customWidth="1"/>
    <col min="10145" max="10145" width="6.28515625" style="557" customWidth="1"/>
    <col min="10146" max="10146" width="4" style="557" customWidth="1"/>
    <col min="10147" max="10147" width="7.28515625" style="557" customWidth="1"/>
    <col min="10148" max="10148" width="7.5703125" style="557" customWidth="1"/>
    <col min="10149" max="10149" width="6" style="557" customWidth="1"/>
    <col min="10150" max="10150" width="4.7109375" style="557" customWidth="1"/>
    <col min="10151" max="10151" width="5.42578125" style="557" customWidth="1"/>
    <col min="10152" max="10152" width="5.7109375" style="557" customWidth="1"/>
    <col min="10153" max="10153" width="5.85546875" style="557" customWidth="1"/>
    <col min="10154" max="10154" width="5.7109375" style="557" customWidth="1"/>
    <col min="10155" max="10165" width="0" style="557" hidden="1" customWidth="1"/>
    <col min="10166" max="10166" width="5.85546875" style="557" customWidth="1"/>
    <col min="10167" max="10167" width="5.7109375" style="557" customWidth="1"/>
    <col min="10168" max="10168" width="5" style="557" customWidth="1"/>
    <col min="10169" max="10169" width="4.140625" style="557" customWidth="1"/>
    <col min="10170" max="10170" width="5.85546875" style="557" customWidth="1"/>
    <col min="10171" max="10171" width="5.7109375" style="557" customWidth="1"/>
    <col min="10172" max="10172" width="4.7109375" style="557" customWidth="1"/>
    <col min="10173" max="10173" width="4.42578125" style="557" customWidth="1"/>
    <col min="10174" max="10177" width="0" style="557" hidden="1" customWidth="1"/>
    <col min="10178" max="10178" width="5.85546875" style="557" customWidth="1"/>
    <col min="10179" max="10179" width="5.42578125" style="557" customWidth="1"/>
    <col min="10180" max="10180" width="5.28515625" style="557" customWidth="1"/>
    <col min="10181" max="10181" width="4.85546875" style="557" customWidth="1"/>
    <col min="10182" max="10193" width="0" style="557" hidden="1" customWidth="1"/>
    <col min="10194" max="10194" width="5.85546875" style="557" customWidth="1"/>
    <col min="10195" max="10195" width="5.42578125" style="557" customWidth="1"/>
    <col min="10196" max="10196" width="5.140625" style="557" customWidth="1"/>
    <col min="10197" max="10197" width="4.140625" style="557" customWidth="1"/>
    <col min="10198" max="10198" width="6.140625" style="557" customWidth="1"/>
    <col min="10199" max="10200" width="5.5703125" style="557" customWidth="1"/>
    <col min="10201" max="10201" width="4.42578125" style="557" customWidth="1"/>
    <col min="10202" max="10213" width="0" style="557" hidden="1" customWidth="1"/>
    <col min="10214" max="10214" width="7.5703125" style="557" customWidth="1"/>
    <col min="10215" max="10215" width="6.42578125" style="557" customWidth="1"/>
    <col min="10216" max="10216" width="5.42578125" style="557" customWidth="1"/>
    <col min="10217" max="10217" width="5.140625" style="557" customWidth="1"/>
    <col min="10218" max="10218" width="5.7109375" style="557" customWidth="1"/>
    <col min="10219" max="10219" width="5.42578125" style="557" customWidth="1"/>
    <col min="10220" max="10220" width="4.5703125" style="557" customWidth="1"/>
    <col min="10221" max="10221" width="5.42578125" style="557" customWidth="1"/>
    <col min="10222" max="10224" width="5.85546875" style="557" customWidth="1"/>
    <col min="10225" max="10225" width="4.42578125" style="557" customWidth="1"/>
    <col min="10226" max="10240" width="0" style="557" hidden="1" customWidth="1"/>
    <col min="10241" max="10241" width="9.140625" style="557" customWidth="1"/>
    <col min="10242" max="10386" width="9.140625" style="557"/>
    <col min="10387" max="10387" width="3.140625" style="557" customWidth="1"/>
    <col min="10388" max="10388" width="12.28515625" style="557" customWidth="1"/>
    <col min="10389" max="10389" width="34.85546875" style="557" customWidth="1"/>
    <col min="10390" max="10390" width="8.42578125" style="557" customWidth="1"/>
    <col min="10391" max="10391" width="8.28515625" style="557" customWidth="1"/>
    <col min="10392" max="10392" width="9.42578125" style="557" customWidth="1"/>
    <col min="10393" max="10393" width="8.28515625" style="557" customWidth="1"/>
    <col min="10394" max="10396" width="6.42578125" style="557" customWidth="1"/>
    <col min="10397" max="10397" width="7.140625" style="557" customWidth="1"/>
    <col min="10398" max="10398" width="4.5703125" style="557" customWidth="1"/>
    <col min="10399" max="10399" width="6.7109375" style="557" customWidth="1"/>
    <col min="10400" max="10400" width="6.85546875" style="557" customWidth="1"/>
    <col min="10401" max="10401" width="6.28515625" style="557" customWidth="1"/>
    <col min="10402" max="10402" width="4" style="557" customWidth="1"/>
    <col min="10403" max="10403" width="7.28515625" style="557" customWidth="1"/>
    <col min="10404" max="10404" width="7.5703125" style="557" customWidth="1"/>
    <col min="10405" max="10405" width="6" style="557" customWidth="1"/>
    <col min="10406" max="10406" width="4.7109375" style="557" customWidth="1"/>
    <col min="10407" max="10407" width="5.42578125" style="557" customWidth="1"/>
    <col min="10408" max="10408" width="5.7109375" style="557" customWidth="1"/>
    <col min="10409" max="10409" width="5.85546875" style="557" customWidth="1"/>
    <col min="10410" max="10410" width="5.7109375" style="557" customWidth="1"/>
    <col min="10411" max="10421" width="0" style="557" hidden="1" customWidth="1"/>
    <col min="10422" max="10422" width="5.85546875" style="557" customWidth="1"/>
    <col min="10423" max="10423" width="5.7109375" style="557" customWidth="1"/>
    <col min="10424" max="10424" width="5" style="557" customWidth="1"/>
    <col min="10425" max="10425" width="4.140625" style="557" customWidth="1"/>
    <col min="10426" max="10426" width="5.85546875" style="557" customWidth="1"/>
    <col min="10427" max="10427" width="5.7109375" style="557" customWidth="1"/>
    <col min="10428" max="10428" width="4.7109375" style="557" customWidth="1"/>
    <col min="10429" max="10429" width="4.42578125" style="557" customWidth="1"/>
    <col min="10430" max="10433" width="0" style="557" hidden="1" customWidth="1"/>
    <col min="10434" max="10434" width="5.85546875" style="557" customWidth="1"/>
    <col min="10435" max="10435" width="5.42578125" style="557" customWidth="1"/>
    <col min="10436" max="10436" width="5.28515625" style="557" customWidth="1"/>
    <col min="10437" max="10437" width="4.85546875" style="557" customWidth="1"/>
    <col min="10438" max="10449" width="0" style="557" hidden="1" customWidth="1"/>
    <col min="10450" max="10450" width="5.85546875" style="557" customWidth="1"/>
    <col min="10451" max="10451" width="5.42578125" style="557" customWidth="1"/>
    <col min="10452" max="10452" width="5.140625" style="557" customWidth="1"/>
    <col min="10453" max="10453" width="4.140625" style="557" customWidth="1"/>
    <col min="10454" max="10454" width="6.140625" style="557" customWidth="1"/>
    <col min="10455" max="10456" width="5.5703125" style="557" customWidth="1"/>
    <col min="10457" max="10457" width="4.42578125" style="557" customWidth="1"/>
    <col min="10458" max="10469" width="0" style="557" hidden="1" customWidth="1"/>
    <col min="10470" max="10470" width="7.5703125" style="557" customWidth="1"/>
    <col min="10471" max="10471" width="6.42578125" style="557" customWidth="1"/>
    <col min="10472" max="10472" width="5.42578125" style="557" customWidth="1"/>
    <col min="10473" max="10473" width="5.140625" style="557" customWidth="1"/>
    <col min="10474" max="10474" width="5.7109375" style="557" customWidth="1"/>
    <col min="10475" max="10475" width="5.42578125" style="557" customWidth="1"/>
    <col min="10476" max="10476" width="4.5703125" style="557" customWidth="1"/>
    <col min="10477" max="10477" width="5.42578125" style="557" customWidth="1"/>
    <col min="10478" max="10480" width="5.85546875" style="557" customWidth="1"/>
    <col min="10481" max="10481" width="4.42578125" style="557" customWidth="1"/>
    <col min="10482" max="10496" width="0" style="557" hidden="1" customWidth="1"/>
    <col min="10497" max="10497" width="9.140625" style="557" customWidth="1"/>
    <col min="10498" max="10642" width="9.140625" style="557"/>
    <col min="10643" max="10643" width="3.140625" style="557" customWidth="1"/>
    <col min="10644" max="10644" width="12.28515625" style="557" customWidth="1"/>
    <col min="10645" max="10645" width="34.85546875" style="557" customWidth="1"/>
    <col min="10646" max="10646" width="8.42578125" style="557" customWidth="1"/>
    <col min="10647" max="10647" width="8.28515625" style="557" customWidth="1"/>
    <col min="10648" max="10648" width="9.42578125" style="557" customWidth="1"/>
    <col min="10649" max="10649" width="8.28515625" style="557" customWidth="1"/>
    <col min="10650" max="10652" width="6.42578125" style="557" customWidth="1"/>
    <col min="10653" max="10653" width="7.140625" style="557" customWidth="1"/>
    <col min="10654" max="10654" width="4.5703125" style="557" customWidth="1"/>
    <col min="10655" max="10655" width="6.7109375" style="557" customWidth="1"/>
    <col min="10656" max="10656" width="6.85546875" style="557" customWidth="1"/>
    <col min="10657" max="10657" width="6.28515625" style="557" customWidth="1"/>
    <col min="10658" max="10658" width="4" style="557" customWidth="1"/>
    <col min="10659" max="10659" width="7.28515625" style="557" customWidth="1"/>
    <col min="10660" max="10660" width="7.5703125" style="557" customWidth="1"/>
    <col min="10661" max="10661" width="6" style="557" customWidth="1"/>
    <col min="10662" max="10662" width="4.7109375" style="557" customWidth="1"/>
    <col min="10663" max="10663" width="5.42578125" style="557" customWidth="1"/>
    <col min="10664" max="10664" width="5.7109375" style="557" customWidth="1"/>
    <col min="10665" max="10665" width="5.85546875" style="557" customWidth="1"/>
    <col min="10666" max="10666" width="5.7109375" style="557" customWidth="1"/>
    <col min="10667" max="10677" width="0" style="557" hidden="1" customWidth="1"/>
    <col min="10678" max="10678" width="5.85546875" style="557" customWidth="1"/>
    <col min="10679" max="10679" width="5.7109375" style="557" customWidth="1"/>
    <col min="10680" max="10680" width="5" style="557" customWidth="1"/>
    <col min="10681" max="10681" width="4.140625" style="557" customWidth="1"/>
    <col min="10682" max="10682" width="5.85546875" style="557" customWidth="1"/>
    <col min="10683" max="10683" width="5.7109375" style="557" customWidth="1"/>
    <col min="10684" max="10684" width="4.7109375" style="557" customWidth="1"/>
    <col min="10685" max="10685" width="4.42578125" style="557" customWidth="1"/>
    <col min="10686" max="10689" width="0" style="557" hidden="1" customWidth="1"/>
    <col min="10690" max="10690" width="5.85546875" style="557" customWidth="1"/>
    <col min="10691" max="10691" width="5.42578125" style="557" customWidth="1"/>
    <col min="10692" max="10692" width="5.28515625" style="557" customWidth="1"/>
    <col min="10693" max="10693" width="4.85546875" style="557" customWidth="1"/>
    <col min="10694" max="10705" width="0" style="557" hidden="1" customWidth="1"/>
    <col min="10706" max="10706" width="5.85546875" style="557" customWidth="1"/>
    <col min="10707" max="10707" width="5.42578125" style="557" customWidth="1"/>
    <col min="10708" max="10708" width="5.140625" style="557" customWidth="1"/>
    <col min="10709" max="10709" width="4.140625" style="557" customWidth="1"/>
    <col min="10710" max="10710" width="6.140625" style="557" customWidth="1"/>
    <col min="10711" max="10712" width="5.5703125" style="557" customWidth="1"/>
    <col min="10713" max="10713" width="4.42578125" style="557" customWidth="1"/>
    <col min="10714" max="10725" width="0" style="557" hidden="1" customWidth="1"/>
    <col min="10726" max="10726" width="7.5703125" style="557" customWidth="1"/>
    <col min="10727" max="10727" width="6.42578125" style="557" customWidth="1"/>
    <col min="10728" max="10728" width="5.42578125" style="557" customWidth="1"/>
    <col min="10729" max="10729" width="5.140625" style="557" customWidth="1"/>
    <col min="10730" max="10730" width="5.7109375" style="557" customWidth="1"/>
    <col min="10731" max="10731" width="5.42578125" style="557" customWidth="1"/>
    <col min="10732" max="10732" width="4.5703125" style="557" customWidth="1"/>
    <col min="10733" max="10733" width="5.42578125" style="557" customWidth="1"/>
    <col min="10734" max="10736" width="5.85546875" style="557" customWidth="1"/>
    <col min="10737" max="10737" width="4.42578125" style="557" customWidth="1"/>
    <col min="10738" max="10752" width="0" style="557" hidden="1" customWidth="1"/>
    <col min="10753" max="10753" width="9.140625" style="557" customWidth="1"/>
    <col min="10754" max="10898" width="9.140625" style="557"/>
    <col min="10899" max="10899" width="3.140625" style="557" customWidth="1"/>
    <col min="10900" max="10900" width="12.28515625" style="557" customWidth="1"/>
    <col min="10901" max="10901" width="34.85546875" style="557" customWidth="1"/>
    <col min="10902" max="10902" width="8.42578125" style="557" customWidth="1"/>
    <col min="10903" max="10903" width="8.28515625" style="557" customWidth="1"/>
    <col min="10904" max="10904" width="9.42578125" style="557" customWidth="1"/>
    <col min="10905" max="10905" width="8.28515625" style="557" customWidth="1"/>
    <col min="10906" max="10908" width="6.42578125" style="557" customWidth="1"/>
    <col min="10909" max="10909" width="7.140625" style="557" customWidth="1"/>
    <col min="10910" max="10910" width="4.5703125" style="557" customWidth="1"/>
    <col min="10911" max="10911" width="6.7109375" style="557" customWidth="1"/>
    <col min="10912" max="10912" width="6.85546875" style="557" customWidth="1"/>
    <col min="10913" max="10913" width="6.28515625" style="557" customWidth="1"/>
    <col min="10914" max="10914" width="4" style="557" customWidth="1"/>
    <col min="10915" max="10915" width="7.28515625" style="557" customWidth="1"/>
    <col min="10916" max="10916" width="7.5703125" style="557" customWidth="1"/>
    <col min="10917" max="10917" width="6" style="557" customWidth="1"/>
    <col min="10918" max="10918" width="4.7109375" style="557" customWidth="1"/>
    <col min="10919" max="10919" width="5.42578125" style="557" customWidth="1"/>
    <col min="10920" max="10920" width="5.7109375" style="557" customWidth="1"/>
    <col min="10921" max="10921" width="5.85546875" style="557" customWidth="1"/>
    <col min="10922" max="10922" width="5.7109375" style="557" customWidth="1"/>
    <col min="10923" max="10933" width="0" style="557" hidden="1" customWidth="1"/>
    <col min="10934" max="10934" width="5.85546875" style="557" customWidth="1"/>
    <col min="10935" max="10935" width="5.7109375" style="557" customWidth="1"/>
    <col min="10936" max="10936" width="5" style="557" customWidth="1"/>
    <col min="10937" max="10937" width="4.140625" style="557" customWidth="1"/>
    <col min="10938" max="10938" width="5.85546875" style="557" customWidth="1"/>
    <col min="10939" max="10939" width="5.7109375" style="557" customWidth="1"/>
    <col min="10940" max="10940" width="4.7109375" style="557" customWidth="1"/>
    <col min="10941" max="10941" width="4.42578125" style="557" customWidth="1"/>
    <col min="10942" max="10945" width="0" style="557" hidden="1" customWidth="1"/>
    <col min="10946" max="10946" width="5.85546875" style="557" customWidth="1"/>
    <col min="10947" max="10947" width="5.42578125" style="557" customWidth="1"/>
    <col min="10948" max="10948" width="5.28515625" style="557" customWidth="1"/>
    <col min="10949" max="10949" width="4.85546875" style="557" customWidth="1"/>
    <col min="10950" max="10961" width="0" style="557" hidden="1" customWidth="1"/>
    <col min="10962" max="10962" width="5.85546875" style="557" customWidth="1"/>
    <col min="10963" max="10963" width="5.42578125" style="557" customWidth="1"/>
    <col min="10964" max="10964" width="5.140625" style="557" customWidth="1"/>
    <col min="10965" max="10965" width="4.140625" style="557" customWidth="1"/>
    <col min="10966" max="10966" width="6.140625" style="557" customWidth="1"/>
    <col min="10967" max="10968" width="5.5703125" style="557" customWidth="1"/>
    <col min="10969" max="10969" width="4.42578125" style="557" customWidth="1"/>
    <col min="10970" max="10981" width="0" style="557" hidden="1" customWidth="1"/>
    <col min="10982" max="10982" width="7.5703125" style="557" customWidth="1"/>
    <col min="10983" max="10983" width="6.42578125" style="557" customWidth="1"/>
    <col min="10984" max="10984" width="5.42578125" style="557" customWidth="1"/>
    <col min="10985" max="10985" width="5.140625" style="557" customWidth="1"/>
    <col min="10986" max="10986" width="5.7109375" style="557" customWidth="1"/>
    <col min="10987" max="10987" width="5.42578125" style="557" customWidth="1"/>
    <col min="10988" max="10988" width="4.5703125" style="557" customWidth="1"/>
    <col min="10989" max="10989" width="5.42578125" style="557" customWidth="1"/>
    <col min="10990" max="10992" width="5.85546875" style="557" customWidth="1"/>
    <col min="10993" max="10993" width="4.42578125" style="557" customWidth="1"/>
    <col min="10994" max="11008" width="0" style="557" hidden="1" customWidth="1"/>
    <col min="11009" max="11009" width="9.140625" style="557" customWidth="1"/>
    <col min="11010" max="11154" width="9.140625" style="557"/>
    <col min="11155" max="11155" width="3.140625" style="557" customWidth="1"/>
    <col min="11156" max="11156" width="12.28515625" style="557" customWidth="1"/>
    <col min="11157" max="11157" width="34.85546875" style="557" customWidth="1"/>
    <col min="11158" max="11158" width="8.42578125" style="557" customWidth="1"/>
    <col min="11159" max="11159" width="8.28515625" style="557" customWidth="1"/>
    <col min="11160" max="11160" width="9.42578125" style="557" customWidth="1"/>
    <col min="11161" max="11161" width="8.28515625" style="557" customWidth="1"/>
    <col min="11162" max="11164" width="6.42578125" style="557" customWidth="1"/>
    <col min="11165" max="11165" width="7.140625" style="557" customWidth="1"/>
    <col min="11166" max="11166" width="4.5703125" style="557" customWidth="1"/>
    <col min="11167" max="11167" width="6.7109375" style="557" customWidth="1"/>
    <col min="11168" max="11168" width="6.85546875" style="557" customWidth="1"/>
    <col min="11169" max="11169" width="6.28515625" style="557" customWidth="1"/>
    <col min="11170" max="11170" width="4" style="557" customWidth="1"/>
    <col min="11171" max="11171" width="7.28515625" style="557" customWidth="1"/>
    <col min="11172" max="11172" width="7.5703125" style="557" customWidth="1"/>
    <col min="11173" max="11173" width="6" style="557" customWidth="1"/>
    <col min="11174" max="11174" width="4.7109375" style="557" customWidth="1"/>
    <col min="11175" max="11175" width="5.42578125" style="557" customWidth="1"/>
    <col min="11176" max="11176" width="5.7109375" style="557" customWidth="1"/>
    <col min="11177" max="11177" width="5.85546875" style="557" customWidth="1"/>
    <col min="11178" max="11178" width="5.7109375" style="557" customWidth="1"/>
    <col min="11179" max="11189" width="0" style="557" hidden="1" customWidth="1"/>
    <col min="11190" max="11190" width="5.85546875" style="557" customWidth="1"/>
    <col min="11191" max="11191" width="5.7109375" style="557" customWidth="1"/>
    <col min="11192" max="11192" width="5" style="557" customWidth="1"/>
    <col min="11193" max="11193" width="4.140625" style="557" customWidth="1"/>
    <col min="11194" max="11194" width="5.85546875" style="557" customWidth="1"/>
    <col min="11195" max="11195" width="5.7109375" style="557" customWidth="1"/>
    <col min="11196" max="11196" width="4.7109375" style="557" customWidth="1"/>
    <col min="11197" max="11197" width="4.42578125" style="557" customWidth="1"/>
    <col min="11198" max="11201" width="0" style="557" hidden="1" customWidth="1"/>
    <col min="11202" max="11202" width="5.85546875" style="557" customWidth="1"/>
    <col min="11203" max="11203" width="5.42578125" style="557" customWidth="1"/>
    <col min="11204" max="11204" width="5.28515625" style="557" customWidth="1"/>
    <col min="11205" max="11205" width="4.85546875" style="557" customWidth="1"/>
    <col min="11206" max="11217" width="0" style="557" hidden="1" customWidth="1"/>
    <col min="11218" max="11218" width="5.85546875" style="557" customWidth="1"/>
    <col min="11219" max="11219" width="5.42578125" style="557" customWidth="1"/>
    <col min="11220" max="11220" width="5.140625" style="557" customWidth="1"/>
    <col min="11221" max="11221" width="4.140625" style="557" customWidth="1"/>
    <col min="11222" max="11222" width="6.140625" style="557" customWidth="1"/>
    <col min="11223" max="11224" width="5.5703125" style="557" customWidth="1"/>
    <col min="11225" max="11225" width="4.42578125" style="557" customWidth="1"/>
    <col min="11226" max="11237" width="0" style="557" hidden="1" customWidth="1"/>
    <col min="11238" max="11238" width="7.5703125" style="557" customWidth="1"/>
    <col min="11239" max="11239" width="6.42578125" style="557" customWidth="1"/>
    <col min="11240" max="11240" width="5.42578125" style="557" customWidth="1"/>
    <col min="11241" max="11241" width="5.140625" style="557" customWidth="1"/>
    <col min="11242" max="11242" width="5.7109375" style="557" customWidth="1"/>
    <col min="11243" max="11243" width="5.42578125" style="557" customWidth="1"/>
    <col min="11244" max="11244" width="4.5703125" style="557" customWidth="1"/>
    <col min="11245" max="11245" width="5.42578125" style="557" customWidth="1"/>
    <col min="11246" max="11248" width="5.85546875" style="557" customWidth="1"/>
    <col min="11249" max="11249" width="4.42578125" style="557" customWidth="1"/>
    <col min="11250" max="11264" width="0" style="557" hidden="1" customWidth="1"/>
    <col min="11265" max="11265" width="9.140625" style="557" customWidth="1"/>
    <col min="11266" max="11410" width="9.140625" style="557"/>
    <col min="11411" max="11411" width="3.140625" style="557" customWidth="1"/>
    <col min="11412" max="11412" width="12.28515625" style="557" customWidth="1"/>
    <col min="11413" max="11413" width="34.85546875" style="557" customWidth="1"/>
    <col min="11414" max="11414" width="8.42578125" style="557" customWidth="1"/>
    <col min="11415" max="11415" width="8.28515625" style="557" customWidth="1"/>
    <col min="11416" max="11416" width="9.42578125" style="557" customWidth="1"/>
    <col min="11417" max="11417" width="8.28515625" style="557" customWidth="1"/>
    <col min="11418" max="11420" width="6.42578125" style="557" customWidth="1"/>
    <col min="11421" max="11421" width="7.140625" style="557" customWidth="1"/>
    <col min="11422" max="11422" width="4.5703125" style="557" customWidth="1"/>
    <col min="11423" max="11423" width="6.7109375" style="557" customWidth="1"/>
    <col min="11424" max="11424" width="6.85546875" style="557" customWidth="1"/>
    <col min="11425" max="11425" width="6.28515625" style="557" customWidth="1"/>
    <col min="11426" max="11426" width="4" style="557" customWidth="1"/>
    <col min="11427" max="11427" width="7.28515625" style="557" customWidth="1"/>
    <col min="11428" max="11428" width="7.5703125" style="557" customWidth="1"/>
    <col min="11429" max="11429" width="6" style="557" customWidth="1"/>
    <col min="11430" max="11430" width="4.7109375" style="557" customWidth="1"/>
    <col min="11431" max="11431" width="5.42578125" style="557" customWidth="1"/>
    <col min="11432" max="11432" width="5.7109375" style="557" customWidth="1"/>
    <col min="11433" max="11433" width="5.85546875" style="557" customWidth="1"/>
    <col min="11434" max="11434" width="5.7109375" style="557" customWidth="1"/>
    <col min="11435" max="11445" width="0" style="557" hidden="1" customWidth="1"/>
    <col min="11446" max="11446" width="5.85546875" style="557" customWidth="1"/>
    <col min="11447" max="11447" width="5.7109375" style="557" customWidth="1"/>
    <col min="11448" max="11448" width="5" style="557" customWidth="1"/>
    <col min="11449" max="11449" width="4.140625" style="557" customWidth="1"/>
    <col min="11450" max="11450" width="5.85546875" style="557" customWidth="1"/>
    <col min="11451" max="11451" width="5.7109375" style="557" customWidth="1"/>
    <col min="11452" max="11452" width="4.7109375" style="557" customWidth="1"/>
    <col min="11453" max="11453" width="4.42578125" style="557" customWidth="1"/>
    <col min="11454" max="11457" width="0" style="557" hidden="1" customWidth="1"/>
    <col min="11458" max="11458" width="5.85546875" style="557" customWidth="1"/>
    <col min="11459" max="11459" width="5.42578125" style="557" customWidth="1"/>
    <col min="11460" max="11460" width="5.28515625" style="557" customWidth="1"/>
    <col min="11461" max="11461" width="4.85546875" style="557" customWidth="1"/>
    <col min="11462" max="11473" width="0" style="557" hidden="1" customWidth="1"/>
    <col min="11474" max="11474" width="5.85546875" style="557" customWidth="1"/>
    <col min="11475" max="11475" width="5.42578125" style="557" customWidth="1"/>
    <col min="11476" max="11476" width="5.140625" style="557" customWidth="1"/>
    <col min="11477" max="11477" width="4.140625" style="557" customWidth="1"/>
    <col min="11478" max="11478" width="6.140625" style="557" customWidth="1"/>
    <col min="11479" max="11480" width="5.5703125" style="557" customWidth="1"/>
    <col min="11481" max="11481" width="4.42578125" style="557" customWidth="1"/>
    <col min="11482" max="11493" width="0" style="557" hidden="1" customWidth="1"/>
    <col min="11494" max="11494" width="7.5703125" style="557" customWidth="1"/>
    <col min="11495" max="11495" width="6.42578125" style="557" customWidth="1"/>
    <col min="11496" max="11496" width="5.42578125" style="557" customWidth="1"/>
    <col min="11497" max="11497" width="5.140625" style="557" customWidth="1"/>
    <col min="11498" max="11498" width="5.7109375" style="557" customWidth="1"/>
    <col min="11499" max="11499" width="5.42578125" style="557" customWidth="1"/>
    <col min="11500" max="11500" width="4.5703125" style="557" customWidth="1"/>
    <col min="11501" max="11501" width="5.42578125" style="557" customWidth="1"/>
    <col min="11502" max="11504" width="5.85546875" style="557" customWidth="1"/>
    <col min="11505" max="11505" width="4.42578125" style="557" customWidth="1"/>
    <col min="11506" max="11520" width="0" style="557" hidden="1" customWidth="1"/>
    <col min="11521" max="11521" width="9.140625" style="557" customWidth="1"/>
    <col min="11522" max="11666" width="9.140625" style="557"/>
    <col min="11667" max="11667" width="3.140625" style="557" customWidth="1"/>
    <col min="11668" max="11668" width="12.28515625" style="557" customWidth="1"/>
    <col min="11669" max="11669" width="34.85546875" style="557" customWidth="1"/>
    <col min="11670" max="11670" width="8.42578125" style="557" customWidth="1"/>
    <col min="11671" max="11671" width="8.28515625" style="557" customWidth="1"/>
    <col min="11672" max="11672" width="9.42578125" style="557" customWidth="1"/>
    <col min="11673" max="11673" width="8.28515625" style="557" customWidth="1"/>
    <col min="11674" max="11676" width="6.42578125" style="557" customWidth="1"/>
    <col min="11677" max="11677" width="7.140625" style="557" customWidth="1"/>
    <col min="11678" max="11678" width="4.5703125" style="557" customWidth="1"/>
    <col min="11679" max="11679" width="6.7109375" style="557" customWidth="1"/>
    <col min="11680" max="11680" width="6.85546875" style="557" customWidth="1"/>
    <col min="11681" max="11681" width="6.28515625" style="557" customWidth="1"/>
    <col min="11682" max="11682" width="4" style="557" customWidth="1"/>
    <col min="11683" max="11683" width="7.28515625" style="557" customWidth="1"/>
    <col min="11684" max="11684" width="7.5703125" style="557" customWidth="1"/>
    <col min="11685" max="11685" width="6" style="557" customWidth="1"/>
    <col min="11686" max="11686" width="4.7109375" style="557" customWidth="1"/>
    <col min="11687" max="11687" width="5.42578125" style="557" customWidth="1"/>
    <col min="11688" max="11688" width="5.7109375" style="557" customWidth="1"/>
    <col min="11689" max="11689" width="5.85546875" style="557" customWidth="1"/>
    <col min="11690" max="11690" width="5.7109375" style="557" customWidth="1"/>
    <col min="11691" max="11701" width="0" style="557" hidden="1" customWidth="1"/>
    <col min="11702" max="11702" width="5.85546875" style="557" customWidth="1"/>
    <col min="11703" max="11703" width="5.7109375" style="557" customWidth="1"/>
    <col min="11704" max="11704" width="5" style="557" customWidth="1"/>
    <col min="11705" max="11705" width="4.140625" style="557" customWidth="1"/>
    <col min="11706" max="11706" width="5.85546875" style="557" customWidth="1"/>
    <col min="11707" max="11707" width="5.7109375" style="557" customWidth="1"/>
    <col min="11708" max="11708" width="4.7109375" style="557" customWidth="1"/>
    <col min="11709" max="11709" width="4.42578125" style="557" customWidth="1"/>
    <col min="11710" max="11713" width="0" style="557" hidden="1" customWidth="1"/>
    <col min="11714" max="11714" width="5.85546875" style="557" customWidth="1"/>
    <col min="11715" max="11715" width="5.42578125" style="557" customWidth="1"/>
    <col min="11716" max="11716" width="5.28515625" style="557" customWidth="1"/>
    <col min="11717" max="11717" width="4.85546875" style="557" customWidth="1"/>
    <col min="11718" max="11729" width="0" style="557" hidden="1" customWidth="1"/>
    <col min="11730" max="11730" width="5.85546875" style="557" customWidth="1"/>
    <col min="11731" max="11731" width="5.42578125" style="557" customWidth="1"/>
    <col min="11732" max="11732" width="5.140625" style="557" customWidth="1"/>
    <col min="11733" max="11733" width="4.140625" style="557" customWidth="1"/>
    <col min="11734" max="11734" width="6.140625" style="557" customWidth="1"/>
    <col min="11735" max="11736" width="5.5703125" style="557" customWidth="1"/>
    <col min="11737" max="11737" width="4.42578125" style="557" customWidth="1"/>
    <col min="11738" max="11749" width="0" style="557" hidden="1" customWidth="1"/>
    <col min="11750" max="11750" width="7.5703125" style="557" customWidth="1"/>
    <col min="11751" max="11751" width="6.42578125" style="557" customWidth="1"/>
    <col min="11752" max="11752" width="5.42578125" style="557" customWidth="1"/>
    <col min="11753" max="11753" width="5.140625" style="557" customWidth="1"/>
    <col min="11754" max="11754" width="5.7109375" style="557" customWidth="1"/>
    <col min="11755" max="11755" width="5.42578125" style="557" customWidth="1"/>
    <col min="11756" max="11756" width="4.5703125" style="557" customWidth="1"/>
    <col min="11757" max="11757" width="5.42578125" style="557" customWidth="1"/>
    <col min="11758" max="11760" width="5.85546875" style="557" customWidth="1"/>
    <col min="11761" max="11761" width="4.42578125" style="557" customWidth="1"/>
    <col min="11762" max="11776" width="0" style="557" hidden="1" customWidth="1"/>
    <col min="11777" max="11777" width="9.140625" style="557" customWidth="1"/>
    <col min="11778" max="11922" width="9.140625" style="557"/>
    <col min="11923" max="11923" width="3.140625" style="557" customWidth="1"/>
    <col min="11924" max="11924" width="12.28515625" style="557" customWidth="1"/>
    <col min="11925" max="11925" width="34.85546875" style="557" customWidth="1"/>
    <col min="11926" max="11926" width="8.42578125" style="557" customWidth="1"/>
    <col min="11927" max="11927" width="8.28515625" style="557" customWidth="1"/>
    <col min="11928" max="11928" width="9.42578125" style="557" customWidth="1"/>
    <col min="11929" max="11929" width="8.28515625" style="557" customWidth="1"/>
    <col min="11930" max="11932" width="6.42578125" style="557" customWidth="1"/>
    <col min="11933" max="11933" width="7.140625" style="557" customWidth="1"/>
    <col min="11934" max="11934" width="4.5703125" style="557" customWidth="1"/>
    <col min="11935" max="11935" width="6.7109375" style="557" customWidth="1"/>
    <col min="11936" max="11936" width="6.85546875" style="557" customWidth="1"/>
    <col min="11937" max="11937" width="6.28515625" style="557" customWidth="1"/>
    <col min="11938" max="11938" width="4" style="557" customWidth="1"/>
    <col min="11939" max="11939" width="7.28515625" style="557" customWidth="1"/>
    <col min="11940" max="11940" width="7.5703125" style="557" customWidth="1"/>
    <col min="11941" max="11941" width="6" style="557" customWidth="1"/>
    <col min="11942" max="11942" width="4.7109375" style="557" customWidth="1"/>
    <col min="11943" max="11943" width="5.42578125" style="557" customWidth="1"/>
    <col min="11944" max="11944" width="5.7109375" style="557" customWidth="1"/>
    <col min="11945" max="11945" width="5.85546875" style="557" customWidth="1"/>
    <col min="11946" max="11946" width="5.7109375" style="557" customWidth="1"/>
    <col min="11947" max="11957" width="0" style="557" hidden="1" customWidth="1"/>
    <col min="11958" max="11958" width="5.85546875" style="557" customWidth="1"/>
    <col min="11959" max="11959" width="5.7109375" style="557" customWidth="1"/>
    <col min="11960" max="11960" width="5" style="557" customWidth="1"/>
    <col min="11961" max="11961" width="4.140625" style="557" customWidth="1"/>
    <col min="11962" max="11962" width="5.85546875" style="557" customWidth="1"/>
    <col min="11963" max="11963" width="5.7109375" style="557" customWidth="1"/>
    <col min="11964" max="11964" width="4.7109375" style="557" customWidth="1"/>
    <col min="11965" max="11965" width="4.42578125" style="557" customWidth="1"/>
    <col min="11966" max="11969" width="0" style="557" hidden="1" customWidth="1"/>
    <col min="11970" max="11970" width="5.85546875" style="557" customWidth="1"/>
    <col min="11971" max="11971" width="5.42578125" style="557" customWidth="1"/>
    <col min="11972" max="11972" width="5.28515625" style="557" customWidth="1"/>
    <col min="11973" max="11973" width="4.85546875" style="557" customWidth="1"/>
    <col min="11974" max="11985" width="0" style="557" hidden="1" customWidth="1"/>
    <col min="11986" max="11986" width="5.85546875" style="557" customWidth="1"/>
    <col min="11987" max="11987" width="5.42578125" style="557" customWidth="1"/>
    <col min="11988" max="11988" width="5.140625" style="557" customWidth="1"/>
    <col min="11989" max="11989" width="4.140625" style="557" customWidth="1"/>
    <col min="11990" max="11990" width="6.140625" style="557" customWidth="1"/>
    <col min="11991" max="11992" width="5.5703125" style="557" customWidth="1"/>
    <col min="11993" max="11993" width="4.42578125" style="557" customWidth="1"/>
    <col min="11994" max="12005" width="0" style="557" hidden="1" customWidth="1"/>
    <col min="12006" max="12006" width="7.5703125" style="557" customWidth="1"/>
    <col min="12007" max="12007" width="6.42578125" style="557" customWidth="1"/>
    <col min="12008" max="12008" width="5.42578125" style="557" customWidth="1"/>
    <col min="12009" max="12009" width="5.140625" style="557" customWidth="1"/>
    <col min="12010" max="12010" width="5.7109375" style="557" customWidth="1"/>
    <col min="12011" max="12011" width="5.42578125" style="557" customWidth="1"/>
    <col min="12012" max="12012" width="4.5703125" style="557" customWidth="1"/>
    <col min="12013" max="12013" width="5.42578125" style="557" customWidth="1"/>
    <col min="12014" max="12016" width="5.85546875" style="557" customWidth="1"/>
    <col min="12017" max="12017" width="4.42578125" style="557" customWidth="1"/>
    <col min="12018" max="12032" width="0" style="557" hidden="1" customWidth="1"/>
    <col min="12033" max="12033" width="9.140625" style="557" customWidth="1"/>
    <col min="12034" max="12178" width="9.140625" style="557"/>
    <col min="12179" max="12179" width="3.140625" style="557" customWidth="1"/>
    <col min="12180" max="12180" width="12.28515625" style="557" customWidth="1"/>
    <col min="12181" max="12181" width="34.85546875" style="557" customWidth="1"/>
    <col min="12182" max="12182" width="8.42578125" style="557" customWidth="1"/>
    <col min="12183" max="12183" width="8.28515625" style="557" customWidth="1"/>
    <col min="12184" max="12184" width="9.42578125" style="557" customWidth="1"/>
    <col min="12185" max="12185" width="8.28515625" style="557" customWidth="1"/>
    <col min="12186" max="12188" width="6.42578125" style="557" customWidth="1"/>
    <col min="12189" max="12189" width="7.140625" style="557" customWidth="1"/>
    <col min="12190" max="12190" width="4.5703125" style="557" customWidth="1"/>
    <col min="12191" max="12191" width="6.7109375" style="557" customWidth="1"/>
    <col min="12192" max="12192" width="6.85546875" style="557" customWidth="1"/>
    <col min="12193" max="12193" width="6.28515625" style="557" customWidth="1"/>
    <col min="12194" max="12194" width="4" style="557" customWidth="1"/>
    <col min="12195" max="12195" width="7.28515625" style="557" customWidth="1"/>
    <col min="12196" max="12196" width="7.5703125" style="557" customWidth="1"/>
    <col min="12197" max="12197" width="6" style="557" customWidth="1"/>
    <col min="12198" max="12198" width="4.7109375" style="557" customWidth="1"/>
    <col min="12199" max="12199" width="5.42578125" style="557" customWidth="1"/>
    <col min="12200" max="12200" width="5.7109375" style="557" customWidth="1"/>
    <col min="12201" max="12201" width="5.85546875" style="557" customWidth="1"/>
    <col min="12202" max="12202" width="5.7109375" style="557" customWidth="1"/>
    <col min="12203" max="12213" width="0" style="557" hidden="1" customWidth="1"/>
    <col min="12214" max="12214" width="5.85546875" style="557" customWidth="1"/>
    <col min="12215" max="12215" width="5.7109375" style="557" customWidth="1"/>
    <col min="12216" max="12216" width="5" style="557" customWidth="1"/>
    <col min="12217" max="12217" width="4.140625" style="557" customWidth="1"/>
    <col min="12218" max="12218" width="5.85546875" style="557" customWidth="1"/>
    <col min="12219" max="12219" width="5.7109375" style="557" customWidth="1"/>
    <col min="12220" max="12220" width="4.7109375" style="557" customWidth="1"/>
    <col min="12221" max="12221" width="4.42578125" style="557" customWidth="1"/>
    <col min="12222" max="12225" width="0" style="557" hidden="1" customWidth="1"/>
    <col min="12226" max="12226" width="5.85546875" style="557" customWidth="1"/>
    <col min="12227" max="12227" width="5.42578125" style="557" customWidth="1"/>
    <col min="12228" max="12228" width="5.28515625" style="557" customWidth="1"/>
    <col min="12229" max="12229" width="4.85546875" style="557" customWidth="1"/>
    <col min="12230" max="12241" width="0" style="557" hidden="1" customWidth="1"/>
    <col min="12242" max="12242" width="5.85546875" style="557" customWidth="1"/>
    <col min="12243" max="12243" width="5.42578125" style="557" customWidth="1"/>
    <col min="12244" max="12244" width="5.140625" style="557" customWidth="1"/>
    <col min="12245" max="12245" width="4.140625" style="557" customWidth="1"/>
    <col min="12246" max="12246" width="6.140625" style="557" customWidth="1"/>
    <col min="12247" max="12248" width="5.5703125" style="557" customWidth="1"/>
    <col min="12249" max="12249" width="4.42578125" style="557" customWidth="1"/>
    <col min="12250" max="12261" width="0" style="557" hidden="1" customWidth="1"/>
    <col min="12262" max="12262" width="7.5703125" style="557" customWidth="1"/>
    <col min="12263" max="12263" width="6.42578125" style="557" customWidth="1"/>
    <col min="12264" max="12264" width="5.42578125" style="557" customWidth="1"/>
    <col min="12265" max="12265" width="5.140625" style="557" customWidth="1"/>
    <col min="12266" max="12266" width="5.7109375" style="557" customWidth="1"/>
    <col min="12267" max="12267" width="5.42578125" style="557" customWidth="1"/>
    <col min="12268" max="12268" width="4.5703125" style="557" customWidth="1"/>
    <col min="12269" max="12269" width="5.42578125" style="557" customWidth="1"/>
    <col min="12270" max="12272" width="5.85546875" style="557" customWidth="1"/>
    <col min="12273" max="12273" width="4.42578125" style="557" customWidth="1"/>
    <col min="12274" max="12288" width="0" style="557" hidden="1" customWidth="1"/>
    <col min="12289" max="12289" width="9.140625" style="557" customWidth="1"/>
    <col min="12290" max="12434" width="9.140625" style="557"/>
    <col min="12435" max="12435" width="3.140625" style="557" customWidth="1"/>
    <col min="12436" max="12436" width="12.28515625" style="557" customWidth="1"/>
    <col min="12437" max="12437" width="34.85546875" style="557" customWidth="1"/>
    <col min="12438" max="12438" width="8.42578125" style="557" customWidth="1"/>
    <col min="12439" max="12439" width="8.28515625" style="557" customWidth="1"/>
    <col min="12440" max="12440" width="9.42578125" style="557" customWidth="1"/>
    <col min="12441" max="12441" width="8.28515625" style="557" customWidth="1"/>
    <col min="12442" max="12444" width="6.42578125" style="557" customWidth="1"/>
    <col min="12445" max="12445" width="7.140625" style="557" customWidth="1"/>
    <col min="12446" max="12446" width="4.5703125" style="557" customWidth="1"/>
    <col min="12447" max="12447" width="6.7109375" style="557" customWidth="1"/>
    <col min="12448" max="12448" width="6.85546875" style="557" customWidth="1"/>
    <col min="12449" max="12449" width="6.28515625" style="557" customWidth="1"/>
    <col min="12450" max="12450" width="4" style="557" customWidth="1"/>
    <col min="12451" max="12451" width="7.28515625" style="557" customWidth="1"/>
    <col min="12452" max="12452" width="7.5703125" style="557" customWidth="1"/>
    <col min="12453" max="12453" width="6" style="557" customWidth="1"/>
    <col min="12454" max="12454" width="4.7109375" style="557" customWidth="1"/>
    <col min="12455" max="12455" width="5.42578125" style="557" customWidth="1"/>
    <col min="12456" max="12456" width="5.7109375" style="557" customWidth="1"/>
    <col min="12457" max="12457" width="5.85546875" style="557" customWidth="1"/>
    <col min="12458" max="12458" width="5.7109375" style="557" customWidth="1"/>
    <col min="12459" max="12469" width="0" style="557" hidden="1" customWidth="1"/>
    <col min="12470" max="12470" width="5.85546875" style="557" customWidth="1"/>
    <col min="12471" max="12471" width="5.7109375" style="557" customWidth="1"/>
    <col min="12472" max="12472" width="5" style="557" customWidth="1"/>
    <col min="12473" max="12473" width="4.140625" style="557" customWidth="1"/>
    <col min="12474" max="12474" width="5.85546875" style="557" customWidth="1"/>
    <col min="12475" max="12475" width="5.7109375" style="557" customWidth="1"/>
    <col min="12476" max="12476" width="4.7109375" style="557" customWidth="1"/>
    <col min="12477" max="12477" width="4.42578125" style="557" customWidth="1"/>
    <col min="12478" max="12481" width="0" style="557" hidden="1" customWidth="1"/>
    <col min="12482" max="12482" width="5.85546875" style="557" customWidth="1"/>
    <col min="12483" max="12483" width="5.42578125" style="557" customWidth="1"/>
    <col min="12484" max="12484" width="5.28515625" style="557" customWidth="1"/>
    <col min="12485" max="12485" width="4.85546875" style="557" customWidth="1"/>
    <col min="12486" max="12497" width="0" style="557" hidden="1" customWidth="1"/>
    <col min="12498" max="12498" width="5.85546875" style="557" customWidth="1"/>
    <col min="12499" max="12499" width="5.42578125" style="557" customWidth="1"/>
    <col min="12500" max="12500" width="5.140625" style="557" customWidth="1"/>
    <col min="12501" max="12501" width="4.140625" style="557" customWidth="1"/>
    <col min="12502" max="12502" width="6.140625" style="557" customWidth="1"/>
    <col min="12503" max="12504" width="5.5703125" style="557" customWidth="1"/>
    <col min="12505" max="12505" width="4.42578125" style="557" customWidth="1"/>
    <col min="12506" max="12517" width="0" style="557" hidden="1" customWidth="1"/>
    <col min="12518" max="12518" width="7.5703125" style="557" customWidth="1"/>
    <col min="12519" max="12519" width="6.42578125" style="557" customWidth="1"/>
    <col min="12520" max="12520" width="5.42578125" style="557" customWidth="1"/>
    <col min="12521" max="12521" width="5.140625" style="557" customWidth="1"/>
    <col min="12522" max="12522" width="5.7109375" style="557" customWidth="1"/>
    <col min="12523" max="12523" width="5.42578125" style="557" customWidth="1"/>
    <col min="12524" max="12524" width="4.5703125" style="557" customWidth="1"/>
    <col min="12525" max="12525" width="5.42578125" style="557" customWidth="1"/>
    <col min="12526" max="12528" width="5.85546875" style="557" customWidth="1"/>
    <col min="12529" max="12529" width="4.42578125" style="557" customWidth="1"/>
    <col min="12530" max="12544" width="0" style="557" hidden="1" customWidth="1"/>
    <col min="12545" max="12545" width="9.140625" style="557" customWidth="1"/>
    <col min="12546" max="12690" width="9.140625" style="557"/>
    <col min="12691" max="12691" width="3.140625" style="557" customWidth="1"/>
    <col min="12692" max="12692" width="12.28515625" style="557" customWidth="1"/>
    <col min="12693" max="12693" width="34.85546875" style="557" customWidth="1"/>
    <col min="12694" max="12694" width="8.42578125" style="557" customWidth="1"/>
    <col min="12695" max="12695" width="8.28515625" style="557" customWidth="1"/>
    <col min="12696" max="12696" width="9.42578125" style="557" customWidth="1"/>
    <col min="12697" max="12697" width="8.28515625" style="557" customWidth="1"/>
    <col min="12698" max="12700" width="6.42578125" style="557" customWidth="1"/>
    <col min="12701" max="12701" width="7.140625" style="557" customWidth="1"/>
    <col min="12702" max="12702" width="4.5703125" style="557" customWidth="1"/>
    <col min="12703" max="12703" width="6.7109375" style="557" customWidth="1"/>
    <col min="12704" max="12704" width="6.85546875" style="557" customWidth="1"/>
    <col min="12705" max="12705" width="6.28515625" style="557" customWidth="1"/>
    <col min="12706" max="12706" width="4" style="557" customWidth="1"/>
    <col min="12707" max="12707" width="7.28515625" style="557" customWidth="1"/>
    <col min="12708" max="12708" width="7.5703125" style="557" customWidth="1"/>
    <col min="12709" max="12709" width="6" style="557" customWidth="1"/>
    <col min="12710" max="12710" width="4.7109375" style="557" customWidth="1"/>
    <col min="12711" max="12711" width="5.42578125" style="557" customWidth="1"/>
    <col min="12712" max="12712" width="5.7109375" style="557" customWidth="1"/>
    <col min="12713" max="12713" width="5.85546875" style="557" customWidth="1"/>
    <col min="12714" max="12714" width="5.7109375" style="557" customWidth="1"/>
    <col min="12715" max="12725" width="0" style="557" hidden="1" customWidth="1"/>
    <col min="12726" max="12726" width="5.85546875" style="557" customWidth="1"/>
    <col min="12727" max="12727" width="5.7109375" style="557" customWidth="1"/>
    <col min="12728" max="12728" width="5" style="557" customWidth="1"/>
    <col min="12729" max="12729" width="4.140625" style="557" customWidth="1"/>
    <col min="12730" max="12730" width="5.85546875" style="557" customWidth="1"/>
    <col min="12731" max="12731" width="5.7109375" style="557" customWidth="1"/>
    <col min="12732" max="12732" width="4.7109375" style="557" customWidth="1"/>
    <col min="12733" max="12733" width="4.42578125" style="557" customWidth="1"/>
    <col min="12734" max="12737" width="0" style="557" hidden="1" customWidth="1"/>
    <col min="12738" max="12738" width="5.85546875" style="557" customWidth="1"/>
    <col min="12739" max="12739" width="5.42578125" style="557" customWidth="1"/>
    <col min="12740" max="12740" width="5.28515625" style="557" customWidth="1"/>
    <col min="12741" max="12741" width="4.85546875" style="557" customWidth="1"/>
    <col min="12742" max="12753" width="0" style="557" hidden="1" customWidth="1"/>
    <col min="12754" max="12754" width="5.85546875" style="557" customWidth="1"/>
    <col min="12755" max="12755" width="5.42578125" style="557" customWidth="1"/>
    <col min="12756" max="12756" width="5.140625" style="557" customWidth="1"/>
    <col min="12757" max="12757" width="4.140625" style="557" customWidth="1"/>
    <col min="12758" max="12758" width="6.140625" style="557" customWidth="1"/>
    <col min="12759" max="12760" width="5.5703125" style="557" customWidth="1"/>
    <col min="12761" max="12761" width="4.42578125" style="557" customWidth="1"/>
    <col min="12762" max="12773" width="0" style="557" hidden="1" customWidth="1"/>
    <col min="12774" max="12774" width="7.5703125" style="557" customWidth="1"/>
    <col min="12775" max="12775" width="6.42578125" style="557" customWidth="1"/>
    <col min="12776" max="12776" width="5.42578125" style="557" customWidth="1"/>
    <col min="12777" max="12777" width="5.140625" style="557" customWidth="1"/>
    <col min="12778" max="12778" width="5.7109375" style="557" customWidth="1"/>
    <col min="12779" max="12779" width="5.42578125" style="557" customWidth="1"/>
    <col min="12780" max="12780" width="4.5703125" style="557" customWidth="1"/>
    <col min="12781" max="12781" width="5.42578125" style="557" customWidth="1"/>
    <col min="12782" max="12784" width="5.85546875" style="557" customWidth="1"/>
    <col min="12785" max="12785" width="4.42578125" style="557" customWidth="1"/>
    <col min="12786" max="12800" width="0" style="557" hidden="1" customWidth="1"/>
    <col min="12801" max="12801" width="9.140625" style="557" customWidth="1"/>
    <col min="12802" max="12946" width="9.140625" style="557"/>
    <col min="12947" max="12947" width="3.140625" style="557" customWidth="1"/>
    <col min="12948" max="12948" width="12.28515625" style="557" customWidth="1"/>
    <col min="12949" max="12949" width="34.85546875" style="557" customWidth="1"/>
    <col min="12950" max="12950" width="8.42578125" style="557" customWidth="1"/>
    <col min="12951" max="12951" width="8.28515625" style="557" customWidth="1"/>
    <col min="12952" max="12952" width="9.42578125" style="557" customWidth="1"/>
    <col min="12953" max="12953" width="8.28515625" style="557" customWidth="1"/>
    <col min="12954" max="12956" width="6.42578125" style="557" customWidth="1"/>
    <col min="12957" max="12957" width="7.140625" style="557" customWidth="1"/>
    <col min="12958" max="12958" width="4.5703125" style="557" customWidth="1"/>
    <col min="12959" max="12959" width="6.7109375" style="557" customWidth="1"/>
    <col min="12960" max="12960" width="6.85546875" style="557" customWidth="1"/>
    <col min="12961" max="12961" width="6.28515625" style="557" customWidth="1"/>
    <col min="12962" max="12962" width="4" style="557" customWidth="1"/>
    <col min="12963" max="12963" width="7.28515625" style="557" customWidth="1"/>
    <col min="12964" max="12964" width="7.5703125" style="557" customWidth="1"/>
    <col min="12965" max="12965" width="6" style="557" customWidth="1"/>
    <col min="12966" max="12966" width="4.7109375" style="557" customWidth="1"/>
    <col min="12967" max="12967" width="5.42578125" style="557" customWidth="1"/>
    <col min="12968" max="12968" width="5.7109375" style="557" customWidth="1"/>
    <col min="12969" max="12969" width="5.85546875" style="557" customWidth="1"/>
    <col min="12970" max="12970" width="5.7109375" style="557" customWidth="1"/>
    <col min="12971" max="12981" width="0" style="557" hidden="1" customWidth="1"/>
    <col min="12982" max="12982" width="5.85546875" style="557" customWidth="1"/>
    <col min="12983" max="12983" width="5.7109375" style="557" customWidth="1"/>
    <col min="12984" max="12984" width="5" style="557" customWidth="1"/>
    <col min="12985" max="12985" width="4.140625" style="557" customWidth="1"/>
    <col min="12986" max="12986" width="5.85546875" style="557" customWidth="1"/>
    <col min="12987" max="12987" width="5.7109375" style="557" customWidth="1"/>
    <col min="12988" max="12988" width="4.7109375" style="557" customWidth="1"/>
    <col min="12989" max="12989" width="4.42578125" style="557" customWidth="1"/>
    <col min="12990" max="12993" width="0" style="557" hidden="1" customWidth="1"/>
    <col min="12994" max="12994" width="5.85546875" style="557" customWidth="1"/>
    <col min="12995" max="12995" width="5.42578125" style="557" customWidth="1"/>
    <col min="12996" max="12996" width="5.28515625" style="557" customWidth="1"/>
    <col min="12997" max="12997" width="4.85546875" style="557" customWidth="1"/>
    <col min="12998" max="13009" width="0" style="557" hidden="1" customWidth="1"/>
    <col min="13010" max="13010" width="5.85546875" style="557" customWidth="1"/>
    <col min="13011" max="13011" width="5.42578125" style="557" customWidth="1"/>
    <col min="13012" max="13012" width="5.140625" style="557" customWidth="1"/>
    <col min="13013" max="13013" width="4.140625" style="557" customWidth="1"/>
    <col min="13014" max="13014" width="6.140625" style="557" customWidth="1"/>
    <col min="13015" max="13016" width="5.5703125" style="557" customWidth="1"/>
    <col min="13017" max="13017" width="4.42578125" style="557" customWidth="1"/>
    <col min="13018" max="13029" width="0" style="557" hidden="1" customWidth="1"/>
    <col min="13030" max="13030" width="7.5703125" style="557" customWidth="1"/>
    <col min="13031" max="13031" width="6.42578125" style="557" customWidth="1"/>
    <col min="13032" max="13032" width="5.42578125" style="557" customWidth="1"/>
    <col min="13033" max="13033" width="5.140625" style="557" customWidth="1"/>
    <col min="13034" max="13034" width="5.7109375" style="557" customWidth="1"/>
    <col min="13035" max="13035" width="5.42578125" style="557" customWidth="1"/>
    <col min="13036" max="13036" width="4.5703125" style="557" customWidth="1"/>
    <col min="13037" max="13037" width="5.42578125" style="557" customWidth="1"/>
    <col min="13038" max="13040" width="5.85546875" style="557" customWidth="1"/>
    <col min="13041" max="13041" width="4.42578125" style="557" customWidth="1"/>
    <col min="13042" max="13056" width="0" style="557" hidden="1" customWidth="1"/>
    <col min="13057" max="13057" width="9.140625" style="557" customWidth="1"/>
    <col min="13058" max="13202" width="9.140625" style="557"/>
    <col min="13203" max="13203" width="3.140625" style="557" customWidth="1"/>
    <col min="13204" max="13204" width="12.28515625" style="557" customWidth="1"/>
    <col min="13205" max="13205" width="34.85546875" style="557" customWidth="1"/>
    <col min="13206" max="13206" width="8.42578125" style="557" customWidth="1"/>
    <col min="13207" max="13207" width="8.28515625" style="557" customWidth="1"/>
    <col min="13208" max="13208" width="9.42578125" style="557" customWidth="1"/>
    <col min="13209" max="13209" width="8.28515625" style="557" customWidth="1"/>
    <col min="13210" max="13212" width="6.42578125" style="557" customWidth="1"/>
    <col min="13213" max="13213" width="7.140625" style="557" customWidth="1"/>
    <col min="13214" max="13214" width="4.5703125" style="557" customWidth="1"/>
    <col min="13215" max="13215" width="6.7109375" style="557" customWidth="1"/>
    <col min="13216" max="13216" width="6.85546875" style="557" customWidth="1"/>
    <col min="13217" max="13217" width="6.28515625" style="557" customWidth="1"/>
    <col min="13218" max="13218" width="4" style="557" customWidth="1"/>
    <col min="13219" max="13219" width="7.28515625" style="557" customWidth="1"/>
    <col min="13220" max="13220" width="7.5703125" style="557" customWidth="1"/>
    <col min="13221" max="13221" width="6" style="557" customWidth="1"/>
    <col min="13222" max="13222" width="4.7109375" style="557" customWidth="1"/>
    <col min="13223" max="13223" width="5.42578125" style="557" customWidth="1"/>
    <col min="13224" max="13224" width="5.7109375" style="557" customWidth="1"/>
    <col min="13225" max="13225" width="5.85546875" style="557" customWidth="1"/>
    <col min="13226" max="13226" width="5.7109375" style="557" customWidth="1"/>
    <col min="13227" max="13237" width="0" style="557" hidden="1" customWidth="1"/>
    <col min="13238" max="13238" width="5.85546875" style="557" customWidth="1"/>
    <col min="13239" max="13239" width="5.7109375" style="557" customWidth="1"/>
    <col min="13240" max="13240" width="5" style="557" customWidth="1"/>
    <col min="13241" max="13241" width="4.140625" style="557" customWidth="1"/>
    <col min="13242" max="13242" width="5.85546875" style="557" customWidth="1"/>
    <col min="13243" max="13243" width="5.7109375" style="557" customWidth="1"/>
    <col min="13244" max="13244" width="4.7109375" style="557" customWidth="1"/>
    <col min="13245" max="13245" width="4.42578125" style="557" customWidth="1"/>
    <col min="13246" max="13249" width="0" style="557" hidden="1" customWidth="1"/>
    <col min="13250" max="13250" width="5.85546875" style="557" customWidth="1"/>
    <col min="13251" max="13251" width="5.42578125" style="557" customWidth="1"/>
    <col min="13252" max="13252" width="5.28515625" style="557" customWidth="1"/>
    <col min="13253" max="13253" width="4.85546875" style="557" customWidth="1"/>
    <col min="13254" max="13265" width="0" style="557" hidden="1" customWidth="1"/>
    <col min="13266" max="13266" width="5.85546875" style="557" customWidth="1"/>
    <col min="13267" max="13267" width="5.42578125" style="557" customWidth="1"/>
    <col min="13268" max="13268" width="5.140625" style="557" customWidth="1"/>
    <col min="13269" max="13269" width="4.140625" style="557" customWidth="1"/>
    <col min="13270" max="13270" width="6.140625" style="557" customWidth="1"/>
    <col min="13271" max="13272" width="5.5703125" style="557" customWidth="1"/>
    <col min="13273" max="13273" width="4.42578125" style="557" customWidth="1"/>
    <col min="13274" max="13285" width="0" style="557" hidden="1" customWidth="1"/>
    <col min="13286" max="13286" width="7.5703125" style="557" customWidth="1"/>
    <col min="13287" max="13287" width="6.42578125" style="557" customWidth="1"/>
    <col min="13288" max="13288" width="5.42578125" style="557" customWidth="1"/>
    <col min="13289" max="13289" width="5.140625" style="557" customWidth="1"/>
    <col min="13290" max="13290" width="5.7109375" style="557" customWidth="1"/>
    <col min="13291" max="13291" width="5.42578125" style="557" customWidth="1"/>
    <col min="13292" max="13292" width="4.5703125" style="557" customWidth="1"/>
    <col min="13293" max="13293" width="5.42578125" style="557" customWidth="1"/>
    <col min="13294" max="13296" width="5.85546875" style="557" customWidth="1"/>
    <col min="13297" max="13297" width="4.42578125" style="557" customWidth="1"/>
    <col min="13298" max="13312" width="0" style="557" hidden="1" customWidth="1"/>
    <col min="13313" max="13313" width="9.140625" style="557" customWidth="1"/>
    <col min="13314" max="13458" width="9.140625" style="557"/>
    <col min="13459" max="13459" width="3.140625" style="557" customWidth="1"/>
    <col min="13460" max="13460" width="12.28515625" style="557" customWidth="1"/>
    <col min="13461" max="13461" width="34.85546875" style="557" customWidth="1"/>
    <col min="13462" max="13462" width="8.42578125" style="557" customWidth="1"/>
    <col min="13463" max="13463" width="8.28515625" style="557" customWidth="1"/>
    <col min="13464" max="13464" width="9.42578125" style="557" customWidth="1"/>
    <col min="13465" max="13465" width="8.28515625" style="557" customWidth="1"/>
    <col min="13466" max="13468" width="6.42578125" style="557" customWidth="1"/>
    <col min="13469" max="13469" width="7.140625" style="557" customWidth="1"/>
    <col min="13470" max="13470" width="4.5703125" style="557" customWidth="1"/>
    <col min="13471" max="13471" width="6.7109375" style="557" customWidth="1"/>
    <col min="13472" max="13472" width="6.85546875" style="557" customWidth="1"/>
    <col min="13473" max="13473" width="6.28515625" style="557" customWidth="1"/>
    <col min="13474" max="13474" width="4" style="557" customWidth="1"/>
    <col min="13475" max="13475" width="7.28515625" style="557" customWidth="1"/>
    <col min="13476" max="13476" width="7.5703125" style="557" customWidth="1"/>
    <col min="13477" max="13477" width="6" style="557" customWidth="1"/>
    <col min="13478" max="13478" width="4.7109375" style="557" customWidth="1"/>
    <col min="13479" max="13479" width="5.42578125" style="557" customWidth="1"/>
    <col min="13480" max="13480" width="5.7109375" style="557" customWidth="1"/>
    <col min="13481" max="13481" width="5.85546875" style="557" customWidth="1"/>
    <col min="13482" max="13482" width="5.7109375" style="557" customWidth="1"/>
    <col min="13483" max="13493" width="0" style="557" hidden="1" customWidth="1"/>
    <col min="13494" max="13494" width="5.85546875" style="557" customWidth="1"/>
    <col min="13495" max="13495" width="5.7109375" style="557" customWidth="1"/>
    <col min="13496" max="13496" width="5" style="557" customWidth="1"/>
    <col min="13497" max="13497" width="4.140625" style="557" customWidth="1"/>
    <col min="13498" max="13498" width="5.85546875" style="557" customWidth="1"/>
    <col min="13499" max="13499" width="5.7109375" style="557" customWidth="1"/>
    <col min="13500" max="13500" width="4.7109375" style="557" customWidth="1"/>
    <col min="13501" max="13501" width="4.42578125" style="557" customWidth="1"/>
    <col min="13502" max="13505" width="0" style="557" hidden="1" customWidth="1"/>
    <col min="13506" max="13506" width="5.85546875" style="557" customWidth="1"/>
    <col min="13507" max="13507" width="5.42578125" style="557" customWidth="1"/>
    <col min="13508" max="13508" width="5.28515625" style="557" customWidth="1"/>
    <col min="13509" max="13509" width="4.85546875" style="557" customWidth="1"/>
    <col min="13510" max="13521" width="0" style="557" hidden="1" customWidth="1"/>
    <col min="13522" max="13522" width="5.85546875" style="557" customWidth="1"/>
    <col min="13523" max="13523" width="5.42578125" style="557" customWidth="1"/>
    <col min="13524" max="13524" width="5.140625" style="557" customWidth="1"/>
    <col min="13525" max="13525" width="4.140625" style="557" customWidth="1"/>
    <col min="13526" max="13526" width="6.140625" style="557" customWidth="1"/>
    <col min="13527" max="13528" width="5.5703125" style="557" customWidth="1"/>
    <col min="13529" max="13529" width="4.42578125" style="557" customWidth="1"/>
    <col min="13530" max="13541" width="0" style="557" hidden="1" customWidth="1"/>
    <col min="13542" max="13542" width="7.5703125" style="557" customWidth="1"/>
    <col min="13543" max="13543" width="6.42578125" style="557" customWidth="1"/>
    <col min="13544" max="13544" width="5.42578125" style="557" customWidth="1"/>
    <col min="13545" max="13545" width="5.140625" style="557" customWidth="1"/>
    <col min="13546" max="13546" width="5.7109375" style="557" customWidth="1"/>
    <col min="13547" max="13547" width="5.42578125" style="557" customWidth="1"/>
    <col min="13548" max="13548" width="4.5703125" style="557" customWidth="1"/>
    <col min="13549" max="13549" width="5.42578125" style="557" customWidth="1"/>
    <col min="13550" max="13552" width="5.85546875" style="557" customWidth="1"/>
    <col min="13553" max="13553" width="4.42578125" style="557" customWidth="1"/>
    <col min="13554" max="13568" width="0" style="557" hidden="1" customWidth="1"/>
    <col min="13569" max="13569" width="9.140625" style="557" customWidth="1"/>
    <col min="13570" max="13714" width="9.140625" style="557"/>
    <col min="13715" max="13715" width="3.140625" style="557" customWidth="1"/>
    <col min="13716" max="13716" width="12.28515625" style="557" customWidth="1"/>
    <col min="13717" max="13717" width="34.85546875" style="557" customWidth="1"/>
    <col min="13718" max="13718" width="8.42578125" style="557" customWidth="1"/>
    <col min="13719" max="13719" width="8.28515625" style="557" customWidth="1"/>
    <col min="13720" max="13720" width="9.42578125" style="557" customWidth="1"/>
    <col min="13721" max="13721" width="8.28515625" style="557" customWidth="1"/>
    <col min="13722" max="13724" width="6.42578125" style="557" customWidth="1"/>
    <col min="13725" max="13725" width="7.140625" style="557" customWidth="1"/>
    <col min="13726" max="13726" width="4.5703125" style="557" customWidth="1"/>
    <col min="13727" max="13727" width="6.7109375" style="557" customWidth="1"/>
    <col min="13728" max="13728" width="6.85546875" style="557" customWidth="1"/>
    <col min="13729" max="13729" width="6.28515625" style="557" customWidth="1"/>
    <col min="13730" max="13730" width="4" style="557" customWidth="1"/>
    <col min="13731" max="13731" width="7.28515625" style="557" customWidth="1"/>
    <col min="13732" max="13732" width="7.5703125" style="557" customWidth="1"/>
    <col min="13733" max="13733" width="6" style="557" customWidth="1"/>
    <col min="13734" max="13734" width="4.7109375" style="557" customWidth="1"/>
    <col min="13735" max="13735" width="5.42578125" style="557" customWidth="1"/>
    <col min="13736" max="13736" width="5.7109375" style="557" customWidth="1"/>
    <col min="13737" max="13737" width="5.85546875" style="557" customWidth="1"/>
    <col min="13738" max="13738" width="5.7109375" style="557" customWidth="1"/>
    <col min="13739" max="13749" width="0" style="557" hidden="1" customWidth="1"/>
    <col min="13750" max="13750" width="5.85546875" style="557" customWidth="1"/>
    <col min="13751" max="13751" width="5.7109375" style="557" customWidth="1"/>
    <col min="13752" max="13752" width="5" style="557" customWidth="1"/>
    <col min="13753" max="13753" width="4.140625" style="557" customWidth="1"/>
    <col min="13754" max="13754" width="5.85546875" style="557" customWidth="1"/>
    <col min="13755" max="13755" width="5.7109375" style="557" customWidth="1"/>
    <col min="13756" max="13756" width="4.7109375" style="557" customWidth="1"/>
    <col min="13757" max="13757" width="4.42578125" style="557" customWidth="1"/>
    <col min="13758" max="13761" width="0" style="557" hidden="1" customWidth="1"/>
    <col min="13762" max="13762" width="5.85546875" style="557" customWidth="1"/>
    <col min="13763" max="13763" width="5.42578125" style="557" customWidth="1"/>
    <col min="13764" max="13764" width="5.28515625" style="557" customWidth="1"/>
    <col min="13765" max="13765" width="4.85546875" style="557" customWidth="1"/>
    <col min="13766" max="13777" width="0" style="557" hidden="1" customWidth="1"/>
    <col min="13778" max="13778" width="5.85546875" style="557" customWidth="1"/>
    <col min="13779" max="13779" width="5.42578125" style="557" customWidth="1"/>
    <col min="13780" max="13780" width="5.140625" style="557" customWidth="1"/>
    <col min="13781" max="13781" width="4.140625" style="557" customWidth="1"/>
    <col min="13782" max="13782" width="6.140625" style="557" customWidth="1"/>
    <col min="13783" max="13784" width="5.5703125" style="557" customWidth="1"/>
    <col min="13785" max="13785" width="4.42578125" style="557" customWidth="1"/>
    <col min="13786" max="13797" width="0" style="557" hidden="1" customWidth="1"/>
    <col min="13798" max="13798" width="7.5703125" style="557" customWidth="1"/>
    <col min="13799" max="13799" width="6.42578125" style="557" customWidth="1"/>
    <col min="13800" max="13800" width="5.42578125" style="557" customWidth="1"/>
    <col min="13801" max="13801" width="5.140625" style="557" customWidth="1"/>
    <col min="13802" max="13802" width="5.7109375" style="557" customWidth="1"/>
    <col min="13803" max="13803" width="5.42578125" style="557" customWidth="1"/>
    <col min="13804" max="13804" width="4.5703125" style="557" customWidth="1"/>
    <col min="13805" max="13805" width="5.42578125" style="557" customWidth="1"/>
    <col min="13806" max="13808" width="5.85546875" style="557" customWidth="1"/>
    <col min="13809" max="13809" width="4.42578125" style="557" customWidth="1"/>
    <col min="13810" max="13824" width="0" style="557" hidden="1" customWidth="1"/>
    <col min="13825" max="13825" width="9.140625" style="557" customWidth="1"/>
    <col min="13826" max="13970" width="9.140625" style="557"/>
    <col min="13971" max="13971" width="3.140625" style="557" customWidth="1"/>
    <col min="13972" max="13972" width="12.28515625" style="557" customWidth="1"/>
    <col min="13973" max="13973" width="34.85546875" style="557" customWidth="1"/>
    <col min="13974" max="13974" width="8.42578125" style="557" customWidth="1"/>
    <col min="13975" max="13975" width="8.28515625" style="557" customWidth="1"/>
    <col min="13976" max="13976" width="9.42578125" style="557" customWidth="1"/>
    <col min="13977" max="13977" width="8.28515625" style="557" customWidth="1"/>
    <col min="13978" max="13980" width="6.42578125" style="557" customWidth="1"/>
    <col min="13981" max="13981" width="7.140625" style="557" customWidth="1"/>
    <col min="13982" max="13982" width="4.5703125" style="557" customWidth="1"/>
    <col min="13983" max="13983" width="6.7109375" style="557" customWidth="1"/>
    <col min="13984" max="13984" width="6.85546875" style="557" customWidth="1"/>
    <col min="13985" max="13985" width="6.28515625" style="557" customWidth="1"/>
    <col min="13986" max="13986" width="4" style="557" customWidth="1"/>
    <col min="13987" max="13987" width="7.28515625" style="557" customWidth="1"/>
    <col min="13988" max="13988" width="7.5703125" style="557" customWidth="1"/>
    <col min="13989" max="13989" width="6" style="557" customWidth="1"/>
    <col min="13990" max="13990" width="4.7109375" style="557" customWidth="1"/>
    <col min="13991" max="13991" width="5.42578125" style="557" customWidth="1"/>
    <col min="13992" max="13992" width="5.7109375" style="557" customWidth="1"/>
    <col min="13993" max="13993" width="5.85546875" style="557" customWidth="1"/>
    <col min="13994" max="13994" width="5.7109375" style="557" customWidth="1"/>
    <col min="13995" max="14005" width="0" style="557" hidden="1" customWidth="1"/>
    <col min="14006" max="14006" width="5.85546875" style="557" customWidth="1"/>
    <col min="14007" max="14007" width="5.7109375" style="557" customWidth="1"/>
    <col min="14008" max="14008" width="5" style="557" customWidth="1"/>
    <col min="14009" max="14009" width="4.140625" style="557" customWidth="1"/>
    <col min="14010" max="14010" width="5.85546875" style="557" customWidth="1"/>
    <col min="14011" max="14011" width="5.7109375" style="557" customWidth="1"/>
    <col min="14012" max="14012" width="4.7109375" style="557" customWidth="1"/>
    <col min="14013" max="14013" width="4.42578125" style="557" customWidth="1"/>
    <col min="14014" max="14017" width="0" style="557" hidden="1" customWidth="1"/>
    <col min="14018" max="14018" width="5.85546875" style="557" customWidth="1"/>
    <col min="14019" max="14019" width="5.42578125" style="557" customWidth="1"/>
    <col min="14020" max="14020" width="5.28515625" style="557" customWidth="1"/>
    <col min="14021" max="14021" width="4.85546875" style="557" customWidth="1"/>
    <col min="14022" max="14033" width="0" style="557" hidden="1" customWidth="1"/>
    <col min="14034" max="14034" width="5.85546875" style="557" customWidth="1"/>
    <col min="14035" max="14035" width="5.42578125" style="557" customWidth="1"/>
    <col min="14036" max="14036" width="5.140625" style="557" customWidth="1"/>
    <col min="14037" max="14037" width="4.140625" style="557" customWidth="1"/>
    <col min="14038" max="14038" width="6.140625" style="557" customWidth="1"/>
    <col min="14039" max="14040" width="5.5703125" style="557" customWidth="1"/>
    <col min="14041" max="14041" width="4.42578125" style="557" customWidth="1"/>
    <col min="14042" max="14053" width="0" style="557" hidden="1" customWidth="1"/>
    <col min="14054" max="14054" width="7.5703125" style="557" customWidth="1"/>
    <col min="14055" max="14055" width="6.42578125" style="557" customWidth="1"/>
    <col min="14056" max="14056" width="5.42578125" style="557" customWidth="1"/>
    <col min="14057" max="14057" width="5.140625" style="557" customWidth="1"/>
    <col min="14058" max="14058" width="5.7109375" style="557" customWidth="1"/>
    <col min="14059" max="14059" width="5.42578125" style="557" customWidth="1"/>
    <col min="14060" max="14060" width="4.5703125" style="557" customWidth="1"/>
    <col min="14061" max="14061" width="5.42578125" style="557" customWidth="1"/>
    <col min="14062" max="14064" width="5.85546875" style="557" customWidth="1"/>
    <col min="14065" max="14065" width="4.42578125" style="557" customWidth="1"/>
    <col min="14066" max="14080" width="0" style="557" hidden="1" customWidth="1"/>
    <col min="14081" max="14081" width="9.140625" style="557" customWidth="1"/>
    <col min="14082" max="14226" width="9.140625" style="557"/>
    <col min="14227" max="14227" width="3.140625" style="557" customWidth="1"/>
    <col min="14228" max="14228" width="12.28515625" style="557" customWidth="1"/>
    <col min="14229" max="14229" width="34.85546875" style="557" customWidth="1"/>
    <col min="14230" max="14230" width="8.42578125" style="557" customWidth="1"/>
    <col min="14231" max="14231" width="8.28515625" style="557" customWidth="1"/>
    <col min="14232" max="14232" width="9.42578125" style="557" customWidth="1"/>
    <col min="14233" max="14233" width="8.28515625" style="557" customWidth="1"/>
    <col min="14234" max="14236" width="6.42578125" style="557" customWidth="1"/>
    <col min="14237" max="14237" width="7.140625" style="557" customWidth="1"/>
    <col min="14238" max="14238" width="4.5703125" style="557" customWidth="1"/>
    <col min="14239" max="14239" width="6.7109375" style="557" customWidth="1"/>
    <col min="14240" max="14240" width="6.85546875" style="557" customWidth="1"/>
    <col min="14241" max="14241" width="6.28515625" style="557" customWidth="1"/>
    <col min="14242" max="14242" width="4" style="557" customWidth="1"/>
    <col min="14243" max="14243" width="7.28515625" style="557" customWidth="1"/>
    <col min="14244" max="14244" width="7.5703125" style="557" customWidth="1"/>
    <col min="14245" max="14245" width="6" style="557" customWidth="1"/>
    <col min="14246" max="14246" width="4.7109375" style="557" customWidth="1"/>
    <col min="14247" max="14247" width="5.42578125" style="557" customWidth="1"/>
    <col min="14248" max="14248" width="5.7109375" style="557" customWidth="1"/>
    <col min="14249" max="14249" width="5.85546875" style="557" customWidth="1"/>
    <col min="14250" max="14250" width="5.7109375" style="557" customWidth="1"/>
    <col min="14251" max="14261" width="0" style="557" hidden="1" customWidth="1"/>
    <col min="14262" max="14262" width="5.85546875" style="557" customWidth="1"/>
    <col min="14263" max="14263" width="5.7109375" style="557" customWidth="1"/>
    <col min="14264" max="14264" width="5" style="557" customWidth="1"/>
    <col min="14265" max="14265" width="4.140625" style="557" customWidth="1"/>
    <col min="14266" max="14266" width="5.85546875" style="557" customWidth="1"/>
    <col min="14267" max="14267" width="5.7109375" style="557" customWidth="1"/>
    <col min="14268" max="14268" width="4.7109375" style="557" customWidth="1"/>
    <col min="14269" max="14269" width="4.42578125" style="557" customWidth="1"/>
    <col min="14270" max="14273" width="0" style="557" hidden="1" customWidth="1"/>
    <col min="14274" max="14274" width="5.85546875" style="557" customWidth="1"/>
    <col min="14275" max="14275" width="5.42578125" style="557" customWidth="1"/>
    <col min="14276" max="14276" width="5.28515625" style="557" customWidth="1"/>
    <col min="14277" max="14277" width="4.85546875" style="557" customWidth="1"/>
    <col min="14278" max="14289" width="0" style="557" hidden="1" customWidth="1"/>
    <col min="14290" max="14290" width="5.85546875" style="557" customWidth="1"/>
    <col min="14291" max="14291" width="5.42578125" style="557" customWidth="1"/>
    <col min="14292" max="14292" width="5.140625" style="557" customWidth="1"/>
    <col min="14293" max="14293" width="4.140625" style="557" customWidth="1"/>
    <col min="14294" max="14294" width="6.140625" style="557" customWidth="1"/>
    <col min="14295" max="14296" width="5.5703125" style="557" customWidth="1"/>
    <col min="14297" max="14297" width="4.42578125" style="557" customWidth="1"/>
    <col min="14298" max="14309" width="0" style="557" hidden="1" customWidth="1"/>
    <col min="14310" max="14310" width="7.5703125" style="557" customWidth="1"/>
    <col min="14311" max="14311" width="6.42578125" style="557" customWidth="1"/>
    <col min="14312" max="14312" width="5.42578125" style="557" customWidth="1"/>
    <col min="14313" max="14313" width="5.140625" style="557" customWidth="1"/>
    <col min="14314" max="14314" width="5.7109375" style="557" customWidth="1"/>
    <col min="14315" max="14315" width="5.42578125" style="557" customWidth="1"/>
    <col min="14316" max="14316" width="4.5703125" style="557" customWidth="1"/>
    <col min="14317" max="14317" width="5.42578125" style="557" customWidth="1"/>
    <col min="14318" max="14320" width="5.85546875" style="557" customWidth="1"/>
    <col min="14321" max="14321" width="4.42578125" style="557" customWidth="1"/>
    <col min="14322" max="14336" width="0" style="557" hidden="1" customWidth="1"/>
    <col min="14337" max="14337" width="9.140625" style="557" customWidth="1"/>
    <col min="14338" max="14482" width="9.140625" style="557"/>
    <col min="14483" max="14483" width="3.140625" style="557" customWidth="1"/>
    <col min="14484" max="14484" width="12.28515625" style="557" customWidth="1"/>
    <col min="14485" max="14485" width="34.85546875" style="557" customWidth="1"/>
    <col min="14486" max="14486" width="8.42578125" style="557" customWidth="1"/>
    <col min="14487" max="14487" width="8.28515625" style="557" customWidth="1"/>
    <col min="14488" max="14488" width="9.42578125" style="557" customWidth="1"/>
    <col min="14489" max="14489" width="8.28515625" style="557" customWidth="1"/>
    <col min="14490" max="14492" width="6.42578125" style="557" customWidth="1"/>
    <col min="14493" max="14493" width="7.140625" style="557" customWidth="1"/>
    <col min="14494" max="14494" width="4.5703125" style="557" customWidth="1"/>
    <col min="14495" max="14495" width="6.7109375" style="557" customWidth="1"/>
    <col min="14496" max="14496" width="6.85546875" style="557" customWidth="1"/>
    <col min="14497" max="14497" width="6.28515625" style="557" customWidth="1"/>
    <col min="14498" max="14498" width="4" style="557" customWidth="1"/>
    <col min="14499" max="14499" width="7.28515625" style="557" customWidth="1"/>
    <col min="14500" max="14500" width="7.5703125" style="557" customWidth="1"/>
    <col min="14501" max="14501" width="6" style="557" customWidth="1"/>
    <col min="14502" max="14502" width="4.7109375" style="557" customWidth="1"/>
    <col min="14503" max="14503" width="5.42578125" style="557" customWidth="1"/>
    <col min="14504" max="14504" width="5.7109375" style="557" customWidth="1"/>
    <col min="14505" max="14505" width="5.85546875" style="557" customWidth="1"/>
    <col min="14506" max="14506" width="5.7109375" style="557" customWidth="1"/>
    <col min="14507" max="14517" width="0" style="557" hidden="1" customWidth="1"/>
    <col min="14518" max="14518" width="5.85546875" style="557" customWidth="1"/>
    <col min="14519" max="14519" width="5.7109375" style="557" customWidth="1"/>
    <col min="14520" max="14520" width="5" style="557" customWidth="1"/>
    <col min="14521" max="14521" width="4.140625" style="557" customWidth="1"/>
    <col min="14522" max="14522" width="5.85546875" style="557" customWidth="1"/>
    <col min="14523" max="14523" width="5.7109375" style="557" customWidth="1"/>
    <col min="14524" max="14524" width="4.7109375" style="557" customWidth="1"/>
    <col min="14525" max="14525" width="4.42578125" style="557" customWidth="1"/>
    <col min="14526" max="14529" width="0" style="557" hidden="1" customWidth="1"/>
    <col min="14530" max="14530" width="5.85546875" style="557" customWidth="1"/>
    <col min="14531" max="14531" width="5.42578125" style="557" customWidth="1"/>
    <col min="14532" max="14532" width="5.28515625" style="557" customWidth="1"/>
    <col min="14533" max="14533" width="4.85546875" style="557" customWidth="1"/>
    <col min="14534" max="14545" width="0" style="557" hidden="1" customWidth="1"/>
    <col min="14546" max="14546" width="5.85546875" style="557" customWidth="1"/>
    <col min="14547" max="14547" width="5.42578125" style="557" customWidth="1"/>
    <col min="14548" max="14548" width="5.140625" style="557" customWidth="1"/>
    <col min="14549" max="14549" width="4.140625" style="557" customWidth="1"/>
    <col min="14550" max="14550" width="6.140625" style="557" customWidth="1"/>
    <col min="14551" max="14552" width="5.5703125" style="557" customWidth="1"/>
    <col min="14553" max="14553" width="4.42578125" style="557" customWidth="1"/>
    <col min="14554" max="14565" width="0" style="557" hidden="1" customWidth="1"/>
    <col min="14566" max="14566" width="7.5703125" style="557" customWidth="1"/>
    <col min="14567" max="14567" width="6.42578125" style="557" customWidth="1"/>
    <col min="14568" max="14568" width="5.42578125" style="557" customWidth="1"/>
    <col min="14569" max="14569" width="5.140625" style="557" customWidth="1"/>
    <col min="14570" max="14570" width="5.7109375" style="557" customWidth="1"/>
    <col min="14571" max="14571" width="5.42578125" style="557" customWidth="1"/>
    <col min="14572" max="14572" width="4.5703125" style="557" customWidth="1"/>
    <col min="14573" max="14573" width="5.42578125" style="557" customWidth="1"/>
    <col min="14574" max="14576" width="5.85546875" style="557" customWidth="1"/>
    <col min="14577" max="14577" width="4.42578125" style="557" customWidth="1"/>
    <col min="14578" max="14592" width="0" style="557" hidden="1" customWidth="1"/>
    <col min="14593" max="14593" width="9.140625" style="557" customWidth="1"/>
    <col min="14594" max="14738" width="9.140625" style="557"/>
    <col min="14739" max="14739" width="3.140625" style="557" customWidth="1"/>
    <col min="14740" max="14740" width="12.28515625" style="557" customWidth="1"/>
    <col min="14741" max="14741" width="34.85546875" style="557" customWidth="1"/>
    <col min="14742" max="14742" width="8.42578125" style="557" customWidth="1"/>
    <col min="14743" max="14743" width="8.28515625" style="557" customWidth="1"/>
    <col min="14744" max="14744" width="9.42578125" style="557" customWidth="1"/>
    <col min="14745" max="14745" width="8.28515625" style="557" customWidth="1"/>
    <col min="14746" max="14748" width="6.42578125" style="557" customWidth="1"/>
    <col min="14749" max="14749" width="7.140625" style="557" customWidth="1"/>
    <col min="14750" max="14750" width="4.5703125" style="557" customWidth="1"/>
    <col min="14751" max="14751" width="6.7109375" style="557" customWidth="1"/>
    <col min="14752" max="14752" width="6.85546875" style="557" customWidth="1"/>
    <col min="14753" max="14753" width="6.28515625" style="557" customWidth="1"/>
    <col min="14754" max="14754" width="4" style="557" customWidth="1"/>
    <col min="14755" max="14755" width="7.28515625" style="557" customWidth="1"/>
    <col min="14756" max="14756" width="7.5703125" style="557" customWidth="1"/>
    <col min="14757" max="14757" width="6" style="557" customWidth="1"/>
    <col min="14758" max="14758" width="4.7109375" style="557" customWidth="1"/>
    <col min="14759" max="14759" width="5.42578125" style="557" customWidth="1"/>
    <col min="14760" max="14760" width="5.7109375" style="557" customWidth="1"/>
    <col min="14761" max="14761" width="5.85546875" style="557" customWidth="1"/>
    <col min="14762" max="14762" width="5.7109375" style="557" customWidth="1"/>
    <col min="14763" max="14773" width="0" style="557" hidden="1" customWidth="1"/>
    <col min="14774" max="14774" width="5.85546875" style="557" customWidth="1"/>
    <col min="14775" max="14775" width="5.7109375" style="557" customWidth="1"/>
    <col min="14776" max="14776" width="5" style="557" customWidth="1"/>
    <col min="14777" max="14777" width="4.140625" style="557" customWidth="1"/>
    <col min="14778" max="14778" width="5.85546875" style="557" customWidth="1"/>
    <col min="14779" max="14779" width="5.7109375" style="557" customWidth="1"/>
    <col min="14780" max="14780" width="4.7109375" style="557" customWidth="1"/>
    <col min="14781" max="14781" width="4.42578125" style="557" customWidth="1"/>
    <col min="14782" max="14785" width="0" style="557" hidden="1" customWidth="1"/>
    <col min="14786" max="14786" width="5.85546875" style="557" customWidth="1"/>
    <col min="14787" max="14787" width="5.42578125" style="557" customWidth="1"/>
    <col min="14788" max="14788" width="5.28515625" style="557" customWidth="1"/>
    <col min="14789" max="14789" width="4.85546875" style="557" customWidth="1"/>
    <col min="14790" max="14801" width="0" style="557" hidden="1" customWidth="1"/>
    <col min="14802" max="14802" width="5.85546875" style="557" customWidth="1"/>
    <col min="14803" max="14803" width="5.42578125" style="557" customWidth="1"/>
    <col min="14804" max="14804" width="5.140625" style="557" customWidth="1"/>
    <col min="14805" max="14805" width="4.140625" style="557" customWidth="1"/>
    <col min="14806" max="14806" width="6.140625" style="557" customWidth="1"/>
    <col min="14807" max="14808" width="5.5703125" style="557" customWidth="1"/>
    <col min="14809" max="14809" width="4.42578125" style="557" customWidth="1"/>
    <col min="14810" max="14821" width="0" style="557" hidden="1" customWidth="1"/>
    <col min="14822" max="14822" width="7.5703125" style="557" customWidth="1"/>
    <col min="14823" max="14823" width="6.42578125" style="557" customWidth="1"/>
    <col min="14824" max="14824" width="5.42578125" style="557" customWidth="1"/>
    <col min="14825" max="14825" width="5.140625" style="557" customWidth="1"/>
    <col min="14826" max="14826" width="5.7109375" style="557" customWidth="1"/>
    <col min="14827" max="14827" width="5.42578125" style="557" customWidth="1"/>
    <col min="14828" max="14828" width="4.5703125" style="557" customWidth="1"/>
    <col min="14829" max="14829" width="5.42578125" style="557" customWidth="1"/>
    <col min="14830" max="14832" width="5.85546875" style="557" customWidth="1"/>
    <col min="14833" max="14833" width="4.42578125" style="557" customWidth="1"/>
    <col min="14834" max="14848" width="0" style="557" hidden="1" customWidth="1"/>
    <col min="14849" max="14849" width="9.140625" style="557" customWidth="1"/>
    <col min="14850" max="14994" width="9.140625" style="557"/>
    <col min="14995" max="14995" width="3.140625" style="557" customWidth="1"/>
    <col min="14996" max="14996" width="12.28515625" style="557" customWidth="1"/>
    <col min="14997" max="14997" width="34.85546875" style="557" customWidth="1"/>
    <col min="14998" max="14998" width="8.42578125" style="557" customWidth="1"/>
    <col min="14999" max="14999" width="8.28515625" style="557" customWidth="1"/>
    <col min="15000" max="15000" width="9.42578125" style="557" customWidth="1"/>
    <col min="15001" max="15001" width="8.28515625" style="557" customWidth="1"/>
    <col min="15002" max="15004" width="6.42578125" style="557" customWidth="1"/>
    <col min="15005" max="15005" width="7.140625" style="557" customWidth="1"/>
    <col min="15006" max="15006" width="4.5703125" style="557" customWidth="1"/>
    <col min="15007" max="15007" width="6.7109375" style="557" customWidth="1"/>
    <col min="15008" max="15008" width="6.85546875" style="557" customWidth="1"/>
    <col min="15009" max="15009" width="6.28515625" style="557" customWidth="1"/>
    <col min="15010" max="15010" width="4" style="557" customWidth="1"/>
    <col min="15011" max="15011" width="7.28515625" style="557" customWidth="1"/>
    <col min="15012" max="15012" width="7.5703125" style="557" customWidth="1"/>
    <col min="15013" max="15013" width="6" style="557" customWidth="1"/>
    <col min="15014" max="15014" width="4.7109375" style="557" customWidth="1"/>
    <col min="15015" max="15015" width="5.42578125" style="557" customWidth="1"/>
    <col min="15016" max="15016" width="5.7109375" style="557" customWidth="1"/>
    <col min="15017" max="15017" width="5.85546875" style="557" customWidth="1"/>
    <col min="15018" max="15018" width="5.7109375" style="557" customWidth="1"/>
    <col min="15019" max="15029" width="0" style="557" hidden="1" customWidth="1"/>
    <col min="15030" max="15030" width="5.85546875" style="557" customWidth="1"/>
    <col min="15031" max="15031" width="5.7109375" style="557" customWidth="1"/>
    <col min="15032" max="15032" width="5" style="557" customWidth="1"/>
    <col min="15033" max="15033" width="4.140625" style="557" customWidth="1"/>
    <col min="15034" max="15034" width="5.85546875" style="557" customWidth="1"/>
    <col min="15035" max="15035" width="5.7109375" style="557" customWidth="1"/>
    <col min="15036" max="15036" width="4.7109375" style="557" customWidth="1"/>
    <col min="15037" max="15037" width="4.42578125" style="557" customWidth="1"/>
    <col min="15038" max="15041" width="0" style="557" hidden="1" customWidth="1"/>
    <col min="15042" max="15042" width="5.85546875" style="557" customWidth="1"/>
    <col min="15043" max="15043" width="5.42578125" style="557" customWidth="1"/>
    <col min="15044" max="15044" width="5.28515625" style="557" customWidth="1"/>
    <col min="15045" max="15045" width="4.85546875" style="557" customWidth="1"/>
    <col min="15046" max="15057" width="0" style="557" hidden="1" customWidth="1"/>
    <col min="15058" max="15058" width="5.85546875" style="557" customWidth="1"/>
    <col min="15059" max="15059" width="5.42578125" style="557" customWidth="1"/>
    <col min="15060" max="15060" width="5.140625" style="557" customWidth="1"/>
    <col min="15061" max="15061" width="4.140625" style="557" customWidth="1"/>
    <col min="15062" max="15062" width="6.140625" style="557" customWidth="1"/>
    <col min="15063" max="15064" width="5.5703125" style="557" customWidth="1"/>
    <col min="15065" max="15065" width="4.42578125" style="557" customWidth="1"/>
    <col min="15066" max="15077" width="0" style="557" hidden="1" customWidth="1"/>
    <col min="15078" max="15078" width="7.5703125" style="557" customWidth="1"/>
    <col min="15079" max="15079" width="6.42578125" style="557" customWidth="1"/>
    <col min="15080" max="15080" width="5.42578125" style="557" customWidth="1"/>
    <col min="15081" max="15081" width="5.140625" style="557" customWidth="1"/>
    <col min="15082" max="15082" width="5.7109375" style="557" customWidth="1"/>
    <col min="15083" max="15083" width="5.42578125" style="557" customWidth="1"/>
    <col min="15084" max="15084" width="4.5703125" style="557" customWidth="1"/>
    <col min="15085" max="15085" width="5.42578125" style="557" customWidth="1"/>
    <col min="15086" max="15088" width="5.85546875" style="557" customWidth="1"/>
    <col min="15089" max="15089" width="4.42578125" style="557" customWidth="1"/>
    <col min="15090" max="15104" width="0" style="557" hidden="1" customWidth="1"/>
    <col min="15105" max="15105" width="9.140625" style="557" customWidth="1"/>
    <col min="15106" max="15250" width="9.140625" style="557"/>
    <col min="15251" max="15251" width="3.140625" style="557" customWidth="1"/>
    <col min="15252" max="15252" width="12.28515625" style="557" customWidth="1"/>
    <col min="15253" max="15253" width="34.85546875" style="557" customWidth="1"/>
    <col min="15254" max="15254" width="8.42578125" style="557" customWidth="1"/>
    <col min="15255" max="15255" width="8.28515625" style="557" customWidth="1"/>
    <col min="15256" max="15256" width="9.42578125" style="557" customWidth="1"/>
    <col min="15257" max="15257" width="8.28515625" style="557" customWidth="1"/>
    <col min="15258" max="15260" width="6.42578125" style="557" customWidth="1"/>
    <col min="15261" max="15261" width="7.140625" style="557" customWidth="1"/>
    <col min="15262" max="15262" width="4.5703125" style="557" customWidth="1"/>
    <col min="15263" max="15263" width="6.7109375" style="557" customWidth="1"/>
    <col min="15264" max="15264" width="6.85546875" style="557" customWidth="1"/>
    <col min="15265" max="15265" width="6.28515625" style="557" customWidth="1"/>
    <col min="15266" max="15266" width="4" style="557" customWidth="1"/>
    <col min="15267" max="15267" width="7.28515625" style="557" customWidth="1"/>
    <col min="15268" max="15268" width="7.5703125" style="557" customWidth="1"/>
    <col min="15269" max="15269" width="6" style="557" customWidth="1"/>
    <col min="15270" max="15270" width="4.7109375" style="557" customWidth="1"/>
    <col min="15271" max="15271" width="5.42578125" style="557" customWidth="1"/>
    <col min="15272" max="15272" width="5.7109375" style="557" customWidth="1"/>
    <col min="15273" max="15273" width="5.85546875" style="557" customWidth="1"/>
    <col min="15274" max="15274" width="5.7109375" style="557" customWidth="1"/>
    <col min="15275" max="15285" width="0" style="557" hidden="1" customWidth="1"/>
    <col min="15286" max="15286" width="5.85546875" style="557" customWidth="1"/>
    <col min="15287" max="15287" width="5.7109375" style="557" customWidth="1"/>
    <col min="15288" max="15288" width="5" style="557" customWidth="1"/>
    <col min="15289" max="15289" width="4.140625" style="557" customWidth="1"/>
    <col min="15290" max="15290" width="5.85546875" style="557" customWidth="1"/>
    <col min="15291" max="15291" width="5.7109375" style="557" customWidth="1"/>
    <col min="15292" max="15292" width="4.7109375" style="557" customWidth="1"/>
    <col min="15293" max="15293" width="4.42578125" style="557" customWidth="1"/>
    <col min="15294" max="15297" width="0" style="557" hidden="1" customWidth="1"/>
    <col min="15298" max="15298" width="5.85546875" style="557" customWidth="1"/>
    <col min="15299" max="15299" width="5.42578125" style="557" customWidth="1"/>
    <col min="15300" max="15300" width="5.28515625" style="557" customWidth="1"/>
    <col min="15301" max="15301" width="4.85546875" style="557" customWidth="1"/>
    <col min="15302" max="15313" width="0" style="557" hidden="1" customWidth="1"/>
    <col min="15314" max="15314" width="5.85546875" style="557" customWidth="1"/>
    <col min="15315" max="15315" width="5.42578125" style="557" customWidth="1"/>
    <col min="15316" max="15316" width="5.140625" style="557" customWidth="1"/>
    <col min="15317" max="15317" width="4.140625" style="557" customWidth="1"/>
    <col min="15318" max="15318" width="6.140625" style="557" customWidth="1"/>
    <col min="15319" max="15320" width="5.5703125" style="557" customWidth="1"/>
    <col min="15321" max="15321" width="4.42578125" style="557" customWidth="1"/>
    <col min="15322" max="15333" width="0" style="557" hidden="1" customWidth="1"/>
    <col min="15334" max="15334" width="7.5703125" style="557" customWidth="1"/>
    <col min="15335" max="15335" width="6.42578125" style="557" customWidth="1"/>
    <col min="15336" max="15336" width="5.42578125" style="557" customWidth="1"/>
    <col min="15337" max="15337" width="5.140625" style="557" customWidth="1"/>
    <col min="15338" max="15338" width="5.7109375" style="557" customWidth="1"/>
    <col min="15339" max="15339" width="5.42578125" style="557" customWidth="1"/>
    <col min="15340" max="15340" width="4.5703125" style="557" customWidth="1"/>
    <col min="15341" max="15341" width="5.42578125" style="557" customWidth="1"/>
    <col min="15342" max="15344" width="5.85546875" style="557" customWidth="1"/>
    <col min="15345" max="15345" width="4.42578125" style="557" customWidth="1"/>
    <col min="15346" max="15360" width="0" style="557" hidden="1" customWidth="1"/>
    <col min="15361" max="15361" width="9.140625" style="557" customWidth="1"/>
    <col min="15362" max="15506" width="9.140625" style="557"/>
    <col min="15507" max="15507" width="3.140625" style="557" customWidth="1"/>
    <col min="15508" max="15508" width="12.28515625" style="557" customWidth="1"/>
    <col min="15509" max="15509" width="34.85546875" style="557" customWidth="1"/>
    <col min="15510" max="15510" width="8.42578125" style="557" customWidth="1"/>
    <col min="15511" max="15511" width="8.28515625" style="557" customWidth="1"/>
    <col min="15512" max="15512" width="9.42578125" style="557" customWidth="1"/>
    <col min="15513" max="15513" width="8.28515625" style="557" customWidth="1"/>
    <col min="15514" max="15516" width="6.42578125" style="557" customWidth="1"/>
    <col min="15517" max="15517" width="7.140625" style="557" customWidth="1"/>
    <col min="15518" max="15518" width="4.5703125" style="557" customWidth="1"/>
    <col min="15519" max="15519" width="6.7109375" style="557" customWidth="1"/>
    <col min="15520" max="15520" width="6.85546875" style="557" customWidth="1"/>
    <col min="15521" max="15521" width="6.28515625" style="557" customWidth="1"/>
    <col min="15522" max="15522" width="4" style="557" customWidth="1"/>
    <col min="15523" max="15523" width="7.28515625" style="557" customWidth="1"/>
    <col min="15524" max="15524" width="7.5703125" style="557" customWidth="1"/>
    <col min="15525" max="15525" width="6" style="557" customWidth="1"/>
    <col min="15526" max="15526" width="4.7109375" style="557" customWidth="1"/>
    <col min="15527" max="15527" width="5.42578125" style="557" customWidth="1"/>
    <col min="15528" max="15528" width="5.7109375" style="557" customWidth="1"/>
    <col min="15529" max="15529" width="5.85546875" style="557" customWidth="1"/>
    <col min="15530" max="15530" width="5.7109375" style="557" customWidth="1"/>
    <col min="15531" max="15541" width="0" style="557" hidden="1" customWidth="1"/>
    <col min="15542" max="15542" width="5.85546875" style="557" customWidth="1"/>
    <col min="15543" max="15543" width="5.7109375" style="557" customWidth="1"/>
    <col min="15544" max="15544" width="5" style="557" customWidth="1"/>
    <col min="15545" max="15545" width="4.140625" style="557" customWidth="1"/>
    <col min="15546" max="15546" width="5.85546875" style="557" customWidth="1"/>
    <col min="15547" max="15547" width="5.7109375" style="557" customWidth="1"/>
    <col min="15548" max="15548" width="4.7109375" style="557" customWidth="1"/>
    <col min="15549" max="15549" width="4.42578125" style="557" customWidth="1"/>
    <col min="15550" max="15553" width="0" style="557" hidden="1" customWidth="1"/>
    <col min="15554" max="15554" width="5.85546875" style="557" customWidth="1"/>
    <col min="15555" max="15555" width="5.42578125" style="557" customWidth="1"/>
    <col min="15556" max="15556" width="5.28515625" style="557" customWidth="1"/>
    <col min="15557" max="15557" width="4.85546875" style="557" customWidth="1"/>
    <col min="15558" max="15569" width="0" style="557" hidden="1" customWidth="1"/>
    <col min="15570" max="15570" width="5.85546875" style="557" customWidth="1"/>
    <col min="15571" max="15571" width="5.42578125" style="557" customWidth="1"/>
    <col min="15572" max="15572" width="5.140625" style="557" customWidth="1"/>
    <col min="15573" max="15573" width="4.140625" style="557" customWidth="1"/>
    <col min="15574" max="15574" width="6.140625" style="557" customWidth="1"/>
    <col min="15575" max="15576" width="5.5703125" style="557" customWidth="1"/>
    <col min="15577" max="15577" width="4.42578125" style="557" customWidth="1"/>
    <col min="15578" max="15589" width="0" style="557" hidden="1" customWidth="1"/>
    <col min="15590" max="15590" width="7.5703125" style="557" customWidth="1"/>
    <col min="15591" max="15591" width="6.42578125" style="557" customWidth="1"/>
    <col min="15592" max="15592" width="5.42578125" style="557" customWidth="1"/>
    <col min="15593" max="15593" width="5.140625" style="557" customWidth="1"/>
    <col min="15594" max="15594" width="5.7109375" style="557" customWidth="1"/>
    <col min="15595" max="15595" width="5.42578125" style="557" customWidth="1"/>
    <col min="15596" max="15596" width="4.5703125" style="557" customWidth="1"/>
    <col min="15597" max="15597" width="5.42578125" style="557" customWidth="1"/>
    <col min="15598" max="15600" width="5.85546875" style="557" customWidth="1"/>
    <col min="15601" max="15601" width="4.42578125" style="557" customWidth="1"/>
    <col min="15602" max="15616" width="0" style="557" hidden="1" customWidth="1"/>
    <col min="15617" max="15617" width="9.140625" style="557" customWidth="1"/>
    <col min="15618" max="15762" width="9.140625" style="557"/>
    <col min="15763" max="15763" width="3.140625" style="557" customWidth="1"/>
    <col min="15764" max="15764" width="12.28515625" style="557" customWidth="1"/>
    <col min="15765" max="15765" width="34.85546875" style="557" customWidth="1"/>
    <col min="15766" max="15766" width="8.42578125" style="557" customWidth="1"/>
    <col min="15767" max="15767" width="8.28515625" style="557" customWidth="1"/>
    <col min="15768" max="15768" width="9.42578125" style="557" customWidth="1"/>
    <col min="15769" max="15769" width="8.28515625" style="557" customWidth="1"/>
    <col min="15770" max="15772" width="6.42578125" style="557" customWidth="1"/>
    <col min="15773" max="15773" width="7.140625" style="557" customWidth="1"/>
    <col min="15774" max="15774" width="4.5703125" style="557" customWidth="1"/>
    <col min="15775" max="15775" width="6.7109375" style="557" customWidth="1"/>
    <col min="15776" max="15776" width="6.85546875" style="557" customWidth="1"/>
    <col min="15777" max="15777" width="6.28515625" style="557" customWidth="1"/>
    <col min="15778" max="15778" width="4" style="557" customWidth="1"/>
    <col min="15779" max="15779" width="7.28515625" style="557" customWidth="1"/>
    <col min="15780" max="15780" width="7.5703125" style="557" customWidth="1"/>
    <col min="15781" max="15781" width="6" style="557" customWidth="1"/>
    <col min="15782" max="15782" width="4.7109375" style="557" customWidth="1"/>
    <col min="15783" max="15783" width="5.42578125" style="557" customWidth="1"/>
    <col min="15784" max="15784" width="5.7109375" style="557" customWidth="1"/>
    <col min="15785" max="15785" width="5.85546875" style="557" customWidth="1"/>
    <col min="15786" max="15786" width="5.7109375" style="557" customWidth="1"/>
    <col min="15787" max="15797" width="0" style="557" hidden="1" customWidth="1"/>
    <col min="15798" max="15798" width="5.85546875" style="557" customWidth="1"/>
    <col min="15799" max="15799" width="5.7109375" style="557" customWidth="1"/>
    <col min="15800" max="15800" width="5" style="557" customWidth="1"/>
    <col min="15801" max="15801" width="4.140625" style="557" customWidth="1"/>
    <col min="15802" max="15802" width="5.85546875" style="557" customWidth="1"/>
    <col min="15803" max="15803" width="5.7109375" style="557" customWidth="1"/>
    <col min="15804" max="15804" width="4.7109375" style="557" customWidth="1"/>
    <col min="15805" max="15805" width="4.42578125" style="557" customWidth="1"/>
    <col min="15806" max="15809" width="0" style="557" hidden="1" customWidth="1"/>
    <col min="15810" max="15810" width="5.85546875" style="557" customWidth="1"/>
    <col min="15811" max="15811" width="5.42578125" style="557" customWidth="1"/>
    <col min="15812" max="15812" width="5.28515625" style="557" customWidth="1"/>
    <col min="15813" max="15813" width="4.85546875" style="557" customWidth="1"/>
    <col min="15814" max="15825" width="0" style="557" hidden="1" customWidth="1"/>
    <col min="15826" max="15826" width="5.85546875" style="557" customWidth="1"/>
    <col min="15827" max="15827" width="5.42578125" style="557" customWidth="1"/>
    <col min="15828" max="15828" width="5.140625" style="557" customWidth="1"/>
    <col min="15829" max="15829" width="4.140625" style="557" customWidth="1"/>
    <col min="15830" max="15830" width="6.140625" style="557" customWidth="1"/>
    <col min="15831" max="15832" width="5.5703125" style="557" customWidth="1"/>
    <col min="15833" max="15833" width="4.42578125" style="557" customWidth="1"/>
    <col min="15834" max="15845" width="0" style="557" hidden="1" customWidth="1"/>
    <col min="15846" max="15846" width="7.5703125" style="557" customWidth="1"/>
    <col min="15847" max="15847" width="6.42578125" style="557" customWidth="1"/>
    <col min="15848" max="15848" width="5.42578125" style="557" customWidth="1"/>
    <col min="15849" max="15849" width="5.140625" style="557" customWidth="1"/>
    <col min="15850" max="15850" width="5.7109375" style="557" customWidth="1"/>
    <col min="15851" max="15851" width="5.42578125" style="557" customWidth="1"/>
    <col min="15852" max="15852" width="4.5703125" style="557" customWidth="1"/>
    <col min="15853" max="15853" width="5.42578125" style="557" customWidth="1"/>
    <col min="15854" max="15856" width="5.85546875" style="557" customWidth="1"/>
    <col min="15857" max="15857" width="4.42578125" style="557" customWidth="1"/>
    <col min="15858" max="15872" width="0" style="557" hidden="1" customWidth="1"/>
    <col min="15873" max="15873" width="9.140625" style="557" customWidth="1"/>
    <col min="15874" max="16018" width="9.140625" style="557"/>
    <col min="16019" max="16019" width="3.140625" style="557" customWidth="1"/>
    <col min="16020" max="16020" width="12.28515625" style="557" customWidth="1"/>
    <col min="16021" max="16021" width="34.85546875" style="557" customWidth="1"/>
    <col min="16022" max="16022" width="8.42578125" style="557" customWidth="1"/>
    <col min="16023" max="16023" width="8.28515625" style="557" customWidth="1"/>
    <col min="16024" max="16024" width="9.42578125" style="557" customWidth="1"/>
    <col min="16025" max="16025" width="8.28515625" style="557" customWidth="1"/>
    <col min="16026" max="16028" width="6.42578125" style="557" customWidth="1"/>
    <col min="16029" max="16029" width="7.140625" style="557" customWidth="1"/>
    <col min="16030" max="16030" width="4.5703125" style="557" customWidth="1"/>
    <col min="16031" max="16031" width="6.7109375" style="557" customWidth="1"/>
    <col min="16032" max="16032" width="6.85546875" style="557" customWidth="1"/>
    <col min="16033" max="16033" width="6.28515625" style="557" customWidth="1"/>
    <col min="16034" max="16034" width="4" style="557" customWidth="1"/>
    <col min="16035" max="16035" width="7.28515625" style="557" customWidth="1"/>
    <col min="16036" max="16036" width="7.5703125" style="557" customWidth="1"/>
    <col min="16037" max="16037" width="6" style="557" customWidth="1"/>
    <col min="16038" max="16038" width="4.7109375" style="557" customWidth="1"/>
    <col min="16039" max="16039" width="5.42578125" style="557" customWidth="1"/>
    <col min="16040" max="16040" width="5.7109375" style="557" customWidth="1"/>
    <col min="16041" max="16041" width="5.85546875" style="557" customWidth="1"/>
    <col min="16042" max="16042" width="5.7109375" style="557" customWidth="1"/>
    <col min="16043" max="16053" width="0" style="557" hidden="1" customWidth="1"/>
    <col min="16054" max="16054" width="5.85546875" style="557" customWidth="1"/>
    <col min="16055" max="16055" width="5.7109375" style="557" customWidth="1"/>
    <col min="16056" max="16056" width="5" style="557" customWidth="1"/>
    <col min="16057" max="16057" width="4.140625" style="557" customWidth="1"/>
    <col min="16058" max="16058" width="5.85546875" style="557" customWidth="1"/>
    <col min="16059" max="16059" width="5.7109375" style="557" customWidth="1"/>
    <col min="16060" max="16060" width="4.7109375" style="557" customWidth="1"/>
    <col min="16061" max="16061" width="4.42578125" style="557" customWidth="1"/>
    <col min="16062" max="16065" width="0" style="557" hidden="1" customWidth="1"/>
    <col min="16066" max="16066" width="5.85546875" style="557" customWidth="1"/>
    <col min="16067" max="16067" width="5.42578125" style="557" customWidth="1"/>
    <col min="16068" max="16068" width="5.28515625" style="557" customWidth="1"/>
    <col min="16069" max="16069" width="4.85546875" style="557" customWidth="1"/>
    <col min="16070" max="16081" width="0" style="557" hidden="1" customWidth="1"/>
    <col min="16082" max="16082" width="5.85546875" style="557" customWidth="1"/>
    <col min="16083" max="16083" width="5.42578125" style="557" customWidth="1"/>
    <col min="16084" max="16084" width="5.140625" style="557" customWidth="1"/>
    <col min="16085" max="16085" width="4.140625" style="557" customWidth="1"/>
    <col min="16086" max="16086" width="6.140625" style="557" customWidth="1"/>
    <col min="16087" max="16088" width="5.5703125" style="557" customWidth="1"/>
    <col min="16089" max="16089" width="4.42578125" style="557" customWidth="1"/>
    <col min="16090" max="16101" width="0" style="557" hidden="1" customWidth="1"/>
    <col min="16102" max="16102" width="7.5703125" style="557" customWidth="1"/>
    <col min="16103" max="16103" width="6.42578125" style="557" customWidth="1"/>
    <col min="16104" max="16104" width="5.42578125" style="557" customWidth="1"/>
    <col min="16105" max="16105" width="5.140625" style="557" customWidth="1"/>
    <col min="16106" max="16106" width="5.7109375" style="557" customWidth="1"/>
    <col min="16107" max="16107" width="5.42578125" style="557" customWidth="1"/>
    <col min="16108" max="16108" width="4.5703125" style="557" customWidth="1"/>
    <col min="16109" max="16109" width="5.42578125" style="557" customWidth="1"/>
    <col min="16110" max="16112" width="5.85546875" style="557" customWidth="1"/>
    <col min="16113" max="16113" width="4.42578125" style="557" customWidth="1"/>
    <col min="16114" max="16128" width="0" style="557" hidden="1" customWidth="1"/>
    <col min="16129" max="16129" width="9.140625" style="557" customWidth="1"/>
    <col min="16130" max="16384" width="9.140625" style="557"/>
  </cols>
  <sheetData>
    <row r="1" spans="2:10" ht="23.25" customHeight="1">
      <c r="B1" s="349"/>
      <c r="C1" s="556"/>
      <c r="D1" s="556" t="s">
        <v>914</v>
      </c>
      <c r="E1" s="555"/>
      <c r="F1" s="556"/>
      <c r="G1" s="556"/>
      <c r="H1" s="550"/>
    </row>
    <row r="2" spans="2:10" ht="39" customHeight="1">
      <c r="B2" s="743" t="s">
        <v>302</v>
      </c>
      <c r="C2" s="558"/>
      <c r="D2" s="746" t="s">
        <v>303</v>
      </c>
      <c r="E2" s="739" t="s">
        <v>304</v>
      </c>
      <c r="F2" s="740"/>
      <c r="G2" s="740"/>
      <c r="H2" s="740"/>
      <c r="I2" s="749" t="s">
        <v>915</v>
      </c>
      <c r="J2" s="749" t="s">
        <v>917</v>
      </c>
    </row>
    <row r="3" spans="2:10" ht="48.75" hidden="1" customHeight="1">
      <c r="B3" s="744"/>
      <c r="C3" s="559"/>
      <c r="D3" s="747"/>
      <c r="E3" s="741"/>
      <c r="F3" s="742"/>
      <c r="G3" s="742"/>
      <c r="H3" s="742"/>
      <c r="I3" s="750"/>
      <c r="J3" s="750"/>
    </row>
    <row r="4" spans="2:10" ht="33" customHeight="1">
      <c r="B4" s="745"/>
      <c r="C4" s="560" t="s">
        <v>789</v>
      </c>
      <c r="D4" s="748"/>
      <c r="E4" s="561" t="s">
        <v>794</v>
      </c>
      <c r="F4" s="561" t="s">
        <v>912</v>
      </c>
      <c r="G4" s="554" t="s">
        <v>916</v>
      </c>
      <c r="H4" s="554" t="s">
        <v>913</v>
      </c>
      <c r="I4" s="751"/>
      <c r="J4" s="751"/>
    </row>
    <row r="5" spans="2:10" s="566" customFormat="1" ht="15" customHeight="1">
      <c r="B5" s="562" t="s">
        <v>305</v>
      </c>
      <c r="C5" s="601"/>
      <c r="D5" s="563" t="s">
        <v>306</v>
      </c>
      <c r="E5" s="564">
        <f>SUM(E6:E16)</f>
        <v>0</v>
      </c>
      <c r="F5" s="565">
        <f>SUM(F6:F16)</f>
        <v>621.16351999999995</v>
      </c>
      <c r="G5" s="565">
        <f t="shared" ref="G5:H5" si="0">SUM(G6:G16)</f>
        <v>0.66351000000000004</v>
      </c>
      <c r="H5" s="565">
        <f t="shared" si="0"/>
        <v>5.6980000000000003E-2</v>
      </c>
      <c r="I5" s="594">
        <f>H5/F5</f>
        <v>9.1731079120679863E-5</v>
      </c>
      <c r="J5" s="594">
        <f>H5-G5</f>
        <v>-0.60653000000000001</v>
      </c>
    </row>
    <row r="6" spans="2:10" ht="14.25" customHeight="1">
      <c r="B6" s="567"/>
      <c r="C6" s="596"/>
      <c r="D6" s="569" t="s">
        <v>801</v>
      </c>
      <c r="E6" s="570"/>
      <c r="F6" s="342">
        <v>620.80665999999997</v>
      </c>
      <c r="G6" s="342"/>
      <c r="H6" s="551"/>
      <c r="I6" s="594">
        <f t="shared" ref="I6:I69" si="1">H6/F6</f>
        <v>0</v>
      </c>
      <c r="J6" s="594">
        <f t="shared" ref="J6:J69" si="2">H6-G6</f>
        <v>0</v>
      </c>
    </row>
    <row r="7" spans="2:10" ht="14.25" customHeight="1">
      <c r="B7" s="567"/>
      <c r="C7" s="596"/>
      <c r="D7" s="569" t="s">
        <v>582</v>
      </c>
      <c r="E7" s="570"/>
      <c r="F7" s="342">
        <v>0.35686000000000001</v>
      </c>
      <c r="G7" s="342"/>
      <c r="H7" s="551"/>
      <c r="I7" s="594">
        <f t="shared" si="1"/>
        <v>0</v>
      </c>
      <c r="J7" s="594">
        <f t="shared" si="2"/>
        <v>0</v>
      </c>
    </row>
    <row r="8" spans="2:10" ht="15.75" customHeight="1">
      <c r="B8" s="567"/>
      <c r="C8" s="596">
        <v>1701042113</v>
      </c>
      <c r="D8" s="569" t="s">
        <v>795</v>
      </c>
      <c r="E8" s="570">
        <v>0</v>
      </c>
      <c r="F8" s="342"/>
      <c r="G8" s="342">
        <v>0.66351000000000004</v>
      </c>
      <c r="H8" s="552">
        <v>0</v>
      </c>
      <c r="I8" s="594">
        <v>0</v>
      </c>
      <c r="J8" s="594">
        <f t="shared" si="2"/>
        <v>-0.66351000000000004</v>
      </c>
    </row>
    <row r="9" spans="2:10" ht="15.75" hidden="1" customHeight="1">
      <c r="B9" s="567"/>
      <c r="C9" s="596">
        <v>1701051164</v>
      </c>
      <c r="D9" s="569" t="s">
        <v>886</v>
      </c>
      <c r="E9" s="570"/>
      <c r="F9" s="342"/>
      <c r="G9" s="342"/>
      <c r="H9" s="552"/>
      <c r="I9" s="594" t="e">
        <f t="shared" si="1"/>
        <v>#DIV/0!</v>
      </c>
      <c r="J9" s="594">
        <f t="shared" si="2"/>
        <v>0</v>
      </c>
    </row>
    <row r="10" spans="2:10" ht="16.5" hidden="1" customHeight="1">
      <c r="B10" s="567"/>
      <c r="C10" s="596">
        <v>1718000337</v>
      </c>
      <c r="D10" s="569" t="s">
        <v>887</v>
      </c>
      <c r="E10" s="570"/>
      <c r="F10" s="342"/>
      <c r="G10" s="342"/>
      <c r="H10" s="552"/>
      <c r="I10" s="594" t="e">
        <f t="shared" si="1"/>
        <v>#DIV/0!</v>
      </c>
      <c r="J10" s="594">
        <f t="shared" si="2"/>
        <v>0</v>
      </c>
    </row>
    <row r="11" spans="2:10" ht="16.5" customHeight="1">
      <c r="B11" s="567"/>
      <c r="C11" s="596">
        <v>1701033158</v>
      </c>
      <c r="D11" s="569" t="s">
        <v>888</v>
      </c>
      <c r="E11" s="570"/>
      <c r="F11" s="342"/>
      <c r="G11" s="342"/>
      <c r="H11" s="552">
        <v>5.6980000000000003E-2</v>
      </c>
      <c r="I11" s="594">
        <v>0</v>
      </c>
      <c r="J11" s="594">
        <f t="shared" si="2"/>
        <v>5.6980000000000003E-2</v>
      </c>
    </row>
    <row r="12" spans="2:10" ht="28.5" hidden="1" customHeight="1">
      <c r="B12" s="567"/>
      <c r="C12" s="596">
        <v>1701037466</v>
      </c>
      <c r="D12" s="569" t="s">
        <v>889</v>
      </c>
      <c r="E12" s="570">
        <v>0</v>
      </c>
      <c r="F12" s="342"/>
      <c r="G12" s="342"/>
      <c r="H12" s="552"/>
      <c r="I12" s="594" t="e">
        <f t="shared" si="1"/>
        <v>#DIV/0!</v>
      </c>
      <c r="J12" s="594">
        <f t="shared" si="2"/>
        <v>0</v>
      </c>
    </row>
    <row r="13" spans="2:10" ht="18" hidden="1" customHeight="1">
      <c r="B13" s="567"/>
      <c r="C13" s="596"/>
      <c r="D13" s="569" t="s">
        <v>311</v>
      </c>
      <c r="E13" s="570">
        <v>0</v>
      </c>
      <c r="F13" s="342"/>
      <c r="G13" s="342"/>
      <c r="H13" s="552"/>
      <c r="I13" s="594" t="e">
        <f t="shared" si="1"/>
        <v>#DIV/0!</v>
      </c>
      <c r="J13" s="594">
        <f t="shared" si="2"/>
        <v>0</v>
      </c>
    </row>
    <row r="14" spans="2:10" ht="16.5" hidden="1" customHeight="1">
      <c r="B14" s="567"/>
      <c r="C14" s="596"/>
      <c r="D14" s="569" t="s">
        <v>801</v>
      </c>
      <c r="E14" s="570"/>
      <c r="F14" s="342"/>
      <c r="G14" s="342"/>
      <c r="H14" s="552"/>
      <c r="I14" s="594" t="e">
        <f t="shared" si="1"/>
        <v>#DIV/0!</v>
      </c>
      <c r="J14" s="594">
        <f t="shared" si="2"/>
        <v>0</v>
      </c>
    </row>
    <row r="15" spans="2:10" ht="16.5" hidden="1" customHeight="1">
      <c r="B15" s="567"/>
      <c r="C15" s="596"/>
      <c r="D15" s="569" t="s">
        <v>312</v>
      </c>
      <c r="E15" s="570"/>
      <c r="F15" s="342"/>
      <c r="G15" s="342"/>
      <c r="H15" s="552"/>
      <c r="I15" s="594" t="e">
        <f t="shared" si="1"/>
        <v>#DIV/0!</v>
      </c>
      <c r="J15" s="594">
        <f t="shared" si="2"/>
        <v>0</v>
      </c>
    </row>
    <row r="16" spans="2:10" ht="22.5" hidden="1" customHeight="1">
      <c r="B16" s="567"/>
      <c r="C16" s="596"/>
      <c r="D16" s="569" t="s">
        <v>537</v>
      </c>
      <c r="E16" s="570"/>
      <c r="F16" s="342"/>
      <c r="G16" s="342"/>
      <c r="H16" s="552"/>
      <c r="I16" s="594" t="e">
        <f t="shared" si="1"/>
        <v>#DIV/0!</v>
      </c>
      <c r="J16" s="594">
        <f t="shared" si="2"/>
        <v>0</v>
      </c>
    </row>
    <row r="17" spans="2:10" s="566" customFormat="1" ht="27.75" customHeight="1">
      <c r="B17" s="562" t="s">
        <v>313</v>
      </c>
      <c r="C17" s="601"/>
      <c r="D17" s="563" t="s">
        <v>314</v>
      </c>
      <c r="E17" s="571">
        <f>SUM(E18:E34)</f>
        <v>7.4</v>
      </c>
      <c r="F17" s="571">
        <f t="shared" ref="F17:H17" si="3">SUM(F18:F34)</f>
        <v>40.827589999999994</v>
      </c>
      <c r="G17" s="571">
        <f t="shared" si="3"/>
        <v>4473.7330099999999</v>
      </c>
      <c r="H17" s="571">
        <f t="shared" si="3"/>
        <v>5856.2844599999999</v>
      </c>
      <c r="I17" s="594">
        <f t="shared" si="1"/>
        <v>143.43938645411109</v>
      </c>
      <c r="J17" s="594">
        <f t="shared" si="2"/>
        <v>1382.5514499999999</v>
      </c>
    </row>
    <row r="18" spans="2:10" ht="13.5" hidden="1" customHeight="1">
      <c r="B18" s="567"/>
      <c r="C18" s="596">
        <v>1718002292</v>
      </c>
      <c r="D18" s="567" t="s">
        <v>315</v>
      </c>
      <c r="E18" s="568"/>
      <c r="F18" s="342"/>
      <c r="G18" s="342"/>
      <c r="H18" s="551"/>
      <c r="I18" s="594" t="e">
        <f t="shared" si="1"/>
        <v>#DIV/0!</v>
      </c>
      <c r="J18" s="594">
        <f t="shared" si="2"/>
        <v>0</v>
      </c>
    </row>
    <row r="19" spans="2:10" ht="12.75" hidden="1" customHeight="1">
      <c r="B19" s="567"/>
      <c r="C19" s="596"/>
      <c r="D19" s="569" t="s">
        <v>316</v>
      </c>
      <c r="E19" s="570"/>
      <c r="F19" s="342"/>
      <c r="G19" s="342"/>
      <c r="H19" s="551"/>
      <c r="I19" s="594" t="e">
        <f t="shared" si="1"/>
        <v>#DIV/0!</v>
      </c>
      <c r="J19" s="594">
        <f t="shared" si="2"/>
        <v>0</v>
      </c>
    </row>
    <row r="20" spans="2:10" ht="12" hidden="1" customHeight="1">
      <c r="B20" s="567"/>
      <c r="C20" s="596">
        <v>1712001334</v>
      </c>
      <c r="D20" s="569" t="s">
        <v>796</v>
      </c>
      <c r="E20" s="570"/>
      <c r="F20" s="342"/>
      <c r="G20" s="342"/>
      <c r="H20" s="551"/>
      <c r="I20" s="594" t="e">
        <f t="shared" si="1"/>
        <v>#DIV/0!</v>
      </c>
      <c r="J20" s="594">
        <f t="shared" si="2"/>
        <v>0</v>
      </c>
    </row>
    <row r="21" spans="2:10" ht="12.75" hidden="1" customHeight="1">
      <c r="B21" s="567"/>
      <c r="C21" s="596">
        <v>1718001468</v>
      </c>
      <c r="D21" s="567" t="s">
        <v>317</v>
      </c>
      <c r="E21" s="568"/>
      <c r="F21" s="342"/>
      <c r="G21" s="342"/>
      <c r="H21" s="551"/>
      <c r="I21" s="594" t="e">
        <f t="shared" si="1"/>
        <v>#DIV/0!</v>
      </c>
      <c r="J21" s="594">
        <f t="shared" si="2"/>
        <v>0</v>
      </c>
    </row>
    <row r="22" spans="2:10" ht="12.75" hidden="1" customHeight="1">
      <c r="B22" s="567"/>
      <c r="C22" s="596">
        <v>1718001612</v>
      </c>
      <c r="D22" s="567" t="s">
        <v>890</v>
      </c>
      <c r="E22" s="568"/>
      <c r="F22" s="342"/>
      <c r="G22" s="342"/>
      <c r="H22" s="551"/>
      <c r="I22" s="594" t="e">
        <f t="shared" si="1"/>
        <v>#DIV/0!</v>
      </c>
      <c r="J22" s="594">
        <f t="shared" si="2"/>
        <v>0</v>
      </c>
    </row>
    <row r="23" spans="2:10" ht="12.75" hidden="1" customHeight="1">
      <c r="B23" s="567"/>
      <c r="C23" s="597" t="s">
        <v>891</v>
      </c>
      <c r="D23" s="573" t="s">
        <v>892</v>
      </c>
      <c r="E23" s="568"/>
      <c r="F23" s="342"/>
      <c r="G23" s="342"/>
      <c r="H23" s="551"/>
      <c r="I23" s="594" t="e">
        <f t="shared" si="1"/>
        <v>#DIV/0!</v>
      </c>
      <c r="J23" s="594">
        <f t="shared" si="2"/>
        <v>0</v>
      </c>
    </row>
    <row r="24" spans="2:10" ht="12" customHeight="1">
      <c r="B24" s="567"/>
      <c r="C24" s="596">
        <v>1718002366</v>
      </c>
      <c r="D24" s="569" t="s">
        <v>538</v>
      </c>
      <c r="E24" s="570"/>
      <c r="F24" s="342">
        <v>36.864579999999997</v>
      </c>
      <c r="G24" s="342">
        <v>4473.7330099999999</v>
      </c>
      <c r="H24" s="551">
        <v>5856.2844599999999</v>
      </c>
      <c r="I24" s="594">
        <f t="shared" si="1"/>
        <v>158.85938372280384</v>
      </c>
      <c r="J24" s="594">
        <f t="shared" si="2"/>
        <v>1382.5514499999999</v>
      </c>
    </row>
    <row r="25" spans="2:10" ht="12" customHeight="1">
      <c r="B25" s="567"/>
      <c r="C25" s="596"/>
      <c r="D25" s="569" t="s">
        <v>315</v>
      </c>
      <c r="E25" s="570"/>
      <c r="F25" s="342">
        <v>3.9630100000000001</v>
      </c>
      <c r="G25" s="342"/>
      <c r="H25" s="551"/>
      <c r="I25" s="594">
        <f t="shared" si="1"/>
        <v>0</v>
      </c>
      <c r="J25" s="594">
        <f t="shared" si="2"/>
        <v>0</v>
      </c>
    </row>
    <row r="26" spans="2:10" ht="21.75" customHeight="1">
      <c r="B26" s="567"/>
      <c r="C26" s="596">
        <v>1701010288</v>
      </c>
      <c r="D26" s="569" t="s">
        <v>539</v>
      </c>
      <c r="E26" s="342">
        <v>7.4</v>
      </c>
      <c r="F26" s="342"/>
      <c r="G26" s="342">
        <v>0</v>
      </c>
      <c r="H26" s="551"/>
      <c r="I26" s="594">
        <v>0</v>
      </c>
      <c r="J26" s="594">
        <f t="shared" si="2"/>
        <v>0</v>
      </c>
    </row>
    <row r="27" spans="2:10" ht="12.75" hidden="1" customHeight="1">
      <c r="B27" s="567"/>
      <c r="C27" s="596"/>
      <c r="D27" s="569" t="s">
        <v>695</v>
      </c>
      <c r="E27" s="570"/>
      <c r="F27" s="342"/>
      <c r="G27" s="342"/>
      <c r="H27" s="551"/>
      <c r="I27" s="594" t="e">
        <f t="shared" si="1"/>
        <v>#DIV/0!</v>
      </c>
      <c r="J27" s="594">
        <f t="shared" si="2"/>
        <v>0</v>
      </c>
    </row>
    <row r="28" spans="2:10" ht="12.75" hidden="1" customHeight="1">
      <c r="B28" s="567"/>
      <c r="C28" s="596">
        <v>1718001820</v>
      </c>
      <c r="D28" s="569" t="s">
        <v>318</v>
      </c>
      <c r="E28" s="570"/>
      <c r="F28" s="342"/>
      <c r="G28" s="342"/>
      <c r="H28" s="551"/>
      <c r="I28" s="594" t="e">
        <f t="shared" si="1"/>
        <v>#DIV/0!</v>
      </c>
      <c r="J28" s="594">
        <f t="shared" si="2"/>
        <v>0</v>
      </c>
    </row>
    <row r="29" spans="2:10" ht="12.75" hidden="1" customHeight="1">
      <c r="B29" s="567"/>
      <c r="C29" s="596">
        <v>1701033729</v>
      </c>
      <c r="D29" s="569" t="s">
        <v>319</v>
      </c>
      <c r="E29" s="570"/>
      <c r="F29" s="342"/>
      <c r="G29" s="342"/>
      <c r="H29" s="551"/>
      <c r="I29" s="594" t="e">
        <f t="shared" si="1"/>
        <v>#DIV/0!</v>
      </c>
      <c r="J29" s="594">
        <f t="shared" si="2"/>
        <v>0</v>
      </c>
    </row>
    <row r="30" spans="2:10" ht="12.75" hidden="1" customHeight="1">
      <c r="B30" s="567"/>
      <c r="C30" s="596"/>
      <c r="D30" s="569" t="s">
        <v>320</v>
      </c>
      <c r="E30" s="570"/>
      <c r="F30" s="342"/>
      <c r="G30" s="342"/>
      <c r="H30" s="551"/>
      <c r="I30" s="594" t="e">
        <f t="shared" si="1"/>
        <v>#DIV/0!</v>
      </c>
      <c r="J30" s="594">
        <f t="shared" si="2"/>
        <v>0</v>
      </c>
    </row>
    <row r="31" spans="2:10" ht="12.75" hidden="1" customHeight="1">
      <c r="B31" s="567"/>
      <c r="C31" s="596"/>
      <c r="D31" s="569" t="s">
        <v>321</v>
      </c>
      <c r="E31" s="570"/>
      <c r="F31" s="342"/>
      <c r="G31" s="342"/>
      <c r="H31" s="551"/>
      <c r="I31" s="594" t="e">
        <f t="shared" si="1"/>
        <v>#DIV/0!</v>
      </c>
      <c r="J31" s="594">
        <f t="shared" si="2"/>
        <v>0</v>
      </c>
    </row>
    <row r="32" spans="2:10" ht="12.75" hidden="1" customHeight="1">
      <c r="B32" s="567"/>
      <c r="C32" s="596"/>
      <c r="D32" s="567" t="s">
        <v>797</v>
      </c>
      <c r="E32" s="568"/>
      <c r="F32" s="342"/>
      <c r="G32" s="342"/>
      <c r="H32" s="551"/>
      <c r="I32" s="594" t="e">
        <f t="shared" si="1"/>
        <v>#DIV/0!</v>
      </c>
      <c r="J32" s="594">
        <f t="shared" si="2"/>
        <v>0</v>
      </c>
    </row>
    <row r="33" spans="2:10" ht="12.75" hidden="1" customHeight="1">
      <c r="B33" s="567"/>
      <c r="C33" s="596"/>
      <c r="D33" s="567" t="s">
        <v>322</v>
      </c>
      <c r="E33" s="342"/>
      <c r="F33" s="342"/>
      <c r="G33" s="342"/>
      <c r="H33" s="551"/>
      <c r="I33" s="594" t="e">
        <f t="shared" si="1"/>
        <v>#DIV/0!</v>
      </c>
      <c r="J33" s="594">
        <f t="shared" si="2"/>
        <v>0</v>
      </c>
    </row>
    <row r="34" spans="2:10" ht="12.75" hidden="1" customHeight="1">
      <c r="B34" s="567"/>
      <c r="C34" s="596">
        <v>1701051164</v>
      </c>
      <c r="D34" s="567" t="s">
        <v>541</v>
      </c>
      <c r="E34" s="568"/>
      <c r="F34" s="342"/>
      <c r="G34" s="342"/>
      <c r="H34" s="551"/>
      <c r="I34" s="594" t="e">
        <f t="shared" si="1"/>
        <v>#DIV/0!</v>
      </c>
      <c r="J34" s="594">
        <f t="shared" si="2"/>
        <v>0</v>
      </c>
    </row>
    <row r="35" spans="2:10" s="566" customFormat="1" ht="29.25" customHeight="1">
      <c r="B35" s="562" t="s">
        <v>323</v>
      </c>
      <c r="C35" s="601"/>
      <c r="D35" s="563" t="s">
        <v>324</v>
      </c>
      <c r="E35" s="572">
        <f>SUM(E37:E75)</f>
        <v>468.5</v>
      </c>
      <c r="F35" s="572">
        <f t="shared" ref="F35:H35" si="4">SUM(F37:F75)</f>
        <v>91.502389999999991</v>
      </c>
      <c r="G35" s="572">
        <f t="shared" si="4"/>
        <v>782.20159999999998</v>
      </c>
      <c r="H35" s="572">
        <f t="shared" si="4"/>
        <v>826.58276000000001</v>
      </c>
      <c r="I35" s="594">
        <f t="shared" si="1"/>
        <v>9.0334554102903777</v>
      </c>
      <c r="J35" s="594">
        <f t="shared" si="2"/>
        <v>44.381160000000023</v>
      </c>
    </row>
    <row r="36" spans="2:10" s="574" customFormat="1" ht="12.6" customHeight="1">
      <c r="B36" s="562"/>
      <c r="C36" s="601"/>
      <c r="D36" s="563" t="s">
        <v>325</v>
      </c>
      <c r="E36" s="571">
        <f>SUM(E38:E61)</f>
        <v>0</v>
      </c>
      <c r="F36" s="571">
        <f t="shared" ref="F36:H36" si="5">SUM(F38:F61)</f>
        <v>6.5895099999999998</v>
      </c>
      <c r="G36" s="571">
        <f t="shared" si="5"/>
        <v>2.5158499999999999</v>
      </c>
      <c r="H36" s="571">
        <f t="shared" si="5"/>
        <v>49.520849999999996</v>
      </c>
      <c r="I36" s="594">
        <f t="shared" si="1"/>
        <v>7.5151035509468835</v>
      </c>
      <c r="J36" s="594">
        <f t="shared" si="2"/>
        <v>47.004999999999995</v>
      </c>
    </row>
    <row r="37" spans="2:10" ht="13.9" hidden="1" customHeight="1">
      <c r="B37" s="567"/>
      <c r="C37" s="596"/>
      <c r="D37" s="569" t="s">
        <v>326</v>
      </c>
      <c r="E37" s="570"/>
      <c r="F37" s="342"/>
      <c r="G37" s="342"/>
      <c r="H37" s="551"/>
      <c r="I37" s="594" t="e">
        <f t="shared" si="1"/>
        <v>#DIV/0!</v>
      </c>
      <c r="J37" s="594">
        <f t="shared" si="2"/>
        <v>0</v>
      </c>
    </row>
    <row r="38" spans="2:10" ht="14.45" hidden="1" customHeight="1">
      <c r="B38" s="567"/>
      <c r="C38" s="596"/>
      <c r="D38" s="569" t="s">
        <v>327</v>
      </c>
      <c r="E38" s="570"/>
      <c r="F38" s="342"/>
      <c r="G38" s="342"/>
      <c r="H38" s="551"/>
      <c r="I38" s="594" t="e">
        <f t="shared" si="1"/>
        <v>#DIV/0!</v>
      </c>
      <c r="J38" s="594">
        <f t="shared" si="2"/>
        <v>0</v>
      </c>
    </row>
    <row r="39" spans="2:10" ht="12.75" hidden="1" customHeight="1">
      <c r="B39" s="567"/>
      <c r="C39" s="596"/>
      <c r="D39" s="569" t="s">
        <v>328</v>
      </c>
      <c r="E39" s="570"/>
      <c r="F39" s="342"/>
      <c r="G39" s="342"/>
      <c r="H39" s="551"/>
      <c r="I39" s="594" t="e">
        <f t="shared" si="1"/>
        <v>#DIV/0!</v>
      </c>
      <c r="J39" s="594">
        <f t="shared" si="2"/>
        <v>0</v>
      </c>
    </row>
    <row r="40" spans="2:10" ht="12.75" hidden="1" customHeight="1">
      <c r="B40" s="567"/>
      <c r="C40" s="596"/>
      <c r="D40" s="567" t="s">
        <v>329</v>
      </c>
      <c r="E40" s="568"/>
      <c r="F40" s="342"/>
      <c r="G40" s="342"/>
      <c r="H40" s="551"/>
      <c r="I40" s="594" t="e">
        <f t="shared" si="1"/>
        <v>#DIV/0!</v>
      </c>
      <c r="J40" s="594">
        <f t="shared" si="2"/>
        <v>0</v>
      </c>
    </row>
    <row r="41" spans="2:10" ht="13.5" hidden="1" customHeight="1">
      <c r="B41" s="567"/>
      <c r="C41" s="597" t="s">
        <v>893</v>
      </c>
      <c r="D41" s="575" t="s">
        <v>894</v>
      </c>
      <c r="E41" s="568"/>
      <c r="F41" s="342"/>
      <c r="G41" s="342"/>
      <c r="H41" s="551"/>
      <c r="I41" s="594" t="e">
        <f t="shared" si="1"/>
        <v>#DIV/0!</v>
      </c>
      <c r="J41" s="594">
        <f t="shared" si="2"/>
        <v>0</v>
      </c>
    </row>
    <row r="42" spans="2:10" ht="13.5" hidden="1" customHeight="1">
      <c r="B42" s="567"/>
      <c r="C42" s="597"/>
      <c r="D42" s="575" t="s">
        <v>895</v>
      </c>
      <c r="E42" s="568"/>
      <c r="F42" s="342"/>
      <c r="G42" s="342"/>
      <c r="H42" s="551"/>
      <c r="I42" s="594" t="e">
        <f t="shared" si="1"/>
        <v>#DIV/0!</v>
      </c>
      <c r="J42" s="594">
        <f t="shared" si="2"/>
        <v>0</v>
      </c>
    </row>
    <row r="43" spans="2:10" ht="13.5" hidden="1" customHeight="1">
      <c r="B43" s="567"/>
      <c r="C43" s="597"/>
      <c r="D43" s="575" t="s">
        <v>896</v>
      </c>
      <c r="E43" s="568"/>
      <c r="F43" s="342"/>
      <c r="G43" s="342"/>
      <c r="H43" s="551"/>
      <c r="I43" s="594" t="e">
        <f t="shared" si="1"/>
        <v>#DIV/0!</v>
      </c>
      <c r="J43" s="594">
        <f t="shared" si="2"/>
        <v>0</v>
      </c>
    </row>
    <row r="44" spans="2:10" ht="13.5" hidden="1" customHeight="1">
      <c r="B44" s="567"/>
      <c r="C44" s="597"/>
      <c r="D44" s="575" t="s">
        <v>897</v>
      </c>
      <c r="E44" s="568"/>
      <c r="F44" s="342"/>
      <c r="G44" s="342"/>
      <c r="H44" s="551"/>
      <c r="I44" s="594" t="e">
        <f t="shared" si="1"/>
        <v>#DIV/0!</v>
      </c>
      <c r="J44" s="594">
        <f t="shared" si="2"/>
        <v>0</v>
      </c>
    </row>
    <row r="45" spans="2:10" ht="13.5" customHeight="1">
      <c r="B45" s="567"/>
      <c r="C45" s="602" t="s">
        <v>920</v>
      </c>
      <c r="D45" s="575" t="s">
        <v>898</v>
      </c>
      <c r="E45" s="568"/>
      <c r="F45" s="342"/>
      <c r="G45" s="342"/>
      <c r="H45" s="551">
        <v>41.311999999999998</v>
      </c>
      <c r="I45" s="594">
        <v>0</v>
      </c>
      <c r="J45" s="594">
        <f t="shared" si="2"/>
        <v>41.311999999999998</v>
      </c>
    </row>
    <row r="46" spans="2:10" ht="13.5" hidden="1" customHeight="1">
      <c r="B46" s="567"/>
      <c r="C46" s="597"/>
      <c r="D46" s="567" t="s">
        <v>899</v>
      </c>
      <c r="E46" s="568"/>
      <c r="F46" s="342"/>
      <c r="G46" s="342"/>
      <c r="H46" s="551"/>
      <c r="I46" s="594" t="e">
        <f t="shared" si="1"/>
        <v>#DIV/0!</v>
      </c>
      <c r="J46" s="594">
        <f t="shared" si="2"/>
        <v>0</v>
      </c>
    </row>
    <row r="47" spans="2:10" ht="12.75" customHeight="1">
      <c r="B47" s="567"/>
      <c r="C47" s="596"/>
      <c r="D47" s="567" t="s">
        <v>900</v>
      </c>
      <c r="E47" s="342"/>
      <c r="F47" s="342">
        <v>5.36259</v>
      </c>
      <c r="G47" s="342">
        <v>0</v>
      </c>
      <c r="H47" s="591"/>
      <c r="I47" s="594">
        <f t="shared" si="1"/>
        <v>0</v>
      </c>
      <c r="J47" s="594">
        <f t="shared" si="2"/>
        <v>0</v>
      </c>
    </row>
    <row r="48" spans="2:10" ht="12.75" hidden="1" customHeight="1">
      <c r="B48" s="567"/>
      <c r="C48" s="596"/>
      <c r="D48" s="567" t="s">
        <v>334</v>
      </c>
      <c r="E48" s="342"/>
      <c r="F48" s="342"/>
      <c r="G48" s="342"/>
      <c r="H48" s="591"/>
      <c r="I48" s="594" t="e">
        <f t="shared" si="1"/>
        <v>#DIV/0!</v>
      </c>
      <c r="J48" s="594">
        <f t="shared" si="2"/>
        <v>0</v>
      </c>
    </row>
    <row r="49" spans="2:10" ht="12.75" hidden="1" customHeight="1">
      <c r="B49" s="567"/>
      <c r="C49" s="596"/>
      <c r="D49" s="567" t="s">
        <v>901</v>
      </c>
      <c r="E49" s="342"/>
      <c r="F49" s="342"/>
      <c r="G49" s="342">
        <v>0</v>
      </c>
      <c r="H49" s="591"/>
      <c r="I49" s="594" t="e">
        <f t="shared" si="1"/>
        <v>#DIV/0!</v>
      </c>
      <c r="J49" s="594">
        <f t="shared" si="2"/>
        <v>0</v>
      </c>
    </row>
    <row r="50" spans="2:10" ht="12.75" hidden="1" customHeight="1">
      <c r="B50" s="567"/>
      <c r="C50" s="596"/>
      <c r="D50" s="567" t="s">
        <v>336</v>
      </c>
      <c r="E50" s="342"/>
      <c r="F50" s="342"/>
      <c r="G50" s="342"/>
      <c r="H50" s="551"/>
      <c r="I50" s="594" t="e">
        <f t="shared" si="1"/>
        <v>#DIV/0!</v>
      </c>
      <c r="J50" s="594">
        <f t="shared" si="2"/>
        <v>0</v>
      </c>
    </row>
    <row r="51" spans="2:10" ht="12.75" customHeight="1">
      <c r="B51" s="567"/>
      <c r="C51" s="602" t="s">
        <v>919</v>
      </c>
      <c r="D51" s="576" t="s">
        <v>337</v>
      </c>
      <c r="E51" s="342"/>
      <c r="F51" s="342"/>
      <c r="G51" s="342">
        <v>0.63073999999999997</v>
      </c>
      <c r="H51" s="551">
        <v>0.63073999999999997</v>
      </c>
      <c r="I51" s="594">
        <v>0</v>
      </c>
      <c r="J51" s="594">
        <f t="shared" si="2"/>
        <v>0</v>
      </c>
    </row>
    <row r="52" spans="2:10" ht="12.75" hidden="1" customHeight="1">
      <c r="B52" s="567"/>
      <c r="C52" s="596"/>
      <c r="D52" s="567" t="s">
        <v>542</v>
      </c>
      <c r="E52" s="342"/>
      <c r="F52" s="342"/>
      <c r="G52" s="342"/>
      <c r="H52" s="551"/>
      <c r="I52" s="594" t="e">
        <f t="shared" si="1"/>
        <v>#DIV/0!</v>
      </c>
      <c r="J52" s="594">
        <f t="shared" si="2"/>
        <v>0</v>
      </c>
    </row>
    <row r="53" spans="2:10" ht="12.75" hidden="1" customHeight="1">
      <c r="B53" s="567"/>
      <c r="C53" s="596">
        <v>1718001524</v>
      </c>
      <c r="D53" s="567" t="s">
        <v>902</v>
      </c>
      <c r="E53" s="342"/>
      <c r="F53" s="342"/>
      <c r="G53" s="342">
        <v>0</v>
      </c>
      <c r="H53" s="591"/>
      <c r="I53" s="594" t="e">
        <f t="shared" si="1"/>
        <v>#DIV/0!</v>
      </c>
      <c r="J53" s="594">
        <f t="shared" si="2"/>
        <v>0</v>
      </c>
    </row>
    <row r="54" spans="2:10" ht="12.75" hidden="1" customHeight="1">
      <c r="B54" s="567"/>
      <c r="C54" s="596"/>
      <c r="D54" s="567" t="s">
        <v>339</v>
      </c>
      <c r="E54" s="342"/>
      <c r="F54" s="342"/>
      <c r="G54" s="342"/>
      <c r="H54" s="551"/>
      <c r="I54" s="594" t="e">
        <f t="shared" si="1"/>
        <v>#DIV/0!</v>
      </c>
      <c r="J54" s="594">
        <f t="shared" si="2"/>
        <v>0</v>
      </c>
    </row>
    <row r="55" spans="2:10" ht="12.75" hidden="1" customHeight="1">
      <c r="B55" s="567"/>
      <c r="C55" s="596"/>
      <c r="D55" s="567" t="s">
        <v>696</v>
      </c>
      <c r="E55" s="342"/>
      <c r="F55" s="342"/>
      <c r="G55" s="342"/>
      <c r="H55" s="551"/>
      <c r="I55" s="594" t="e">
        <f t="shared" si="1"/>
        <v>#DIV/0!</v>
      </c>
      <c r="J55" s="594">
        <f t="shared" si="2"/>
        <v>0</v>
      </c>
    </row>
    <row r="56" spans="2:10" ht="12.75" hidden="1" customHeight="1">
      <c r="B56" s="567"/>
      <c r="C56" s="596">
        <v>1718002574</v>
      </c>
      <c r="D56" s="567" t="s">
        <v>697</v>
      </c>
      <c r="E56" s="342"/>
      <c r="F56" s="342"/>
      <c r="G56" s="342"/>
      <c r="H56" s="551"/>
      <c r="I56" s="594" t="e">
        <f t="shared" si="1"/>
        <v>#DIV/0!</v>
      </c>
      <c r="J56" s="594">
        <f t="shared" si="2"/>
        <v>0</v>
      </c>
    </row>
    <row r="57" spans="2:10" ht="12.75" hidden="1" customHeight="1">
      <c r="B57" s="567"/>
      <c r="C57" s="596"/>
      <c r="D57" s="576" t="s">
        <v>340</v>
      </c>
      <c r="E57" s="342"/>
      <c r="F57" s="342"/>
      <c r="G57" s="342"/>
      <c r="H57" s="551"/>
      <c r="I57" s="594" t="e">
        <f t="shared" si="1"/>
        <v>#DIV/0!</v>
      </c>
      <c r="J57" s="594">
        <f t="shared" si="2"/>
        <v>0</v>
      </c>
    </row>
    <row r="58" spans="2:10" ht="12.75" customHeight="1">
      <c r="B58" s="567"/>
      <c r="C58" s="602" t="s">
        <v>918</v>
      </c>
      <c r="D58" s="576" t="s">
        <v>696</v>
      </c>
      <c r="E58" s="342"/>
      <c r="F58" s="342">
        <v>1.22692</v>
      </c>
      <c r="G58" s="342"/>
      <c r="H58" s="551">
        <v>5.6929999999999996</v>
      </c>
      <c r="I58" s="594">
        <f t="shared" si="1"/>
        <v>4.640074332474815</v>
      </c>
      <c r="J58" s="594">
        <f t="shared" si="2"/>
        <v>5.6929999999999996</v>
      </c>
    </row>
    <row r="59" spans="2:10" ht="12.75" customHeight="1">
      <c r="B59" s="567"/>
      <c r="C59" s="602" t="s">
        <v>921</v>
      </c>
      <c r="D59" s="567" t="s">
        <v>903</v>
      </c>
      <c r="E59" s="342">
        <v>0</v>
      </c>
      <c r="F59" s="342"/>
      <c r="G59" s="342">
        <v>1.8851100000000001</v>
      </c>
      <c r="H59" s="551">
        <v>1.8851100000000001</v>
      </c>
      <c r="I59" s="594">
        <v>0</v>
      </c>
      <c r="J59" s="594">
        <f t="shared" si="2"/>
        <v>0</v>
      </c>
    </row>
    <row r="60" spans="2:10" ht="12" hidden="1" customHeight="1">
      <c r="B60" s="567"/>
      <c r="C60" s="596"/>
      <c r="D60" s="567" t="s">
        <v>342</v>
      </c>
      <c r="E60" s="342"/>
      <c r="F60" s="342"/>
      <c r="G60" s="342"/>
      <c r="H60" s="551"/>
      <c r="I60" s="594" t="e">
        <f t="shared" si="1"/>
        <v>#DIV/0!</v>
      </c>
      <c r="J60" s="594">
        <f t="shared" si="2"/>
        <v>0</v>
      </c>
    </row>
    <row r="61" spans="2:10" ht="12.75" hidden="1" customHeight="1">
      <c r="B61" s="567"/>
      <c r="C61" s="596"/>
      <c r="D61" s="576" t="s">
        <v>343</v>
      </c>
      <c r="E61" s="342"/>
      <c r="F61" s="342"/>
      <c r="G61" s="342"/>
      <c r="H61" s="551"/>
      <c r="I61" s="594" t="e">
        <f t="shared" si="1"/>
        <v>#DIV/0!</v>
      </c>
      <c r="J61" s="594">
        <f t="shared" si="2"/>
        <v>0</v>
      </c>
    </row>
    <row r="62" spans="2:10" ht="15.75" customHeight="1">
      <c r="B62" s="567"/>
      <c r="C62" s="596">
        <v>1718002447</v>
      </c>
      <c r="D62" s="567" t="s">
        <v>544</v>
      </c>
      <c r="E62" s="342">
        <v>262.89999999999998</v>
      </c>
      <c r="F62" s="342"/>
      <c r="G62" s="342">
        <v>188.76393999999999</v>
      </c>
      <c r="H62" s="551">
        <v>204.63094000000001</v>
      </c>
      <c r="I62" s="594">
        <v>0</v>
      </c>
      <c r="J62" s="594">
        <f t="shared" si="2"/>
        <v>15.867000000000019</v>
      </c>
    </row>
    <row r="63" spans="2:10">
      <c r="B63" s="567"/>
      <c r="C63" s="596">
        <v>1718002479</v>
      </c>
      <c r="D63" s="569" t="s">
        <v>698</v>
      </c>
      <c r="E63" s="342">
        <v>45.6</v>
      </c>
      <c r="F63" s="342">
        <v>9.8070699999999995</v>
      </c>
      <c r="G63" s="342">
        <v>15.124029999999999</v>
      </c>
      <c r="H63" s="551">
        <v>15.124029999999999</v>
      </c>
      <c r="I63" s="594">
        <f t="shared" si="1"/>
        <v>1.5421558120825078</v>
      </c>
      <c r="J63" s="594">
        <f t="shared" si="2"/>
        <v>0</v>
      </c>
    </row>
    <row r="64" spans="2:10" ht="15.75" customHeight="1">
      <c r="B64" s="567"/>
      <c r="C64" s="596">
        <v>1718002091</v>
      </c>
      <c r="D64" s="567" t="s">
        <v>545</v>
      </c>
      <c r="E64" s="342">
        <v>22.8</v>
      </c>
      <c r="F64" s="342">
        <v>28.788139999999999</v>
      </c>
      <c r="G64" s="342">
        <v>181.04791</v>
      </c>
      <c r="H64" s="551">
        <v>170.95902000000001</v>
      </c>
      <c r="I64" s="594">
        <f t="shared" si="1"/>
        <v>5.9385225999317779</v>
      </c>
      <c r="J64" s="594">
        <f t="shared" si="2"/>
        <v>-10.088889999999992</v>
      </c>
    </row>
    <row r="65" spans="2:10" ht="13.5" hidden="1" customHeight="1">
      <c r="B65" s="567"/>
      <c r="C65" s="596"/>
      <c r="D65" s="569" t="s">
        <v>699</v>
      </c>
      <c r="E65" s="342">
        <v>0</v>
      </c>
      <c r="F65" s="342"/>
      <c r="G65" s="342">
        <v>0</v>
      </c>
      <c r="H65" s="591"/>
      <c r="I65" s="594" t="e">
        <f t="shared" si="1"/>
        <v>#DIV/0!</v>
      </c>
      <c r="J65" s="594">
        <f t="shared" si="2"/>
        <v>0</v>
      </c>
    </row>
    <row r="66" spans="2:10" ht="13.5" hidden="1" customHeight="1">
      <c r="B66" s="567"/>
      <c r="C66" s="596"/>
      <c r="D66" s="569" t="s">
        <v>546</v>
      </c>
      <c r="E66" s="342">
        <v>0</v>
      </c>
      <c r="F66" s="342"/>
      <c r="G66" s="342"/>
      <c r="H66" s="551"/>
      <c r="I66" s="594" t="e">
        <f t="shared" si="1"/>
        <v>#DIV/0!</v>
      </c>
      <c r="J66" s="594">
        <f t="shared" si="2"/>
        <v>0</v>
      </c>
    </row>
    <row r="67" spans="2:10" ht="13.5" customHeight="1">
      <c r="B67" s="567"/>
      <c r="C67" s="596">
        <v>1718001877</v>
      </c>
      <c r="D67" s="569" t="s">
        <v>700</v>
      </c>
      <c r="E67" s="342">
        <v>42.9</v>
      </c>
      <c r="F67" s="342">
        <v>5.6600700000000002</v>
      </c>
      <c r="G67" s="342">
        <v>5.7290000000000001</v>
      </c>
      <c r="H67" s="551"/>
      <c r="I67" s="594">
        <f t="shared" si="1"/>
        <v>0</v>
      </c>
      <c r="J67" s="594">
        <f t="shared" si="2"/>
        <v>-5.7290000000000001</v>
      </c>
    </row>
    <row r="68" spans="2:10" ht="13.5" customHeight="1">
      <c r="B68" s="567"/>
      <c r="C68" s="596">
        <v>1718001901</v>
      </c>
      <c r="D68" s="569" t="s">
        <v>344</v>
      </c>
      <c r="E68" s="342">
        <v>14</v>
      </c>
      <c r="F68" s="342">
        <v>11.165139999999999</v>
      </c>
      <c r="G68" s="342">
        <v>16.562999999999999</v>
      </c>
      <c r="H68" s="551">
        <v>33.125999999999998</v>
      </c>
      <c r="I68" s="594">
        <f t="shared" si="1"/>
        <v>2.9669130884162671</v>
      </c>
      <c r="J68" s="594">
        <f t="shared" si="2"/>
        <v>16.562999999999999</v>
      </c>
    </row>
    <row r="69" spans="2:10" ht="12.75" customHeight="1">
      <c r="B69" s="567"/>
      <c r="C69" s="598" t="s">
        <v>791</v>
      </c>
      <c r="D69" s="569" t="s">
        <v>547</v>
      </c>
      <c r="E69" s="342">
        <v>40</v>
      </c>
      <c r="F69" s="342">
        <v>21.711919999999999</v>
      </c>
      <c r="G69" s="342">
        <v>114.77934</v>
      </c>
      <c r="H69" s="551">
        <v>97.168930000000003</v>
      </c>
      <c r="I69" s="594">
        <f t="shared" si="1"/>
        <v>4.4753725142686598</v>
      </c>
      <c r="J69" s="594">
        <f t="shared" si="2"/>
        <v>-17.610410000000002</v>
      </c>
    </row>
    <row r="70" spans="2:10" ht="12.75" customHeight="1">
      <c r="B70" s="567"/>
      <c r="C70" s="596">
        <v>1718001884</v>
      </c>
      <c r="D70" s="569" t="s">
        <v>345</v>
      </c>
      <c r="E70" s="342">
        <v>1</v>
      </c>
      <c r="F70" s="342"/>
      <c r="G70" s="342">
        <v>126.4862</v>
      </c>
      <c r="H70" s="551">
        <v>140.28899000000001</v>
      </c>
      <c r="I70" s="594">
        <v>0</v>
      </c>
      <c r="J70" s="594">
        <f t="shared" ref="J70:J122" si="6">H70-G70</f>
        <v>13.802790000000016</v>
      </c>
    </row>
    <row r="71" spans="2:10" ht="12.75" customHeight="1">
      <c r="B71" s="567"/>
      <c r="C71" s="596"/>
      <c r="D71" s="569" t="s">
        <v>548</v>
      </c>
      <c r="E71" s="342">
        <v>0</v>
      </c>
      <c r="F71" s="342"/>
      <c r="G71" s="342">
        <v>2.61808</v>
      </c>
      <c r="H71" s="551"/>
      <c r="I71" s="594">
        <v>0</v>
      </c>
      <c r="J71" s="594">
        <f t="shared" si="6"/>
        <v>-2.61808</v>
      </c>
    </row>
    <row r="72" spans="2:10">
      <c r="B72" s="567"/>
      <c r="C72" s="596">
        <v>1718002084</v>
      </c>
      <c r="D72" s="569" t="s">
        <v>389</v>
      </c>
      <c r="E72" s="342">
        <v>39.299999999999997</v>
      </c>
      <c r="F72" s="342">
        <v>0.20230999999999999</v>
      </c>
      <c r="G72" s="342">
        <v>0</v>
      </c>
      <c r="H72" s="591"/>
      <c r="I72" s="594">
        <f t="shared" ref="I72:I122" si="7">H72/F72</f>
        <v>0</v>
      </c>
      <c r="J72" s="594">
        <f t="shared" si="6"/>
        <v>0</v>
      </c>
    </row>
    <row r="73" spans="2:10" ht="12" customHeight="1">
      <c r="B73" s="567"/>
      <c r="C73" s="596">
        <v>1718002060</v>
      </c>
      <c r="D73" s="569" t="s">
        <v>904</v>
      </c>
      <c r="E73" s="342">
        <v>0</v>
      </c>
      <c r="F73" s="342">
        <v>7.5782299999999996</v>
      </c>
      <c r="G73" s="342">
        <v>8.07</v>
      </c>
      <c r="H73" s="551"/>
      <c r="I73" s="594">
        <f t="shared" si="7"/>
        <v>0</v>
      </c>
      <c r="J73" s="594">
        <f t="shared" si="6"/>
        <v>-8.07</v>
      </c>
    </row>
    <row r="74" spans="2:10" ht="12" hidden="1" customHeight="1">
      <c r="B74" s="567"/>
      <c r="C74" s="596"/>
      <c r="D74" s="567" t="s">
        <v>348</v>
      </c>
      <c r="E74" s="342"/>
      <c r="F74" s="342"/>
      <c r="G74" s="342"/>
      <c r="H74" s="551"/>
      <c r="I74" s="594" t="e">
        <f t="shared" si="7"/>
        <v>#DIV/0!</v>
      </c>
      <c r="J74" s="594">
        <f t="shared" si="6"/>
        <v>0</v>
      </c>
    </row>
    <row r="75" spans="2:10" ht="12.75" customHeight="1">
      <c r="B75" s="567"/>
      <c r="C75" s="596">
        <v>1718002694</v>
      </c>
      <c r="D75" s="567" t="s">
        <v>549</v>
      </c>
      <c r="E75" s="342">
        <v>0</v>
      </c>
      <c r="F75" s="342"/>
      <c r="G75" s="342">
        <v>120.50425</v>
      </c>
      <c r="H75" s="551">
        <v>115.764</v>
      </c>
      <c r="I75" s="594">
        <v>0</v>
      </c>
      <c r="J75" s="594">
        <f t="shared" si="6"/>
        <v>-4.7402500000000032</v>
      </c>
    </row>
    <row r="76" spans="2:10" s="566" customFormat="1">
      <c r="B76" s="562" t="s">
        <v>354</v>
      </c>
      <c r="C76" s="601"/>
      <c r="D76" s="563" t="s">
        <v>355</v>
      </c>
      <c r="E76" s="577">
        <f>SUM(E77:E83)</f>
        <v>181.64000000000001</v>
      </c>
      <c r="F76" s="572">
        <f>SUM(F77:F83)</f>
        <v>2.1188099999999999</v>
      </c>
      <c r="G76" s="572">
        <f>SUM(G77:G83)</f>
        <v>4536.8186500000002</v>
      </c>
      <c r="H76" s="572">
        <f>SUM(H77:H83)</f>
        <v>7141.4321400000008</v>
      </c>
      <c r="I76" s="594">
        <f t="shared" si="7"/>
        <v>3370.4919931470972</v>
      </c>
      <c r="J76" s="594">
        <f t="shared" si="6"/>
        <v>2604.6134900000006</v>
      </c>
    </row>
    <row r="77" spans="2:10">
      <c r="B77" s="567"/>
      <c r="C77" s="597" t="s">
        <v>905</v>
      </c>
      <c r="D77" s="567" t="s">
        <v>550</v>
      </c>
      <c r="E77" s="342">
        <v>0</v>
      </c>
      <c r="F77" s="342"/>
      <c r="G77" s="342">
        <v>13.439</v>
      </c>
      <c r="H77" s="552">
        <v>13.439</v>
      </c>
      <c r="I77" s="594">
        <v>0</v>
      </c>
      <c r="J77" s="594">
        <f t="shared" si="6"/>
        <v>0</v>
      </c>
    </row>
    <row r="78" spans="2:10" ht="12.75" hidden="1" customHeight="1">
      <c r="B78" s="567"/>
      <c r="C78" s="596"/>
      <c r="D78" s="569" t="s">
        <v>358</v>
      </c>
      <c r="E78" s="342"/>
      <c r="F78" s="342"/>
      <c r="G78" s="342"/>
      <c r="H78" s="552"/>
      <c r="I78" s="594" t="e">
        <f t="shared" si="7"/>
        <v>#DIV/0!</v>
      </c>
      <c r="J78" s="594">
        <f t="shared" si="6"/>
        <v>0</v>
      </c>
    </row>
    <row r="79" spans="2:10" ht="12.75" customHeight="1">
      <c r="B79" s="567"/>
      <c r="C79" s="596">
        <v>1701036423</v>
      </c>
      <c r="D79" s="569" t="s">
        <v>798</v>
      </c>
      <c r="E79" s="342">
        <v>0.01</v>
      </c>
      <c r="F79" s="342"/>
      <c r="G79" s="342">
        <v>5.885E-2</v>
      </c>
      <c r="H79" s="552">
        <v>1464.02782</v>
      </c>
      <c r="I79" s="594">
        <v>0</v>
      </c>
      <c r="J79" s="594">
        <f t="shared" si="6"/>
        <v>1463.9689700000001</v>
      </c>
    </row>
    <row r="80" spans="2:10">
      <c r="B80" s="567"/>
      <c r="C80" s="596">
        <v>1718000922</v>
      </c>
      <c r="D80" s="569" t="s">
        <v>359</v>
      </c>
      <c r="E80" s="342">
        <v>10.9</v>
      </c>
      <c r="F80" s="342">
        <v>0.10796</v>
      </c>
      <c r="G80" s="342">
        <v>0</v>
      </c>
      <c r="H80" s="552"/>
      <c r="I80" s="594">
        <f t="shared" si="7"/>
        <v>0</v>
      </c>
      <c r="J80" s="594">
        <f t="shared" si="6"/>
        <v>0</v>
      </c>
    </row>
    <row r="81" spans="2:10">
      <c r="B81" s="567"/>
      <c r="C81" s="596">
        <v>1718002454</v>
      </c>
      <c r="D81" s="569" t="s">
        <v>771</v>
      </c>
      <c r="E81" s="342">
        <v>168</v>
      </c>
      <c r="F81" s="342">
        <v>2</v>
      </c>
      <c r="G81" s="342">
        <v>0</v>
      </c>
      <c r="H81" s="552"/>
      <c r="I81" s="594">
        <f t="shared" si="7"/>
        <v>0</v>
      </c>
      <c r="J81" s="594">
        <f t="shared" si="6"/>
        <v>0</v>
      </c>
    </row>
    <row r="82" spans="2:10" ht="27.75" customHeight="1">
      <c r="B82" s="578"/>
      <c r="C82" s="596">
        <v>1701055472</v>
      </c>
      <c r="D82" s="569" t="s">
        <v>770</v>
      </c>
      <c r="E82" s="342">
        <v>0.11</v>
      </c>
      <c r="F82" s="342"/>
      <c r="G82" s="342">
        <v>269.31</v>
      </c>
      <c r="H82" s="552">
        <v>276.29899999999998</v>
      </c>
      <c r="I82" s="594">
        <v>0</v>
      </c>
      <c r="J82" s="594">
        <f t="shared" si="6"/>
        <v>6.9889999999999759</v>
      </c>
    </row>
    <row r="83" spans="2:10">
      <c r="B83" s="567"/>
      <c r="C83" s="596">
        <v>1718000658</v>
      </c>
      <c r="D83" s="567" t="s">
        <v>360</v>
      </c>
      <c r="E83" s="342">
        <v>2.62</v>
      </c>
      <c r="F83" s="342">
        <v>1.085E-2</v>
      </c>
      <c r="G83" s="342">
        <v>4254.0108</v>
      </c>
      <c r="H83" s="552">
        <v>5387.6663200000003</v>
      </c>
      <c r="I83" s="594">
        <f t="shared" si="7"/>
        <v>496559.10783410142</v>
      </c>
      <c r="J83" s="594">
        <f t="shared" si="6"/>
        <v>1133.6555200000003</v>
      </c>
    </row>
    <row r="84" spans="2:10" s="566" customFormat="1" ht="27" customHeight="1">
      <c r="B84" s="562" t="s">
        <v>361</v>
      </c>
      <c r="C84" s="601"/>
      <c r="D84" s="563" t="s">
        <v>362</v>
      </c>
      <c r="E84" s="572">
        <f>SUM(E85:E118)</f>
        <v>2857.9999999999991</v>
      </c>
      <c r="F84" s="572">
        <f t="shared" ref="F84:H84" si="8">SUM(F85:F118)</f>
        <v>1531.0511100000001</v>
      </c>
      <c r="G84" s="572">
        <f t="shared" si="8"/>
        <v>3949.3773300000003</v>
      </c>
      <c r="H84" s="572">
        <f t="shared" si="8"/>
        <v>1278.8186000000001</v>
      </c>
      <c r="I84" s="594">
        <f t="shared" si="7"/>
        <v>0.83525532991514562</v>
      </c>
      <c r="J84" s="594">
        <f t="shared" si="6"/>
        <v>-2670.5587300000002</v>
      </c>
    </row>
    <row r="85" spans="2:10" ht="16.5" customHeight="1">
      <c r="B85" s="578"/>
      <c r="C85" s="598" t="s">
        <v>799</v>
      </c>
      <c r="D85" s="569" t="s">
        <v>906</v>
      </c>
      <c r="E85" s="342">
        <v>1.6</v>
      </c>
      <c r="F85" s="342">
        <v>60.844749999999998</v>
      </c>
      <c r="G85" s="342">
        <v>30.734000000000002</v>
      </c>
      <c r="H85" s="551">
        <v>30.734000000000002</v>
      </c>
      <c r="I85" s="594">
        <f t="shared" si="7"/>
        <v>0.5051216415549411</v>
      </c>
      <c r="J85" s="594">
        <f t="shared" si="6"/>
        <v>0</v>
      </c>
    </row>
    <row r="86" spans="2:10" ht="12.75" customHeight="1">
      <c r="B86" s="567"/>
      <c r="C86" s="596">
        <v>1718002126</v>
      </c>
      <c r="D86" s="567" t="s">
        <v>365</v>
      </c>
      <c r="E86" s="342">
        <v>2.7</v>
      </c>
      <c r="F86" s="342">
        <v>86.405439999999999</v>
      </c>
      <c r="G86" s="342">
        <v>10.532080000000001</v>
      </c>
      <c r="H86" s="551">
        <v>10.532080000000001</v>
      </c>
      <c r="I86" s="594">
        <f t="shared" si="7"/>
        <v>0.12189139943040624</v>
      </c>
      <c r="J86" s="594">
        <f t="shared" si="6"/>
        <v>0</v>
      </c>
    </row>
    <row r="87" spans="2:10" ht="12.75" customHeight="1">
      <c r="B87" s="567"/>
      <c r="C87" s="596">
        <v>1718002246</v>
      </c>
      <c r="D87" s="567" t="s">
        <v>366</v>
      </c>
      <c r="E87" s="342">
        <v>766.3</v>
      </c>
      <c r="F87" s="342">
        <v>66.543310000000005</v>
      </c>
      <c r="G87" s="342">
        <v>58.531010000000002</v>
      </c>
      <c r="H87" s="551">
        <v>58.531010000000002</v>
      </c>
      <c r="I87" s="594">
        <f t="shared" si="7"/>
        <v>0.8795927043605134</v>
      </c>
      <c r="J87" s="594">
        <f t="shared" si="6"/>
        <v>0</v>
      </c>
    </row>
    <row r="88" spans="2:10">
      <c r="B88" s="567"/>
      <c r="C88" s="596">
        <v>5406306334</v>
      </c>
      <c r="D88" s="567" t="s">
        <v>907</v>
      </c>
      <c r="E88" s="342">
        <v>0.5</v>
      </c>
      <c r="F88" s="342">
        <v>0.48908000000000001</v>
      </c>
      <c r="G88" s="342">
        <v>0</v>
      </c>
      <c r="H88" s="551"/>
      <c r="I88" s="594">
        <f t="shared" si="7"/>
        <v>0</v>
      </c>
      <c r="J88" s="594">
        <f t="shared" si="6"/>
        <v>0</v>
      </c>
    </row>
    <row r="89" spans="2:10" ht="12.75" customHeight="1">
      <c r="B89" s="567"/>
      <c r="C89" s="596"/>
      <c r="D89" s="567" t="s">
        <v>554</v>
      </c>
      <c r="E89" s="342">
        <v>0</v>
      </c>
      <c r="F89" s="342"/>
      <c r="G89" s="342">
        <v>0</v>
      </c>
      <c r="H89" s="551"/>
      <c r="I89" s="594">
        <v>0</v>
      </c>
      <c r="J89" s="594">
        <f t="shared" si="6"/>
        <v>0</v>
      </c>
    </row>
    <row r="90" spans="2:10" ht="12.75" customHeight="1">
      <c r="B90" s="567"/>
      <c r="C90" s="596">
        <v>1718002510</v>
      </c>
      <c r="D90" s="567" t="s">
        <v>555</v>
      </c>
      <c r="E90" s="342">
        <v>41.1</v>
      </c>
      <c r="F90" s="342">
        <v>11.914300000000001</v>
      </c>
      <c r="G90" s="342">
        <v>3159.0432000000001</v>
      </c>
      <c r="H90" s="551"/>
      <c r="I90" s="594">
        <f t="shared" si="7"/>
        <v>0</v>
      </c>
      <c r="J90" s="594">
        <f t="shared" si="6"/>
        <v>-3159.0432000000001</v>
      </c>
    </row>
    <row r="91" spans="2:10">
      <c r="B91" s="567"/>
      <c r="C91" s="596"/>
      <c r="D91" s="567" t="s">
        <v>703</v>
      </c>
      <c r="E91" s="342">
        <v>0</v>
      </c>
      <c r="F91" s="342"/>
      <c r="G91" s="342">
        <v>0</v>
      </c>
      <c r="H91" s="551"/>
      <c r="I91" s="594">
        <v>0</v>
      </c>
      <c r="J91" s="594">
        <f t="shared" si="6"/>
        <v>0</v>
      </c>
    </row>
    <row r="92" spans="2:10" ht="12" customHeight="1">
      <c r="B92" s="567"/>
      <c r="C92" s="596">
        <v>1718002020</v>
      </c>
      <c r="D92" s="567" t="s">
        <v>908</v>
      </c>
      <c r="E92" s="342">
        <v>0.9</v>
      </c>
      <c r="F92" s="342">
        <v>2.6929599999999998</v>
      </c>
      <c r="G92" s="342">
        <v>0</v>
      </c>
      <c r="H92" s="551"/>
      <c r="I92" s="594">
        <f t="shared" si="7"/>
        <v>0</v>
      </c>
      <c r="J92" s="594">
        <f t="shared" si="6"/>
        <v>0</v>
      </c>
    </row>
    <row r="93" spans="2:10" ht="13.5" customHeight="1">
      <c r="B93" s="567"/>
      <c r="C93" s="596">
        <v>1701036078</v>
      </c>
      <c r="D93" s="567" t="s">
        <v>598</v>
      </c>
      <c r="E93" s="342">
        <v>298</v>
      </c>
      <c r="F93" s="342">
        <v>13.89673</v>
      </c>
      <c r="G93" s="342">
        <v>0.45400000000000001</v>
      </c>
      <c r="H93" s="551">
        <v>10.37</v>
      </c>
      <c r="I93" s="594">
        <f t="shared" si="7"/>
        <v>0.74621871476239365</v>
      </c>
      <c r="J93" s="594">
        <f t="shared" si="6"/>
        <v>9.9159999999999986</v>
      </c>
    </row>
    <row r="94" spans="2:10">
      <c r="B94" s="567"/>
      <c r="C94" s="598" t="s">
        <v>790</v>
      </c>
      <c r="D94" s="567" t="s">
        <v>909</v>
      </c>
      <c r="E94" s="342">
        <v>727.6</v>
      </c>
      <c r="F94" s="342">
        <v>2.2906599999999999</v>
      </c>
      <c r="G94" s="342">
        <v>3.0059999999999998</v>
      </c>
      <c r="H94" s="551"/>
      <c r="I94" s="594">
        <f t="shared" si="7"/>
        <v>0</v>
      </c>
      <c r="J94" s="594">
        <f t="shared" si="6"/>
        <v>-3.0059999999999998</v>
      </c>
    </row>
    <row r="95" spans="2:10" ht="14.25" customHeight="1">
      <c r="B95" s="567"/>
      <c r="C95" s="596">
        <v>1701059029</v>
      </c>
      <c r="D95" s="567" t="s">
        <v>557</v>
      </c>
      <c r="E95" s="342">
        <v>10.5</v>
      </c>
      <c r="F95" s="342">
        <v>1.5910000000000001E-2</v>
      </c>
      <c r="G95" s="342">
        <v>0</v>
      </c>
      <c r="H95" s="551"/>
      <c r="I95" s="594">
        <f t="shared" si="7"/>
        <v>0</v>
      </c>
      <c r="J95" s="594">
        <f t="shared" si="6"/>
        <v>0</v>
      </c>
    </row>
    <row r="96" spans="2:10" ht="16.5" customHeight="1">
      <c r="B96" s="567"/>
      <c r="C96" s="596"/>
      <c r="D96" s="567" t="s">
        <v>558</v>
      </c>
      <c r="E96" s="342"/>
      <c r="F96" s="342">
        <v>2.4954299999999998</v>
      </c>
      <c r="G96" s="342"/>
      <c r="H96" s="551"/>
      <c r="I96" s="594">
        <f t="shared" si="7"/>
        <v>0</v>
      </c>
      <c r="J96" s="594">
        <f t="shared" si="6"/>
        <v>0</v>
      </c>
    </row>
    <row r="97" spans="2:10" ht="16.5" customHeight="1">
      <c r="B97" s="567"/>
      <c r="C97" s="596">
        <v>1718002630</v>
      </c>
      <c r="D97" s="567" t="s">
        <v>644</v>
      </c>
      <c r="E97" s="342">
        <v>0</v>
      </c>
      <c r="F97" s="342"/>
      <c r="G97" s="593">
        <v>24.383189999999999</v>
      </c>
      <c r="H97" s="551">
        <v>31.730789999999999</v>
      </c>
      <c r="I97" s="594">
        <v>0</v>
      </c>
      <c r="J97" s="594">
        <f t="shared" si="6"/>
        <v>7.3475999999999999</v>
      </c>
    </row>
    <row r="98" spans="2:10" ht="16.5" customHeight="1">
      <c r="B98" s="567"/>
      <c r="C98" s="596">
        <v>1718002415</v>
      </c>
      <c r="D98" s="567" t="s">
        <v>603</v>
      </c>
      <c r="E98" s="342">
        <v>0</v>
      </c>
      <c r="F98" s="342"/>
      <c r="G98" s="342">
        <v>0</v>
      </c>
      <c r="H98" s="551">
        <v>14.968</v>
      </c>
      <c r="I98" s="594">
        <v>0</v>
      </c>
      <c r="J98" s="594">
        <f t="shared" si="6"/>
        <v>14.968</v>
      </c>
    </row>
    <row r="99" spans="2:10" ht="16.5" customHeight="1">
      <c r="B99" s="567"/>
      <c r="C99" s="596"/>
      <c r="D99" s="567" t="s">
        <v>374</v>
      </c>
      <c r="E99" s="342">
        <v>835</v>
      </c>
      <c r="F99" s="342"/>
      <c r="G99" s="342">
        <v>0</v>
      </c>
      <c r="H99" s="551"/>
      <c r="I99" s="594">
        <v>0</v>
      </c>
      <c r="J99" s="594">
        <f t="shared" si="6"/>
        <v>0</v>
      </c>
    </row>
    <row r="100" spans="2:10" ht="16.5" customHeight="1">
      <c r="B100" s="567"/>
      <c r="C100" s="596">
        <v>1718001796</v>
      </c>
      <c r="D100" s="567" t="s">
        <v>568</v>
      </c>
      <c r="E100" s="342">
        <v>1</v>
      </c>
      <c r="F100" s="342"/>
      <c r="G100" s="342">
        <v>0</v>
      </c>
      <c r="H100" s="551"/>
      <c r="I100" s="594">
        <v>0</v>
      </c>
      <c r="J100" s="594">
        <f t="shared" si="6"/>
        <v>0</v>
      </c>
    </row>
    <row r="101" spans="2:10">
      <c r="B101" s="567"/>
      <c r="C101" s="596">
        <v>1718002334</v>
      </c>
      <c r="D101" s="567" t="s">
        <v>560</v>
      </c>
      <c r="E101" s="342">
        <v>44.6</v>
      </c>
      <c r="F101" s="342">
        <v>116.47197</v>
      </c>
      <c r="G101" s="342">
        <v>3.4101499999999998</v>
      </c>
      <c r="H101" s="551">
        <v>72.792150000000007</v>
      </c>
      <c r="I101" s="594">
        <f t="shared" si="7"/>
        <v>0.6249756915762652</v>
      </c>
      <c r="J101" s="594">
        <f t="shared" si="6"/>
        <v>69.382000000000005</v>
      </c>
    </row>
    <row r="102" spans="2:10" ht="12.75" customHeight="1">
      <c r="B102" s="567"/>
      <c r="C102" s="596">
        <v>1718002567</v>
      </c>
      <c r="D102" s="567" t="s">
        <v>561</v>
      </c>
      <c r="E102" s="342">
        <v>53</v>
      </c>
      <c r="F102" s="342">
        <v>68.517049999999998</v>
      </c>
      <c r="G102" s="342">
        <v>0</v>
      </c>
      <c r="H102" s="551"/>
      <c r="I102" s="594">
        <f t="shared" si="7"/>
        <v>0</v>
      </c>
      <c r="J102" s="594">
        <f t="shared" si="6"/>
        <v>0</v>
      </c>
    </row>
    <row r="103" spans="2:10" ht="12.75" customHeight="1">
      <c r="B103" s="567"/>
      <c r="C103" s="596">
        <v>1701059340</v>
      </c>
      <c r="D103" s="567" t="s">
        <v>706</v>
      </c>
      <c r="E103" s="342">
        <v>0.2</v>
      </c>
      <c r="F103" s="342">
        <v>5.6639999999999997</v>
      </c>
      <c r="G103" s="342">
        <v>0</v>
      </c>
      <c r="H103" s="551"/>
      <c r="I103" s="594">
        <f t="shared" si="7"/>
        <v>0</v>
      </c>
      <c r="J103" s="594">
        <f t="shared" si="6"/>
        <v>0</v>
      </c>
    </row>
    <row r="104" spans="2:10" ht="12.75" customHeight="1">
      <c r="B104" s="567"/>
      <c r="C104" s="598">
        <v>1718002662</v>
      </c>
      <c r="D104" s="567" t="s">
        <v>910</v>
      </c>
      <c r="E104" s="342">
        <v>0</v>
      </c>
      <c r="F104" s="342"/>
      <c r="G104" s="342">
        <v>7.6378399999999997</v>
      </c>
      <c r="H104" s="551">
        <v>21.693840000000002</v>
      </c>
      <c r="I104" s="594">
        <v>0</v>
      </c>
      <c r="J104" s="594">
        <f t="shared" si="6"/>
        <v>14.056000000000001</v>
      </c>
    </row>
    <row r="105" spans="2:10" ht="12.75" customHeight="1">
      <c r="B105" s="567"/>
      <c r="C105" s="602" t="s">
        <v>924</v>
      </c>
      <c r="D105" s="567" t="s">
        <v>925</v>
      </c>
      <c r="E105" s="342">
        <v>0</v>
      </c>
      <c r="F105" s="342"/>
      <c r="G105" s="342">
        <v>290.7543</v>
      </c>
      <c r="H105" s="551">
        <v>290.7543</v>
      </c>
      <c r="I105" s="594">
        <v>0</v>
      </c>
      <c r="J105" s="594">
        <f t="shared" si="6"/>
        <v>0</v>
      </c>
    </row>
    <row r="106" spans="2:10" ht="12.75" hidden="1" customHeight="1">
      <c r="B106" s="567"/>
      <c r="C106" s="596">
        <v>1718002609</v>
      </c>
      <c r="D106" s="567" t="s">
        <v>911</v>
      </c>
      <c r="E106" s="342"/>
      <c r="F106" s="342"/>
      <c r="G106" s="342"/>
      <c r="H106" s="551"/>
      <c r="I106" s="594" t="e">
        <f t="shared" si="7"/>
        <v>#DIV/0!</v>
      </c>
      <c r="J106" s="594">
        <f t="shared" si="6"/>
        <v>0</v>
      </c>
    </row>
    <row r="107" spans="2:10" ht="16.5" hidden="1" customHeight="1">
      <c r="B107" s="567"/>
      <c r="C107" s="596"/>
      <c r="D107" s="567" t="s">
        <v>378</v>
      </c>
      <c r="E107" s="342">
        <v>0</v>
      </c>
      <c r="F107" s="342">
        <v>0</v>
      </c>
      <c r="G107" s="342"/>
      <c r="H107" s="551"/>
      <c r="I107" s="594">
        <v>0</v>
      </c>
      <c r="J107" s="594">
        <f t="shared" si="6"/>
        <v>0</v>
      </c>
    </row>
    <row r="108" spans="2:10" ht="16.5" customHeight="1">
      <c r="B108" s="567"/>
      <c r="C108" s="596"/>
      <c r="D108" s="567" t="s">
        <v>707</v>
      </c>
      <c r="E108" s="342"/>
      <c r="F108" s="342">
        <v>1.49953</v>
      </c>
      <c r="G108" s="342"/>
      <c r="H108" s="551"/>
      <c r="I108" s="594">
        <f t="shared" si="7"/>
        <v>0</v>
      </c>
      <c r="J108" s="594">
        <f t="shared" si="6"/>
        <v>0</v>
      </c>
    </row>
    <row r="109" spans="2:10" ht="16.5" customHeight="1">
      <c r="B109" s="567"/>
      <c r="C109" s="596"/>
      <c r="D109" s="567" t="s">
        <v>802</v>
      </c>
      <c r="E109" s="342"/>
      <c r="F109" s="342">
        <v>40.078000000000003</v>
      </c>
      <c r="G109" s="342"/>
      <c r="H109" s="551"/>
      <c r="I109" s="594">
        <f t="shared" si="7"/>
        <v>0</v>
      </c>
      <c r="J109" s="594">
        <f t="shared" si="6"/>
        <v>0</v>
      </c>
    </row>
    <row r="110" spans="2:10" ht="16.5" customHeight="1">
      <c r="B110" s="567"/>
      <c r="C110" s="596"/>
      <c r="D110" s="567" t="s">
        <v>769</v>
      </c>
      <c r="E110" s="342"/>
      <c r="F110" s="342">
        <v>5.1607900000000004</v>
      </c>
      <c r="G110" s="342"/>
      <c r="H110" s="551">
        <v>75.953000000000003</v>
      </c>
      <c r="I110" s="594">
        <f t="shared" si="7"/>
        <v>14.717320410247268</v>
      </c>
      <c r="J110" s="594">
        <f t="shared" si="6"/>
        <v>75.953000000000003</v>
      </c>
    </row>
    <row r="111" spans="2:10" ht="16.5" customHeight="1">
      <c r="B111" s="567"/>
      <c r="C111" s="596">
        <v>1718001926</v>
      </c>
      <c r="D111" s="567" t="s">
        <v>379</v>
      </c>
      <c r="E111" s="342">
        <v>66.099999999999994</v>
      </c>
      <c r="F111" s="342">
        <v>949.93574999999998</v>
      </c>
      <c r="G111" s="342">
        <v>0</v>
      </c>
      <c r="H111" s="551"/>
      <c r="I111" s="594">
        <f t="shared" si="7"/>
        <v>0</v>
      </c>
      <c r="J111" s="594">
        <f t="shared" si="6"/>
        <v>0</v>
      </c>
    </row>
    <row r="112" spans="2:10" ht="12.75" customHeight="1">
      <c r="B112" s="567"/>
      <c r="C112" s="596">
        <v>1718002341</v>
      </c>
      <c r="D112" s="579" t="s">
        <v>565</v>
      </c>
      <c r="E112" s="342">
        <v>0</v>
      </c>
      <c r="F112" s="342">
        <v>90.680019999999999</v>
      </c>
      <c r="G112" s="342">
        <v>360.89156000000003</v>
      </c>
      <c r="H112" s="551">
        <v>602.63751000000002</v>
      </c>
      <c r="I112" s="594">
        <f t="shared" si="7"/>
        <v>6.6457584592504508</v>
      </c>
      <c r="J112" s="594">
        <f t="shared" si="6"/>
        <v>241.74594999999999</v>
      </c>
    </row>
    <row r="113" spans="2:10" ht="12.75" customHeight="1">
      <c r="B113" s="567"/>
      <c r="C113" s="596">
        <v>1718002422</v>
      </c>
      <c r="D113" s="567" t="s">
        <v>569</v>
      </c>
      <c r="E113" s="342">
        <v>2.7</v>
      </c>
      <c r="F113" s="342">
        <v>4.5439999999999996</v>
      </c>
      <c r="G113" s="342">
        <v>0</v>
      </c>
      <c r="H113" s="551"/>
      <c r="I113" s="594">
        <f t="shared" si="7"/>
        <v>0</v>
      </c>
      <c r="J113" s="594">
        <f t="shared" si="6"/>
        <v>0</v>
      </c>
    </row>
    <row r="114" spans="2:10" ht="12.75" customHeight="1">
      <c r="B114" s="567"/>
      <c r="C114" s="602" t="s">
        <v>923</v>
      </c>
      <c r="D114" s="567" t="s">
        <v>922</v>
      </c>
      <c r="E114" s="342"/>
      <c r="F114" s="342"/>
      <c r="G114" s="342"/>
      <c r="H114" s="551">
        <v>58.121920000000003</v>
      </c>
      <c r="I114" s="594">
        <v>0</v>
      </c>
      <c r="J114" s="594">
        <f t="shared" si="6"/>
        <v>58.121920000000003</v>
      </c>
    </row>
    <row r="115" spans="2:10" ht="12.75" customHeight="1">
      <c r="B115" s="567"/>
      <c r="C115" s="596"/>
      <c r="D115" s="567" t="s">
        <v>800</v>
      </c>
      <c r="E115" s="342"/>
      <c r="F115" s="342">
        <v>0.91142999999999996</v>
      </c>
      <c r="G115" s="342"/>
      <c r="H115" s="551"/>
      <c r="I115" s="594">
        <f t="shared" si="7"/>
        <v>0</v>
      </c>
      <c r="J115" s="594">
        <f t="shared" si="6"/>
        <v>0</v>
      </c>
    </row>
    <row r="116" spans="2:10" ht="12.75" customHeight="1">
      <c r="B116" s="567"/>
      <c r="C116" s="596"/>
      <c r="D116" s="345" t="s">
        <v>409</v>
      </c>
      <c r="E116" s="342">
        <v>2.7</v>
      </c>
      <c r="F116" s="342"/>
      <c r="G116" s="342">
        <v>0</v>
      </c>
      <c r="H116" s="551"/>
      <c r="I116" s="594">
        <v>0</v>
      </c>
      <c r="J116" s="594">
        <f t="shared" si="6"/>
        <v>0</v>
      </c>
    </row>
    <row r="117" spans="2:10" ht="12.75" customHeight="1">
      <c r="B117" s="567"/>
      <c r="C117" s="596">
        <v>1718002528</v>
      </c>
      <c r="D117" s="345" t="s">
        <v>768</v>
      </c>
      <c r="E117" s="342">
        <v>0.2</v>
      </c>
      <c r="F117" s="342"/>
      <c r="G117" s="342">
        <v>0</v>
      </c>
      <c r="H117" s="551"/>
      <c r="I117" s="594">
        <v>0</v>
      </c>
      <c r="J117" s="594">
        <f t="shared" si="6"/>
        <v>0</v>
      </c>
    </row>
    <row r="118" spans="2:10" ht="16.5" customHeight="1">
      <c r="B118" s="345"/>
      <c r="C118" s="599"/>
      <c r="D118" s="345" t="s">
        <v>767</v>
      </c>
      <c r="E118" s="342">
        <v>3.3</v>
      </c>
      <c r="F118" s="342"/>
      <c r="G118" s="342">
        <v>0</v>
      </c>
      <c r="H118" s="551"/>
      <c r="I118" s="594">
        <v>0</v>
      </c>
      <c r="J118" s="594">
        <f t="shared" si="6"/>
        <v>0</v>
      </c>
    </row>
    <row r="119" spans="2:10" s="583" customFormat="1" ht="12.75" customHeight="1">
      <c r="B119" s="580"/>
      <c r="C119" s="600"/>
      <c r="D119" s="581" t="s">
        <v>383</v>
      </c>
      <c r="E119" s="582">
        <f>E5+E17+E35+E76+E84-3</f>
        <v>3512.5399999999991</v>
      </c>
      <c r="F119" s="582">
        <f>+F5+F17+F35+F84+F76</f>
        <v>2286.6634199999999</v>
      </c>
      <c r="G119" s="582">
        <f>G5+G17+G35+G76+G84</f>
        <v>13742.794099999999</v>
      </c>
      <c r="H119" s="582">
        <f>H5+H17+H35+H76+H84</f>
        <v>15103.174940000003</v>
      </c>
      <c r="I119" s="592">
        <f t="shared" si="7"/>
        <v>6.6048963777974823</v>
      </c>
      <c r="J119" s="592">
        <f t="shared" si="6"/>
        <v>1360.3808400000034</v>
      </c>
    </row>
    <row r="120" spans="2:10" ht="16.5" customHeight="1">
      <c r="B120" s="344" t="s">
        <v>384</v>
      </c>
      <c r="C120" s="599"/>
      <c r="D120" s="343" t="s">
        <v>385</v>
      </c>
      <c r="E120" s="570">
        <v>373.43900000000002</v>
      </c>
      <c r="F120" s="341">
        <v>212.34638000000001</v>
      </c>
      <c r="G120" s="341">
        <v>5237.6619000000001</v>
      </c>
      <c r="H120" s="595">
        <v>298.97757999999999</v>
      </c>
      <c r="I120" s="594">
        <f t="shared" si="7"/>
        <v>1.4079711648486777</v>
      </c>
      <c r="J120" s="594">
        <f t="shared" si="6"/>
        <v>-4938.6843200000003</v>
      </c>
    </row>
    <row r="121" spans="2:10" ht="13.5" customHeight="1">
      <c r="B121" s="344" t="s">
        <v>386</v>
      </c>
      <c r="C121" s="599"/>
      <c r="D121" s="343" t="s">
        <v>387</v>
      </c>
      <c r="E121" s="341">
        <v>4986.2</v>
      </c>
      <c r="F121" s="341">
        <v>4396.4389700000002</v>
      </c>
      <c r="G121" s="341">
        <v>5775</v>
      </c>
      <c r="H121" s="552">
        <v>4530.8999999999996</v>
      </c>
      <c r="I121" s="594">
        <f t="shared" si="7"/>
        <v>1.0305840774584889</v>
      </c>
      <c r="J121" s="594">
        <f t="shared" si="6"/>
        <v>-1244.1000000000004</v>
      </c>
    </row>
    <row r="122" spans="2:10" s="583" customFormat="1">
      <c r="B122" s="584"/>
      <c r="C122" s="584"/>
      <c r="D122" s="585" t="s">
        <v>388</v>
      </c>
      <c r="E122" s="582">
        <f>E119+E121+E120</f>
        <v>8872.1789999999983</v>
      </c>
      <c r="F122" s="582">
        <f>F119+F121+F120</f>
        <v>6895.44877</v>
      </c>
      <c r="G122" s="582">
        <f>G119+G120+G121</f>
        <v>24755.455999999998</v>
      </c>
      <c r="H122" s="582">
        <f>H119+H120+H121</f>
        <v>19933.052520000005</v>
      </c>
      <c r="I122" s="592">
        <f t="shared" si="7"/>
        <v>2.8907549290660608</v>
      </c>
      <c r="J122" s="592">
        <f t="shared" si="6"/>
        <v>-4822.4034799999936</v>
      </c>
    </row>
    <row r="123" spans="2:10" ht="42" customHeight="1">
      <c r="I123" s="594"/>
    </row>
    <row r="124" spans="2:10" ht="14.25" customHeight="1">
      <c r="F124" s="589"/>
      <c r="G124" s="589"/>
    </row>
    <row r="125" spans="2:10" s="588" customFormat="1">
      <c r="D125" s="586"/>
      <c r="E125" s="587"/>
      <c r="H125" s="553"/>
    </row>
    <row r="126" spans="2:10" s="588" customFormat="1">
      <c r="D126" s="590"/>
      <c r="E126" s="587"/>
      <c r="H126" s="553"/>
    </row>
    <row r="127" spans="2:10" s="588" customFormat="1">
      <c r="D127" s="586"/>
      <c r="E127" s="587"/>
      <c r="H127" s="553"/>
    </row>
    <row r="128" spans="2:10" s="588" customFormat="1">
      <c r="D128" s="586"/>
      <c r="E128" s="587"/>
      <c r="H128" s="553"/>
    </row>
    <row r="129" spans="4:8" s="588" customFormat="1">
      <c r="D129" s="586"/>
      <c r="E129" s="587"/>
      <c r="H129" s="553"/>
    </row>
    <row r="130" spans="4:8" s="588" customFormat="1">
      <c r="D130" s="586"/>
      <c r="E130" s="587"/>
      <c r="H130" s="553"/>
    </row>
    <row r="131" spans="4:8" s="588" customFormat="1">
      <c r="D131" s="586"/>
      <c r="E131" s="587"/>
      <c r="H131" s="553"/>
    </row>
    <row r="132" spans="4:8" s="588" customFormat="1">
      <c r="D132" s="586"/>
      <c r="E132" s="587"/>
      <c r="H132" s="553"/>
    </row>
    <row r="133" spans="4:8" s="588" customFormat="1">
      <c r="D133" s="586"/>
      <c r="E133" s="587"/>
      <c r="H133" s="553"/>
    </row>
    <row r="134" spans="4:8" s="588" customFormat="1">
      <c r="D134" s="586"/>
      <c r="E134" s="587"/>
      <c r="H134" s="553"/>
    </row>
    <row r="135" spans="4:8" s="588" customFormat="1">
      <c r="D135" s="586"/>
      <c r="E135" s="587"/>
      <c r="H135" s="553"/>
    </row>
  </sheetData>
  <mergeCells count="5">
    <mergeCell ref="E2:H3"/>
    <mergeCell ref="B2:B4"/>
    <mergeCell ref="D2:D4"/>
    <mergeCell ref="I2:I4"/>
    <mergeCell ref="J2:J4"/>
  </mergeCells>
  <pageMargins left="0.23622047244094491" right="0.19685039370078741" top="0.31496062992125984" bottom="0.19685039370078741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Q43"/>
  <sheetViews>
    <sheetView view="pageBreakPreview" zoomScale="68" zoomScaleNormal="73" zoomScaleSheetLayoutView="6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6" sqref="A26"/>
    </sheetView>
  </sheetViews>
  <sheetFormatPr defaultRowHeight="12.75"/>
  <cols>
    <col min="1" max="1" width="44.7109375" customWidth="1"/>
    <col min="2" max="2" width="14" customWidth="1"/>
    <col min="3" max="3" width="11.42578125" customWidth="1"/>
    <col min="4" max="4" width="10.42578125" customWidth="1"/>
    <col min="5" max="5" width="13.5703125" style="527" customWidth="1"/>
    <col min="6" max="6" width="11" customWidth="1"/>
    <col min="7" max="7" width="10.42578125" customWidth="1"/>
    <col min="8" max="8" width="10.85546875" customWidth="1"/>
    <col min="9" max="9" width="12.5703125" style="527" customWidth="1"/>
    <col min="10" max="10" width="11.5703125" customWidth="1"/>
    <col min="11" max="11" width="16" style="527" customWidth="1"/>
    <col min="12" max="12" width="11.5703125" customWidth="1"/>
    <col min="13" max="13" width="12.7109375" customWidth="1"/>
    <col min="14" max="14" width="12.140625" hidden="1" customWidth="1"/>
    <col min="15" max="15" width="11.7109375" hidden="1" customWidth="1"/>
    <col min="257" max="257" width="44.7109375" customWidth="1"/>
    <col min="258" max="258" width="14" customWidth="1"/>
    <col min="259" max="259" width="11.42578125" customWidth="1"/>
    <col min="260" max="260" width="10.42578125" customWidth="1"/>
    <col min="261" max="261" width="13.5703125" customWidth="1"/>
    <col min="262" max="262" width="11" customWidth="1"/>
    <col min="263" max="263" width="10.42578125" customWidth="1"/>
    <col min="264" max="264" width="10.85546875" customWidth="1"/>
    <col min="265" max="265" width="12.5703125" customWidth="1"/>
    <col min="266" max="266" width="11.5703125" customWidth="1"/>
    <col min="267" max="267" width="16" customWidth="1"/>
    <col min="268" max="268" width="11.5703125" customWidth="1"/>
    <col min="269" max="269" width="12.7109375" customWidth="1"/>
    <col min="270" max="271" width="0" hidden="1" customWidth="1"/>
    <col min="513" max="513" width="44.7109375" customWidth="1"/>
    <col min="514" max="514" width="14" customWidth="1"/>
    <col min="515" max="515" width="11.42578125" customWidth="1"/>
    <col min="516" max="516" width="10.42578125" customWidth="1"/>
    <col min="517" max="517" width="13.5703125" customWidth="1"/>
    <col min="518" max="518" width="11" customWidth="1"/>
    <col min="519" max="519" width="10.42578125" customWidth="1"/>
    <col min="520" max="520" width="10.85546875" customWidth="1"/>
    <col min="521" max="521" width="12.5703125" customWidth="1"/>
    <col min="522" max="522" width="11.5703125" customWidth="1"/>
    <col min="523" max="523" width="16" customWidth="1"/>
    <col min="524" max="524" width="11.5703125" customWidth="1"/>
    <col min="525" max="525" width="12.7109375" customWidth="1"/>
    <col min="526" max="527" width="0" hidden="1" customWidth="1"/>
    <col min="769" max="769" width="44.7109375" customWidth="1"/>
    <col min="770" max="770" width="14" customWidth="1"/>
    <col min="771" max="771" width="11.42578125" customWidth="1"/>
    <col min="772" max="772" width="10.42578125" customWidth="1"/>
    <col min="773" max="773" width="13.5703125" customWidth="1"/>
    <col min="774" max="774" width="11" customWidth="1"/>
    <col min="775" max="775" width="10.42578125" customWidth="1"/>
    <col min="776" max="776" width="10.85546875" customWidth="1"/>
    <col min="777" max="777" width="12.5703125" customWidth="1"/>
    <col min="778" max="778" width="11.5703125" customWidth="1"/>
    <col min="779" max="779" width="16" customWidth="1"/>
    <col min="780" max="780" width="11.5703125" customWidth="1"/>
    <col min="781" max="781" width="12.7109375" customWidth="1"/>
    <col min="782" max="783" width="0" hidden="1" customWidth="1"/>
    <col min="1025" max="1025" width="44.7109375" customWidth="1"/>
    <col min="1026" max="1026" width="14" customWidth="1"/>
    <col min="1027" max="1027" width="11.42578125" customWidth="1"/>
    <col min="1028" max="1028" width="10.42578125" customWidth="1"/>
    <col min="1029" max="1029" width="13.5703125" customWidth="1"/>
    <col min="1030" max="1030" width="11" customWidth="1"/>
    <col min="1031" max="1031" width="10.42578125" customWidth="1"/>
    <col min="1032" max="1032" width="10.85546875" customWidth="1"/>
    <col min="1033" max="1033" width="12.5703125" customWidth="1"/>
    <col min="1034" max="1034" width="11.5703125" customWidth="1"/>
    <col min="1035" max="1035" width="16" customWidth="1"/>
    <col min="1036" max="1036" width="11.5703125" customWidth="1"/>
    <col min="1037" max="1037" width="12.7109375" customWidth="1"/>
    <col min="1038" max="1039" width="0" hidden="1" customWidth="1"/>
    <col min="1281" max="1281" width="44.7109375" customWidth="1"/>
    <col min="1282" max="1282" width="14" customWidth="1"/>
    <col min="1283" max="1283" width="11.42578125" customWidth="1"/>
    <col min="1284" max="1284" width="10.42578125" customWidth="1"/>
    <col min="1285" max="1285" width="13.5703125" customWidth="1"/>
    <col min="1286" max="1286" width="11" customWidth="1"/>
    <col min="1287" max="1287" width="10.42578125" customWidth="1"/>
    <col min="1288" max="1288" width="10.85546875" customWidth="1"/>
    <col min="1289" max="1289" width="12.5703125" customWidth="1"/>
    <col min="1290" max="1290" width="11.5703125" customWidth="1"/>
    <col min="1291" max="1291" width="16" customWidth="1"/>
    <col min="1292" max="1292" width="11.5703125" customWidth="1"/>
    <col min="1293" max="1293" width="12.7109375" customWidth="1"/>
    <col min="1294" max="1295" width="0" hidden="1" customWidth="1"/>
    <col min="1537" max="1537" width="44.7109375" customWidth="1"/>
    <col min="1538" max="1538" width="14" customWidth="1"/>
    <col min="1539" max="1539" width="11.42578125" customWidth="1"/>
    <col min="1540" max="1540" width="10.42578125" customWidth="1"/>
    <col min="1541" max="1541" width="13.5703125" customWidth="1"/>
    <col min="1542" max="1542" width="11" customWidth="1"/>
    <col min="1543" max="1543" width="10.42578125" customWidth="1"/>
    <col min="1544" max="1544" width="10.85546875" customWidth="1"/>
    <col min="1545" max="1545" width="12.5703125" customWidth="1"/>
    <col min="1546" max="1546" width="11.5703125" customWidth="1"/>
    <col min="1547" max="1547" width="16" customWidth="1"/>
    <col min="1548" max="1548" width="11.5703125" customWidth="1"/>
    <col min="1549" max="1549" width="12.7109375" customWidth="1"/>
    <col min="1550" max="1551" width="0" hidden="1" customWidth="1"/>
    <col min="1793" max="1793" width="44.7109375" customWidth="1"/>
    <col min="1794" max="1794" width="14" customWidth="1"/>
    <col min="1795" max="1795" width="11.42578125" customWidth="1"/>
    <col min="1796" max="1796" width="10.42578125" customWidth="1"/>
    <col min="1797" max="1797" width="13.5703125" customWidth="1"/>
    <col min="1798" max="1798" width="11" customWidth="1"/>
    <col min="1799" max="1799" width="10.42578125" customWidth="1"/>
    <col min="1800" max="1800" width="10.85546875" customWidth="1"/>
    <col min="1801" max="1801" width="12.5703125" customWidth="1"/>
    <col min="1802" max="1802" width="11.5703125" customWidth="1"/>
    <col min="1803" max="1803" width="16" customWidth="1"/>
    <col min="1804" max="1804" width="11.5703125" customWidth="1"/>
    <col min="1805" max="1805" width="12.7109375" customWidth="1"/>
    <col min="1806" max="1807" width="0" hidden="1" customWidth="1"/>
    <col min="2049" max="2049" width="44.7109375" customWidth="1"/>
    <col min="2050" max="2050" width="14" customWidth="1"/>
    <col min="2051" max="2051" width="11.42578125" customWidth="1"/>
    <col min="2052" max="2052" width="10.42578125" customWidth="1"/>
    <col min="2053" max="2053" width="13.5703125" customWidth="1"/>
    <col min="2054" max="2054" width="11" customWidth="1"/>
    <col min="2055" max="2055" width="10.42578125" customWidth="1"/>
    <col min="2056" max="2056" width="10.85546875" customWidth="1"/>
    <col min="2057" max="2057" width="12.5703125" customWidth="1"/>
    <col min="2058" max="2058" width="11.5703125" customWidth="1"/>
    <col min="2059" max="2059" width="16" customWidth="1"/>
    <col min="2060" max="2060" width="11.5703125" customWidth="1"/>
    <col min="2061" max="2061" width="12.7109375" customWidth="1"/>
    <col min="2062" max="2063" width="0" hidden="1" customWidth="1"/>
    <col min="2305" max="2305" width="44.7109375" customWidth="1"/>
    <col min="2306" max="2306" width="14" customWidth="1"/>
    <col min="2307" max="2307" width="11.42578125" customWidth="1"/>
    <col min="2308" max="2308" width="10.42578125" customWidth="1"/>
    <col min="2309" max="2309" width="13.5703125" customWidth="1"/>
    <col min="2310" max="2310" width="11" customWidth="1"/>
    <col min="2311" max="2311" width="10.42578125" customWidth="1"/>
    <col min="2312" max="2312" width="10.85546875" customWidth="1"/>
    <col min="2313" max="2313" width="12.5703125" customWidth="1"/>
    <col min="2314" max="2314" width="11.5703125" customWidth="1"/>
    <col min="2315" max="2315" width="16" customWidth="1"/>
    <col min="2316" max="2316" width="11.5703125" customWidth="1"/>
    <col min="2317" max="2317" width="12.7109375" customWidth="1"/>
    <col min="2318" max="2319" width="0" hidden="1" customWidth="1"/>
    <col min="2561" max="2561" width="44.7109375" customWidth="1"/>
    <col min="2562" max="2562" width="14" customWidth="1"/>
    <col min="2563" max="2563" width="11.42578125" customWidth="1"/>
    <col min="2564" max="2564" width="10.42578125" customWidth="1"/>
    <col min="2565" max="2565" width="13.5703125" customWidth="1"/>
    <col min="2566" max="2566" width="11" customWidth="1"/>
    <col min="2567" max="2567" width="10.42578125" customWidth="1"/>
    <col min="2568" max="2568" width="10.85546875" customWidth="1"/>
    <col min="2569" max="2569" width="12.5703125" customWidth="1"/>
    <col min="2570" max="2570" width="11.5703125" customWidth="1"/>
    <col min="2571" max="2571" width="16" customWidth="1"/>
    <col min="2572" max="2572" width="11.5703125" customWidth="1"/>
    <col min="2573" max="2573" width="12.7109375" customWidth="1"/>
    <col min="2574" max="2575" width="0" hidden="1" customWidth="1"/>
    <col min="2817" max="2817" width="44.7109375" customWidth="1"/>
    <col min="2818" max="2818" width="14" customWidth="1"/>
    <col min="2819" max="2819" width="11.42578125" customWidth="1"/>
    <col min="2820" max="2820" width="10.42578125" customWidth="1"/>
    <col min="2821" max="2821" width="13.5703125" customWidth="1"/>
    <col min="2822" max="2822" width="11" customWidth="1"/>
    <col min="2823" max="2823" width="10.42578125" customWidth="1"/>
    <col min="2824" max="2824" width="10.85546875" customWidth="1"/>
    <col min="2825" max="2825" width="12.5703125" customWidth="1"/>
    <col min="2826" max="2826" width="11.5703125" customWidth="1"/>
    <col min="2827" max="2827" width="16" customWidth="1"/>
    <col min="2828" max="2828" width="11.5703125" customWidth="1"/>
    <col min="2829" max="2829" width="12.7109375" customWidth="1"/>
    <col min="2830" max="2831" width="0" hidden="1" customWidth="1"/>
    <col min="3073" max="3073" width="44.7109375" customWidth="1"/>
    <col min="3074" max="3074" width="14" customWidth="1"/>
    <col min="3075" max="3075" width="11.42578125" customWidth="1"/>
    <col min="3076" max="3076" width="10.42578125" customWidth="1"/>
    <col min="3077" max="3077" width="13.5703125" customWidth="1"/>
    <col min="3078" max="3078" width="11" customWidth="1"/>
    <col min="3079" max="3079" width="10.42578125" customWidth="1"/>
    <col min="3080" max="3080" width="10.85546875" customWidth="1"/>
    <col min="3081" max="3081" width="12.5703125" customWidth="1"/>
    <col min="3082" max="3082" width="11.5703125" customWidth="1"/>
    <col min="3083" max="3083" width="16" customWidth="1"/>
    <col min="3084" max="3084" width="11.5703125" customWidth="1"/>
    <col min="3085" max="3085" width="12.7109375" customWidth="1"/>
    <col min="3086" max="3087" width="0" hidden="1" customWidth="1"/>
    <col min="3329" max="3329" width="44.7109375" customWidth="1"/>
    <col min="3330" max="3330" width="14" customWidth="1"/>
    <col min="3331" max="3331" width="11.42578125" customWidth="1"/>
    <col min="3332" max="3332" width="10.42578125" customWidth="1"/>
    <col min="3333" max="3333" width="13.5703125" customWidth="1"/>
    <col min="3334" max="3334" width="11" customWidth="1"/>
    <col min="3335" max="3335" width="10.42578125" customWidth="1"/>
    <col min="3336" max="3336" width="10.85546875" customWidth="1"/>
    <col min="3337" max="3337" width="12.5703125" customWidth="1"/>
    <col min="3338" max="3338" width="11.5703125" customWidth="1"/>
    <col min="3339" max="3339" width="16" customWidth="1"/>
    <col min="3340" max="3340" width="11.5703125" customWidth="1"/>
    <col min="3341" max="3341" width="12.7109375" customWidth="1"/>
    <col min="3342" max="3343" width="0" hidden="1" customWidth="1"/>
    <col min="3585" max="3585" width="44.7109375" customWidth="1"/>
    <col min="3586" max="3586" width="14" customWidth="1"/>
    <col min="3587" max="3587" width="11.42578125" customWidth="1"/>
    <col min="3588" max="3588" width="10.42578125" customWidth="1"/>
    <col min="3589" max="3589" width="13.5703125" customWidth="1"/>
    <col min="3590" max="3590" width="11" customWidth="1"/>
    <col min="3591" max="3591" width="10.42578125" customWidth="1"/>
    <col min="3592" max="3592" width="10.85546875" customWidth="1"/>
    <col min="3593" max="3593" width="12.5703125" customWidth="1"/>
    <col min="3594" max="3594" width="11.5703125" customWidth="1"/>
    <col min="3595" max="3595" width="16" customWidth="1"/>
    <col min="3596" max="3596" width="11.5703125" customWidth="1"/>
    <col min="3597" max="3597" width="12.7109375" customWidth="1"/>
    <col min="3598" max="3599" width="0" hidden="1" customWidth="1"/>
    <col min="3841" max="3841" width="44.7109375" customWidth="1"/>
    <col min="3842" max="3842" width="14" customWidth="1"/>
    <col min="3843" max="3843" width="11.42578125" customWidth="1"/>
    <col min="3844" max="3844" width="10.42578125" customWidth="1"/>
    <col min="3845" max="3845" width="13.5703125" customWidth="1"/>
    <col min="3846" max="3846" width="11" customWidth="1"/>
    <col min="3847" max="3847" width="10.42578125" customWidth="1"/>
    <col min="3848" max="3848" width="10.85546875" customWidth="1"/>
    <col min="3849" max="3849" width="12.5703125" customWidth="1"/>
    <col min="3850" max="3850" width="11.5703125" customWidth="1"/>
    <col min="3851" max="3851" width="16" customWidth="1"/>
    <col min="3852" max="3852" width="11.5703125" customWidth="1"/>
    <col min="3853" max="3853" width="12.7109375" customWidth="1"/>
    <col min="3854" max="3855" width="0" hidden="1" customWidth="1"/>
    <col min="4097" max="4097" width="44.7109375" customWidth="1"/>
    <col min="4098" max="4098" width="14" customWidth="1"/>
    <col min="4099" max="4099" width="11.42578125" customWidth="1"/>
    <col min="4100" max="4100" width="10.42578125" customWidth="1"/>
    <col min="4101" max="4101" width="13.5703125" customWidth="1"/>
    <col min="4102" max="4102" width="11" customWidth="1"/>
    <col min="4103" max="4103" width="10.42578125" customWidth="1"/>
    <col min="4104" max="4104" width="10.85546875" customWidth="1"/>
    <col min="4105" max="4105" width="12.5703125" customWidth="1"/>
    <col min="4106" max="4106" width="11.5703125" customWidth="1"/>
    <col min="4107" max="4107" width="16" customWidth="1"/>
    <col min="4108" max="4108" width="11.5703125" customWidth="1"/>
    <col min="4109" max="4109" width="12.7109375" customWidth="1"/>
    <col min="4110" max="4111" width="0" hidden="1" customWidth="1"/>
    <col min="4353" max="4353" width="44.7109375" customWidth="1"/>
    <col min="4354" max="4354" width="14" customWidth="1"/>
    <col min="4355" max="4355" width="11.42578125" customWidth="1"/>
    <col min="4356" max="4356" width="10.42578125" customWidth="1"/>
    <col min="4357" max="4357" width="13.5703125" customWidth="1"/>
    <col min="4358" max="4358" width="11" customWidth="1"/>
    <col min="4359" max="4359" width="10.42578125" customWidth="1"/>
    <col min="4360" max="4360" width="10.85546875" customWidth="1"/>
    <col min="4361" max="4361" width="12.5703125" customWidth="1"/>
    <col min="4362" max="4362" width="11.5703125" customWidth="1"/>
    <col min="4363" max="4363" width="16" customWidth="1"/>
    <col min="4364" max="4364" width="11.5703125" customWidth="1"/>
    <col min="4365" max="4365" width="12.7109375" customWidth="1"/>
    <col min="4366" max="4367" width="0" hidden="1" customWidth="1"/>
    <col min="4609" max="4609" width="44.7109375" customWidth="1"/>
    <col min="4610" max="4610" width="14" customWidth="1"/>
    <col min="4611" max="4611" width="11.42578125" customWidth="1"/>
    <col min="4612" max="4612" width="10.42578125" customWidth="1"/>
    <col min="4613" max="4613" width="13.5703125" customWidth="1"/>
    <col min="4614" max="4614" width="11" customWidth="1"/>
    <col min="4615" max="4615" width="10.42578125" customWidth="1"/>
    <col min="4616" max="4616" width="10.85546875" customWidth="1"/>
    <col min="4617" max="4617" width="12.5703125" customWidth="1"/>
    <col min="4618" max="4618" width="11.5703125" customWidth="1"/>
    <col min="4619" max="4619" width="16" customWidth="1"/>
    <col min="4620" max="4620" width="11.5703125" customWidth="1"/>
    <col min="4621" max="4621" width="12.7109375" customWidth="1"/>
    <col min="4622" max="4623" width="0" hidden="1" customWidth="1"/>
    <col min="4865" max="4865" width="44.7109375" customWidth="1"/>
    <col min="4866" max="4866" width="14" customWidth="1"/>
    <col min="4867" max="4867" width="11.42578125" customWidth="1"/>
    <col min="4868" max="4868" width="10.42578125" customWidth="1"/>
    <col min="4869" max="4869" width="13.5703125" customWidth="1"/>
    <col min="4870" max="4870" width="11" customWidth="1"/>
    <col min="4871" max="4871" width="10.42578125" customWidth="1"/>
    <col min="4872" max="4872" width="10.85546875" customWidth="1"/>
    <col min="4873" max="4873" width="12.5703125" customWidth="1"/>
    <col min="4874" max="4874" width="11.5703125" customWidth="1"/>
    <col min="4875" max="4875" width="16" customWidth="1"/>
    <col min="4876" max="4876" width="11.5703125" customWidth="1"/>
    <col min="4877" max="4877" width="12.7109375" customWidth="1"/>
    <col min="4878" max="4879" width="0" hidden="1" customWidth="1"/>
    <col min="5121" max="5121" width="44.7109375" customWidth="1"/>
    <col min="5122" max="5122" width="14" customWidth="1"/>
    <col min="5123" max="5123" width="11.42578125" customWidth="1"/>
    <col min="5124" max="5124" width="10.42578125" customWidth="1"/>
    <col min="5125" max="5125" width="13.5703125" customWidth="1"/>
    <col min="5126" max="5126" width="11" customWidth="1"/>
    <col min="5127" max="5127" width="10.42578125" customWidth="1"/>
    <col min="5128" max="5128" width="10.85546875" customWidth="1"/>
    <col min="5129" max="5129" width="12.5703125" customWidth="1"/>
    <col min="5130" max="5130" width="11.5703125" customWidth="1"/>
    <col min="5131" max="5131" width="16" customWidth="1"/>
    <col min="5132" max="5132" width="11.5703125" customWidth="1"/>
    <col min="5133" max="5133" width="12.7109375" customWidth="1"/>
    <col min="5134" max="5135" width="0" hidden="1" customWidth="1"/>
    <col min="5377" max="5377" width="44.7109375" customWidth="1"/>
    <col min="5378" max="5378" width="14" customWidth="1"/>
    <col min="5379" max="5379" width="11.42578125" customWidth="1"/>
    <col min="5380" max="5380" width="10.42578125" customWidth="1"/>
    <col min="5381" max="5381" width="13.5703125" customWidth="1"/>
    <col min="5382" max="5382" width="11" customWidth="1"/>
    <col min="5383" max="5383" width="10.42578125" customWidth="1"/>
    <col min="5384" max="5384" width="10.85546875" customWidth="1"/>
    <col min="5385" max="5385" width="12.5703125" customWidth="1"/>
    <col min="5386" max="5386" width="11.5703125" customWidth="1"/>
    <col min="5387" max="5387" width="16" customWidth="1"/>
    <col min="5388" max="5388" width="11.5703125" customWidth="1"/>
    <col min="5389" max="5389" width="12.7109375" customWidth="1"/>
    <col min="5390" max="5391" width="0" hidden="1" customWidth="1"/>
    <col min="5633" max="5633" width="44.7109375" customWidth="1"/>
    <col min="5634" max="5634" width="14" customWidth="1"/>
    <col min="5635" max="5635" width="11.42578125" customWidth="1"/>
    <col min="5636" max="5636" width="10.42578125" customWidth="1"/>
    <col min="5637" max="5637" width="13.5703125" customWidth="1"/>
    <col min="5638" max="5638" width="11" customWidth="1"/>
    <col min="5639" max="5639" width="10.42578125" customWidth="1"/>
    <col min="5640" max="5640" width="10.85546875" customWidth="1"/>
    <col min="5641" max="5641" width="12.5703125" customWidth="1"/>
    <col min="5642" max="5642" width="11.5703125" customWidth="1"/>
    <col min="5643" max="5643" width="16" customWidth="1"/>
    <col min="5644" max="5644" width="11.5703125" customWidth="1"/>
    <col min="5645" max="5645" width="12.7109375" customWidth="1"/>
    <col min="5646" max="5647" width="0" hidden="1" customWidth="1"/>
    <col min="5889" max="5889" width="44.7109375" customWidth="1"/>
    <col min="5890" max="5890" width="14" customWidth="1"/>
    <col min="5891" max="5891" width="11.42578125" customWidth="1"/>
    <col min="5892" max="5892" width="10.42578125" customWidth="1"/>
    <col min="5893" max="5893" width="13.5703125" customWidth="1"/>
    <col min="5894" max="5894" width="11" customWidth="1"/>
    <col min="5895" max="5895" width="10.42578125" customWidth="1"/>
    <col min="5896" max="5896" width="10.85546875" customWidth="1"/>
    <col min="5897" max="5897" width="12.5703125" customWidth="1"/>
    <col min="5898" max="5898" width="11.5703125" customWidth="1"/>
    <col min="5899" max="5899" width="16" customWidth="1"/>
    <col min="5900" max="5900" width="11.5703125" customWidth="1"/>
    <col min="5901" max="5901" width="12.7109375" customWidth="1"/>
    <col min="5902" max="5903" width="0" hidden="1" customWidth="1"/>
    <col min="6145" max="6145" width="44.7109375" customWidth="1"/>
    <col min="6146" max="6146" width="14" customWidth="1"/>
    <col min="6147" max="6147" width="11.42578125" customWidth="1"/>
    <col min="6148" max="6148" width="10.42578125" customWidth="1"/>
    <col min="6149" max="6149" width="13.5703125" customWidth="1"/>
    <col min="6150" max="6150" width="11" customWidth="1"/>
    <col min="6151" max="6151" width="10.42578125" customWidth="1"/>
    <col min="6152" max="6152" width="10.85546875" customWidth="1"/>
    <col min="6153" max="6153" width="12.5703125" customWidth="1"/>
    <col min="6154" max="6154" width="11.5703125" customWidth="1"/>
    <col min="6155" max="6155" width="16" customWidth="1"/>
    <col min="6156" max="6156" width="11.5703125" customWidth="1"/>
    <col min="6157" max="6157" width="12.7109375" customWidth="1"/>
    <col min="6158" max="6159" width="0" hidden="1" customWidth="1"/>
    <col min="6401" max="6401" width="44.7109375" customWidth="1"/>
    <col min="6402" max="6402" width="14" customWidth="1"/>
    <col min="6403" max="6403" width="11.42578125" customWidth="1"/>
    <col min="6404" max="6404" width="10.42578125" customWidth="1"/>
    <col min="6405" max="6405" width="13.5703125" customWidth="1"/>
    <col min="6406" max="6406" width="11" customWidth="1"/>
    <col min="6407" max="6407" width="10.42578125" customWidth="1"/>
    <col min="6408" max="6408" width="10.85546875" customWidth="1"/>
    <col min="6409" max="6409" width="12.5703125" customWidth="1"/>
    <col min="6410" max="6410" width="11.5703125" customWidth="1"/>
    <col min="6411" max="6411" width="16" customWidth="1"/>
    <col min="6412" max="6412" width="11.5703125" customWidth="1"/>
    <col min="6413" max="6413" width="12.7109375" customWidth="1"/>
    <col min="6414" max="6415" width="0" hidden="1" customWidth="1"/>
    <col min="6657" max="6657" width="44.7109375" customWidth="1"/>
    <col min="6658" max="6658" width="14" customWidth="1"/>
    <col min="6659" max="6659" width="11.42578125" customWidth="1"/>
    <col min="6660" max="6660" width="10.42578125" customWidth="1"/>
    <col min="6661" max="6661" width="13.5703125" customWidth="1"/>
    <col min="6662" max="6662" width="11" customWidth="1"/>
    <col min="6663" max="6663" width="10.42578125" customWidth="1"/>
    <col min="6664" max="6664" width="10.85546875" customWidth="1"/>
    <col min="6665" max="6665" width="12.5703125" customWidth="1"/>
    <col min="6666" max="6666" width="11.5703125" customWidth="1"/>
    <col min="6667" max="6667" width="16" customWidth="1"/>
    <col min="6668" max="6668" width="11.5703125" customWidth="1"/>
    <col min="6669" max="6669" width="12.7109375" customWidth="1"/>
    <col min="6670" max="6671" width="0" hidden="1" customWidth="1"/>
    <col min="6913" max="6913" width="44.7109375" customWidth="1"/>
    <col min="6914" max="6914" width="14" customWidth="1"/>
    <col min="6915" max="6915" width="11.42578125" customWidth="1"/>
    <col min="6916" max="6916" width="10.42578125" customWidth="1"/>
    <col min="6917" max="6917" width="13.5703125" customWidth="1"/>
    <col min="6918" max="6918" width="11" customWidth="1"/>
    <col min="6919" max="6919" width="10.42578125" customWidth="1"/>
    <col min="6920" max="6920" width="10.85546875" customWidth="1"/>
    <col min="6921" max="6921" width="12.5703125" customWidth="1"/>
    <col min="6922" max="6922" width="11.5703125" customWidth="1"/>
    <col min="6923" max="6923" width="16" customWidth="1"/>
    <col min="6924" max="6924" width="11.5703125" customWidth="1"/>
    <col min="6925" max="6925" width="12.7109375" customWidth="1"/>
    <col min="6926" max="6927" width="0" hidden="1" customWidth="1"/>
    <col min="7169" max="7169" width="44.7109375" customWidth="1"/>
    <col min="7170" max="7170" width="14" customWidth="1"/>
    <col min="7171" max="7171" width="11.42578125" customWidth="1"/>
    <col min="7172" max="7172" width="10.42578125" customWidth="1"/>
    <col min="7173" max="7173" width="13.5703125" customWidth="1"/>
    <col min="7174" max="7174" width="11" customWidth="1"/>
    <col min="7175" max="7175" width="10.42578125" customWidth="1"/>
    <col min="7176" max="7176" width="10.85546875" customWidth="1"/>
    <col min="7177" max="7177" width="12.5703125" customWidth="1"/>
    <col min="7178" max="7178" width="11.5703125" customWidth="1"/>
    <col min="7179" max="7179" width="16" customWidth="1"/>
    <col min="7180" max="7180" width="11.5703125" customWidth="1"/>
    <col min="7181" max="7181" width="12.7109375" customWidth="1"/>
    <col min="7182" max="7183" width="0" hidden="1" customWidth="1"/>
    <col min="7425" max="7425" width="44.7109375" customWidth="1"/>
    <col min="7426" max="7426" width="14" customWidth="1"/>
    <col min="7427" max="7427" width="11.42578125" customWidth="1"/>
    <col min="7428" max="7428" width="10.42578125" customWidth="1"/>
    <col min="7429" max="7429" width="13.5703125" customWidth="1"/>
    <col min="7430" max="7430" width="11" customWidth="1"/>
    <col min="7431" max="7431" width="10.42578125" customWidth="1"/>
    <col min="7432" max="7432" width="10.85546875" customWidth="1"/>
    <col min="7433" max="7433" width="12.5703125" customWidth="1"/>
    <col min="7434" max="7434" width="11.5703125" customWidth="1"/>
    <col min="7435" max="7435" width="16" customWidth="1"/>
    <col min="7436" max="7436" width="11.5703125" customWidth="1"/>
    <col min="7437" max="7437" width="12.7109375" customWidth="1"/>
    <col min="7438" max="7439" width="0" hidden="1" customWidth="1"/>
    <col min="7681" max="7681" width="44.7109375" customWidth="1"/>
    <col min="7682" max="7682" width="14" customWidth="1"/>
    <col min="7683" max="7683" width="11.42578125" customWidth="1"/>
    <col min="7684" max="7684" width="10.42578125" customWidth="1"/>
    <col min="7685" max="7685" width="13.5703125" customWidth="1"/>
    <col min="7686" max="7686" width="11" customWidth="1"/>
    <col min="7687" max="7687" width="10.42578125" customWidth="1"/>
    <col min="7688" max="7688" width="10.85546875" customWidth="1"/>
    <col min="7689" max="7689" width="12.5703125" customWidth="1"/>
    <col min="7690" max="7690" width="11.5703125" customWidth="1"/>
    <col min="7691" max="7691" width="16" customWidth="1"/>
    <col min="7692" max="7692" width="11.5703125" customWidth="1"/>
    <col min="7693" max="7693" width="12.7109375" customWidth="1"/>
    <col min="7694" max="7695" width="0" hidden="1" customWidth="1"/>
    <col min="7937" max="7937" width="44.7109375" customWidth="1"/>
    <col min="7938" max="7938" width="14" customWidth="1"/>
    <col min="7939" max="7939" width="11.42578125" customWidth="1"/>
    <col min="7940" max="7940" width="10.42578125" customWidth="1"/>
    <col min="7941" max="7941" width="13.5703125" customWidth="1"/>
    <col min="7942" max="7942" width="11" customWidth="1"/>
    <col min="7943" max="7943" width="10.42578125" customWidth="1"/>
    <col min="7944" max="7944" width="10.85546875" customWidth="1"/>
    <col min="7945" max="7945" width="12.5703125" customWidth="1"/>
    <col min="7946" max="7946" width="11.5703125" customWidth="1"/>
    <col min="7947" max="7947" width="16" customWidth="1"/>
    <col min="7948" max="7948" width="11.5703125" customWidth="1"/>
    <col min="7949" max="7949" width="12.7109375" customWidth="1"/>
    <col min="7950" max="7951" width="0" hidden="1" customWidth="1"/>
    <col min="8193" max="8193" width="44.7109375" customWidth="1"/>
    <col min="8194" max="8194" width="14" customWidth="1"/>
    <col min="8195" max="8195" width="11.42578125" customWidth="1"/>
    <col min="8196" max="8196" width="10.42578125" customWidth="1"/>
    <col min="8197" max="8197" width="13.5703125" customWidth="1"/>
    <col min="8198" max="8198" width="11" customWidth="1"/>
    <col min="8199" max="8199" width="10.42578125" customWidth="1"/>
    <col min="8200" max="8200" width="10.85546875" customWidth="1"/>
    <col min="8201" max="8201" width="12.5703125" customWidth="1"/>
    <col min="8202" max="8202" width="11.5703125" customWidth="1"/>
    <col min="8203" max="8203" width="16" customWidth="1"/>
    <col min="8204" max="8204" width="11.5703125" customWidth="1"/>
    <col min="8205" max="8205" width="12.7109375" customWidth="1"/>
    <col min="8206" max="8207" width="0" hidden="1" customWidth="1"/>
    <col min="8449" max="8449" width="44.7109375" customWidth="1"/>
    <col min="8450" max="8450" width="14" customWidth="1"/>
    <col min="8451" max="8451" width="11.42578125" customWidth="1"/>
    <col min="8452" max="8452" width="10.42578125" customWidth="1"/>
    <col min="8453" max="8453" width="13.5703125" customWidth="1"/>
    <col min="8454" max="8454" width="11" customWidth="1"/>
    <col min="8455" max="8455" width="10.42578125" customWidth="1"/>
    <col min="8456" max="8456" width="10.85546875" customWidth="1"/>
    <col min="8457" max="8457" width="12.5703125" customWidth="1"/>
    <col min="8458" max="8458" width="11.5703125" customWidth="1"/>
    <col min="8459" max="8459" width="16" customWidth="1"/>
    <col min="8460" max="8460" width="11.5703125" customWidth="1"/>
    <col min="8461" max="8461" width="12.7109375" customWidth="1"/>
    <col min="8462" max="8463" width="0" hidden="1" customWidth="1"/>
    <col min="8705" max="8705" width="44.7109375" customWidth="1"/>
    <col min="8706" max="8706" width="14" customWidth="1"/>
    <col min="8707" max="8707" width="11.42578125" customWidth="1"/>
    <col min="8708" max="8708" width="10.42578125" customWidth="1"/>
    <col min="8709" max="8709" width="13.5703125" customWidth="1"/>
    <col min="8710" max="8710" width="11" customWidth="1"/>
    <col min="8711" max="8711" width="10.42578125" customWidth="1"/>
    <col min="8712" max="8712" width="10.85546875" customWidth="1"/>
    <col min="8713" max="8713" width="12.5703125" customWidth="1"/>
    <col min="8714" max="8714" width="11.5703125" customWidth="1"/>
    <col min="8715" max="8715" width="16" customWidth="1"/>
    <col min="8716" max="8716" width="11.5703125" customWidth="1"/>
    <col min="8717" max="8717" width="12.7109375" customWidth="1"/>
    <col min="8718" max="8719" width="0" hidden="1" customWidth="1"/>
    <col min="8961" max="8961" width="44.7109375" customWidth="1"/>
    <col min="8962" max="8962" width="14" customWidth="1"/>
    <col min="8963" max="8963" width="11.42578125" customWidth="1"/>
    <col min="8964" max="8964" width="10.42578125" customWidth="1"/>
    <col min="8965" max="8965" width="13.5703125" customWidth="1"/>
    <col min="8966" max="8966" width="11" customWidth="1"/>
    <col min="8967" max="8967" width="10.42578125" customWidth="1"/>
    <col min="8968" max="8968" width="10.85546875" customWidth="1"/>
    <col min="8969" max="8969" width="12.5703125" customWidth="1"/>
    <col min="8970" max="8970" width="11.5703125" customWidth="1"/>
    <col min="8971" max="8971" width="16" customWidth="1"/>
    <col min="8972" max="8972" width="11.5703125" customWidth="1"/>
    <col min="8973" max="8973" width="12.7109375" customWidth="1"/>
    <col min="8974" max="8975" width="0" hidden="1" customWidth="1"/>
    <col min="9217" max="9217" width="44.7109375" customWidth="1"/>
    <col min="9218" max="9218" width="14" customWidth="1"/>
    <col min="9219" max="9219" width="11.42578125" customWidth="1"/>
    <col min="9220" max="9220" width="10.42578125" customWidth="1"/>
    <col min="9221" max="9221" width="13.5703125" customWidth="1"/>
    <col min="9222" max="9222" width="11" customWidth="1"/>
    <col min="9223" max="9223" width="10.42578125" customWidth="1"/>
    <col min="9224" max="9224" width="10.85546875" customWidth="1"/>
    <col min="9225" max="9225" width="12.5703125" customWidth="1"/>
    <col min="9226" max="9226" width="11.5703125" customWidth="1"/>
    <col min="9227" max="9227" width="16" customWidth="1"/>
    <col min="9228" max="9228" width="11.5703125" customWidth="1"/>
    <col min="9229" max="9229" width="12.7109375" customWidth="1"/>
    <col min="9230" max="9231" width="0" hidden="1" customWidth="1"/>
    <col min="9473" max="9473" width="44.7109375" customWidth="1"/>
    <col min="9474" max="9474" width="14" customWidth="1"/>
    <col min="9475" max="9475" width="11.42578125" customWidth="1"/>
    <col min="9476" max="9476" width="10.42578125" customWidth="1"/>
    <col min="9477" max="9477" width="13.5703125" customWidth="1"/>
    <col min="9478" max="9478" width="11" customWidth="1"/>
    <col min="9479" max="9479" width="10.42578125" customWidth="1"/>
    <col min="9480" max="9480" width="10.85546875" customWidth="1"/>
    <col min="9481" max="9481" width="12.5703125" customWidth="1"/>
    <col min="9482" max="9482" width="11.5703125" customWidth="1"/>
    <col min="9483" max="9483" width="16" customWidth="1"/>
    <col min="9484" max="9484" width="11.5703125" customWidth="1"/>
    <col min="9485" max="9485" width="12.7109375" customWidth="1"/>
    <col min="9486" max="9487" width="0" hidden="1" customWidth="1"/>
    <col min="9729" max="9729" width="44.7109375" customWidth="1"/>
    <col min="9730" max="9730" width="14" customWidth="1"/>
    <col min="9731" max="9731" width="11.42578125" customWidth="1"/>
    <col min="9732" max="9732" width="10.42578125" customWidth="1"/>
    <col min="9733" max="9733" width="13.5703125" customWidth="1"/>
    <col min="9734" max="9734" width="11" customWidth="1"/>
    <col min="9735" max="9735" width="10.42578125" customWidth="1"/>
    <col min="9736" max="9736" width="10.85546875" customWidth="1"/>
    <col min="9737" max="9737" width="12.5703125" customWidth="1"/>
    <col min="9738" max="9738" width="11.5703125" customWidth="1"/>
    <col min="9739" max="9739" width="16" customWidth="1"/>
    <col min="9740" max="9740" width="11.5703125" customWidth="1"/>
    <col min="9741" max="9741" width="12.7109375" customWidth="1"/>
    <col min="9742" max="9743" width="0" hidden="1" customWidth="1"/>
    <col min="9985" max="9985" width="44.7109375" customWidth="1"/>
    <col min="9986" max="9986" width="14" customWidth="1"/>
    <col min="9987" max="9987" width="11.42578125" customWidth="1"/>
    <col min="9988" max="9988" width="10.42578125" customWidth="1"/>
    <col min="9989" max="9989" width="13.5703125" customWidth="1"/>
    <col min="9990" max="9990" width="11" customWidth="1"/>
    <col min="9991" max="9991" width="10.42578125" customWidth="1"/>
    <col min="9992" max="9992" width="10.85546875" customWidth="1"/>
    <col min="9993" max="9993" width="12.5703125" customWidth="1"/>
    <col min="9994" max="9994" width="11.5703125" customWidth="1"/>
    <col min="9995" max="9995" width="16" customWidth="1"/>
    <col min="9996" max="9996" width="11.5703125" customWidth="1"/>
    <col min="9997" max="9997" width="12.7109375" customWidth="1"/>
    <col min="9998" max="9999" width="0" hidden="1" customWidth="1"/>
    <col min="10241" max="10241" width="44.7109375" customWidth="1"/>
    <col min="10242" max="10242" width="14" customWidth="1"/>
    <col min="10243" max="10243" width="11.42578125" customWidth="1"/>
    <col min="10244" max="10244" width="10.42578125" customWidth="1"/>
    <col min="10245" max="10245" width="13.5703125" customWidth="1"/>
    <col min="10246" max="10246" width="11" customWidth="1"/>
    <col min="10247" max="10247" width="10.42578125" customWidth="1"/>
    <col min="10248" max="10248" width="10.85546875" customWidth="1"/>
    <col min="10249" max="10249" width="12.5703125" customWidth="1"/>
    <col min="10250" max="10250" width="11.5703125" customWidth="1"/>
    <col min="10251" max="10251" width="16" customWidth="1"/>
    <col min="10252" max="10252" width="11.5703125" customWidth="1"/>
    <col min="10253" max="10253" width="12.7109375" customWidth="1"/>
    <col min="10254" max="10255" width="0" hidden="1" customWidth="1"/>
    <col min="10497" max="10497" width="44.7109375" customWidth="1"/>
    <col min="10498" max="10498" width="14" customWidth="1"/>
    <col min="10499" max="10499" width="11.42578125" customWidth="1"/>
    <col min="10500" max="10500" width="10.42578125" customWidth="1"/>
    <col min="10501" max="10501" width="13.5703125" customWidth="1"/>
    <col min="10502" max="10502" width="11" customWidth="1"/>
    <col min="10503" max="10503" width="10.42578125" customWidth="1"/>
    <col min="10504" max="10504" width="10.85546875" customWidth="1"/>
    <col min="10505" max="10505" width="12.5703125" customWidth="1"/>
    <col min="10506" max="10506" width="11.5703125" customWidth="1"/>
    <col min="10507" max="10507" width="16" customWidth="1"/>
    <col min="10508" max="10508" width="11.5703125" customWidth="1"/>
    <col min="10509" max="10509" width="12.7109375" customWidth="1"/>
    <col min="10510" max="10511" width="0" hidden="1" customWidth="1"/>
    <col min="10753" max="10753" width="44.7109375" customWidth="1"/>
    <col min="10754" max="10754" width="14" customWidth="1"/>
    <col min="10755" max="10755" width="11.42578125" customWidth="1"/>
    <col min="10756" max="10756" width="10.42578125" customWidth="1"/>
    <col min="10757" max="10757" width="13.5703125" customWidth="1"/>
    <col min="10758" max="10758" width="11" customWidth="1"/>
    <col min="10759" max="10759" width="10.42578125" customWidth="1"/>
    <col min="10760" max="10760" width="10.85546875" customWidth="1"/>
    <col min="10761" max="10761" width="12.5703125" customWidth="1"/>
    <col min="10762" max="10762" width="11.5703125" customWidth="1"/>
    <col min="10763" max="10763" width="16" customWidth="1"/>
    <col min="10764" max="10764" width="11.5703125" customWidth="1"/>
    <col min="10765" max="10765" width="12.7109375" customWidth="1"/>
    <col min="10766" max="10767" width="0" hidden="1" customWidth="1"/>
    <col min="11009" max="11009" width="44.7109375" customWidth="1"/>
    <col min="11010" max="11010" width="14" customWidth="1"/>
    <col min="11011" max="11011" width="11.42578125" customWidth="1"/>
    <col min="11012" max="11012" width="10.42578125" customWidth="1"/>
    <col min="11013" max="11013" width="13.5703125" customWidth="1"/>
    <col min="11014" max="11014" width="11" customWidth="1"/>
    <col min="11015" max="11015" width="10.42578125" customWidth="1"/>
    <col min="11016" max="11016" width="10.85546875" customWidth="1"/>
    <col min="11017" max="11017" width="12.5703125" customWidth="1"/>
    <col min="11018" max="11018" width="11.5703125" customWidth="1"/>
    <col min="11019" max="11019" width="16" customWidth="1"/>
    <col min="11020" max="11020" width="11.5703125" customWidth="1"/>
    <col min="11021" max="11021" width="12.7109375" customWidth="1"/>
    <col min="11022" max="11023" width="0" hidden="1" customWidth="1"/>
    <col min="11265" max="11265" width="44.7109375" customWidth="1"/>
    <col min="11266" max="11266" width="14" customWidth="1"/>
    <col min="11267" max="11267" width="11.42578125" customWidth="1"/>
    <col min="11268" max="11268" width="10.42578125" customWidth="1"/>
    <col min="11269" max="11269" width="13.5703125" customWidth="1"/>
    <col min="11270" max="11270" width="11" customWidth="1"/>
    <col min="11271" max="11271" width="10.42578125" customWidth="1"/>
    <col min="11272" max="11272" width="10.85546875" customWidth="1"/>
    <col min="11273" max="11273" width="12.5703125" customWidth="1"/>
    <col min="11274" max="11274" width="11.5703125" customWidth="1"/>
    <col min="11275" max="11275" width="16" customWidth="1"/>
    <col min="11276" max="11276" width="11.5703125" customWidth="1"/>
    <col min="11277" max="11277" width="12.7109375" customWidth="1"/>
    <col min="11278" max="11279" width="0" hidden="1" customWidth="1"/>
    <col min="11521" max="11521" width="44.7109375" customWidth="1"/>
    <col min="11522" max="11522" width="14" customWidth="1"/>
    <col min="11523" max="11523" width="11.42578125" customWidth="1"/>
    <col min="11524" max="11524" width="10.42578125" customWidth="1"/>
    <col min="11525" max="11525" width="13.5703125" customWidth="1"/>
    <col min="11526" max="11526" width="11" customWidth="1"/>
    <col min="11527" max="11527" width="10.42578125" customWidth="1"/>
    <col min="11528" max="11528" width="10.85546875" customWidth="1"/>
    <col min="11529" max="11529" width="12.5703125" customWidth="1"/>
    <col min="11530" max="11530" width="11.5703125" customWidth="1"/>
    <col min="11531" max="11531" width="16" customWidth="1"/>
    <col min="11532" max="11532" width="11.5703125" customWidth="1"/>
    <col min="11533" max="11533" width="12.7109375" customWidth="1"/>
    <col min="11534" max="11535" width="0" hidden="1" customWidth="1"/>
    <col min="11777" max="11777" width="44.7109375" customWidth="1"/>
    <col min="11778" max="11778" width="14" customWidth="1"/>
    <col min="11779" max="11779" width="11.42578125" customWidth="1"/>
    <col min="11780" max="11780" width="10.42578125" customWidth="1"/>
    <col min="11781" max="11781" width="13.5703125" customWidth="1"/>
    <col min="11782" max="11782" width="11" customWidth="1"/>
    <col min="11783" max="11783" width="10.42578125" customWidth="1"/>
    <col min="11784" max="11784" width="10.85546875" customWidth="1"/>
    <col min="11785" max="11785" width="12.5703125" customWidth="1"/>
    <col min="11786" max="11786" width="11.5703125" customWidth="1"/>
    <col min="11787" max="11787" width="16" customWidth="1"/>
    <col min="11788" max="11788" width="11.5703125" customWidth="1"/>
    <col min="11789" max="11789" width="12.7109375" customWidth="1"/>
    <col min="11790" max="11791" width="0" hidden="1" customWidth="1"/>
    <col min="12033" max="12033" width="44.7109375" customWidth="1"/>
    <col min="12034" max="12034" width="14" customWidth="1"/>
    <col min="12035" max="12035" width="11.42578125" customWidth="1"/>
    <col min="12036" max="12036" width="10.42578125" customWidth="1"/>
    <col min="12037" max="12037" width="13.5703125" customWidth="1"/>
    <col min="12038" max="12038" width="11" customWidth="1"/>
    <col min="12039" max="12039" width="10.42578125" customWidth="1"/>
    <col min="12040" max="12040" width="10.85546875" customWidth="1"/>
    <col min="12041" max="12041" width="12.5703125" customWidth="1"/>
    <col min="12042" max="12042" width="11.5703125" customWidth="1"/>
    <col min="12043" max="12043" width="16" customWidth="1"/>
    <col min="12044" max="12044" width="11.5703125" customWidth="1"/>
    <col min="12045" max="12045" width="12.7109375" customWidth="1"/>
    <col min="12046" max="12047" width="0" hidden="1" customWidth="1"/>
    <col min="12289" max="12289" width="44.7109375" customWidth="1"/>
    <col min="12290" max="12290" width="14" customWidth="1"/>
    <col min="12291" max="12291" width="11.42578125" customWidth="1"/>
    <col min="12292" max="12292" width="10.42578125" customWidth="1"/>
    <col min="12293" max="12293" width="13.5703125" customWidth="1"/>
    <col min="12294" max="12294" width="11" customWidth="1"/>
    <col min="12295" max="12295" width="10.42578125" customWidth="1"/>
    <col min="12296" max="12296" width="10.85546875" customWidth="1"/>
    <col min="12297" max="12297" width="12.5703125" customWidth="1"/>
    <col min="12298" max="12298" width="11.5703125" customWidth="1"/>
    <col min="12299" max="12299" width="16" customWidth="1"/>
    <col min="12300" max="12300" width="11.5703125" customWidth="1"/>
    <col min="12301" max="12301" width="12.7109375" customWidth="1"/>
    <col min="12302" max="12303" width="0" hidden="1" customWidth="1"/>
    <col min="12545" max="12545" width="44.7109375" customWidth="1"/>
    <col min="12546" max="12546" width="14" customWidth="1"/>
    <col min="12547" max="12547" width="11.42578125" customWidth="1"/>
    <col min="12548" max="12548" width="10.42578125" customWidth="1"/>
    <col min="12549" max="12549" width="13.5703125" customWidth="1"/>
    <col min="12550" max="12550" width="11" customWidth="1"/>
    <col min="12551" max="12551" width="10.42578125" customWidth="1"/>
    <col min="12552" max="12552" width="10.85546875" customWidth="1"/>
    <col min="12553" max="12553" width="12.5703125" customWidth="1"/>
    <col min="12554" max="12554" width="11.5703125" customWidth="1"/>
    <col min="12555" max="12555" width="16" customWidth="1"/>
    <col min="12556" max="12556" width="11.5703125" customWidth="1"/>
    <col min="12557" max="12557" width="12.7109375" customWidth="1"/>
    <col min="12558" max="12559" width="0" hidden="1" customWidth="1"/>
    <col min="12801" max="12801" width="44.7109375" customWidth="1"/>
    <col min="12802" max="12802" width="14" customWidth="1"/>
    <col min="12803" max="12803" width="11.42578125" customWidth="1"/>
    <col min="12804" max="12804" width="10.42578125" customWidth="1"/>
    <col min="12805" max="12805" width="13.5703125" customWidth="1"/>
    <col min="12806" max="12806" width="11" customWidth="1"/>
    <col min="12807" max="12807" width="10.42578125" customWidth="1"/>
    <col min="12808" max="12808" width="10.85546875" customWidth="1"/>
    <col min="12809" max="12809" width="12.5703125" customWidth="1"/>
    <col min="12810" max="12810" width="11.5703125" customWidth="1"/>
    <col min="12811" max="12811" width="16" customWidth="1"/>
    <col min="12812" max="12812" width="11.5703125" customWidth="1"/>
    <col min="12813" max="12813" width="12.7109375" customWidth="1"/>
    <col min="12814" max="12815" width="0" hidden="1" customWidth="1"/>
    <col min="13057" max="13057" width="44.7109375" customWidth="1"/>
    <col min="13058" max="13058" width="14" customWidth="1"/>
    <col min="13059" max="13059" width="11.42578125" customWidth="1"/>
    <col min="13060" max="13060" width="10.42578125" customWidth="1"/>
    <col min="13061" max="13061" width="13.5703125" customWidth="1"/>
    <col min="13062" max="13062" width="11" customWidth="1"/>
    <col min="13063" max="13063" width="10.42578125" customWidth="1"/>
    <col min="13064" max="13064" width="10.85546875" customWidth="1"/>
    <col min="13065" max="13065" width="12.5703125" customWidth="1"/>
    <col min="13066" max="13066" width="11.5703125" customWidth="1"/>
    <col min="13067" max="13067" width="16" customWidth="1"/>
    <col min="13068" max="13068" width="11.5703125" customWidth="1"/>
    <col min="13069" max="13069" width="12.7109375" customWidth="1"/>
    <col min="13070" max="13071" width="0" hidden="1" customWidth="1"/>
    <col min="13313" max="13313" width="44.7109375" customWidth="1"/>
    <col min="13314" max="13314" width="14" customWidth="1"/>
    <col min="13315" max="13315" width="11.42578125" customWidth="1"/>
    <col min="13316" max="13316" width="10.42578125" customWidth="1"/>
    <col min="13317" max="13317" width="13.5703125" customWidth="1"/>
    <col min="13318" max="13318" width="11" customWidth="1"/>
    <col min="13319" max="13319" width="10.42578125" customWidth="1"/>
    <col min="13320" max="13320" width="10.85546875" customWidth="1"/>
    <col min="13321" max="13321" width="12.5703125" customWidth="1"/>
    <col min="13322" max="13322" width="11.5703125" customWidth="1"/>
    <col min="13323" max="13323" width="16" customWidth="1"/>
    <col min="13324" max="13324" width="11.5703125" customWidth="1"/>
    <col min="13325" max="13325" width="12.7109375" customWidth="1"/>
    <col min="13326" max="13327" width="0" hidden="1" customWidth="1"/>
    <col min="13569" max="13569" width="44.7109375" customWidth="1"/>
    <col min="13570" max="13570" width="14" customWidth="1"/>
    <col min="13571" max="13571" width="11.42578125" customWidth="1"/>
    <col min="13572" max="13572" width="10.42578125" customWidth="1"/>
    <col min="13573" max="13573" width="13.5703125" customWidth="1"/>
    <col min="13574" max="13574" width="11" customWidth="1"/>
    <col min="13575" max="13575" width="10.42578125" customWidth="1"/>
    <col min="13576" max="13576" width="10.85546875" customWidth="1"/>
    <col min="13577" max="13577" width="12.5703125" customWidth="1"/>
    <col min="13578" max="13578" width="11.5703125" customWidth="1"/>
    <col min="13579" max="13579" width="16" customWidth="1"/>
    <col min="13580" max="13580" width="11.5703125" customWidth="1"/>
    <col min="13581" max="13581" width="12.7109375" customWidth="1"/>
    <col min="13582" max="13583" width="0" hidden="1" customWidth="1"/>
    <col min="13825" max="13825" width="44.7109375" customWidth="1"/>
    <col min="13826" max="13826" width="14" customWidth="1"/>
    <col min="13827" max="13827" width="11.42578125" customWidth="1"/>
    <col min="13828" max="13828" width="10.42578125" customWidth="1"/>
    <col min="13829" max="13829" width="13.5703125" customWidth="1"/>
    <col min="13830" max="13830" width="11" customWidth="1"/>
    <col min="13831" max="13831" width="10.42578125" customWidth="1"/>
    <col min="13832" max="13832" width="10.85546875" customWidth="1"/>
    <col min="13833" max="13833" width="12.5703125" customWidth="1"/>
    <col min="13834" max="13834" width="11.5703125" customWidth="1"/>
    <col min="13835" max="13835" width="16" customWidth="1"/>
    <col min="13836" max="13836" width="11.5703125" customWidth="1"/>
    <col min="13837" max="13837" width="12.7109375" customWidth="1"/>
    <col min="13838" max="13839" width="0" hidden="1" customWidth="1"/>
    <col min="14081" max="14081" width="44.7109375" customWidth="1"/>
    <col min="14082" max="14082" width="14" customWidth="1"/>
    <col min="14083" max="14083" width="11.42578125" customWidth="1"/>
    <col min="14084" max="14084" width="10.42578125" customWidth="1"/>
    <col min="14085" max="14085" width="13.5703125" customWidth="1"/>
    <col min="14086" max="14086" width="11" customWidth="1"/>
    <col min="14087" max="14087" width="10.42578125" customWidth="1"/>
    <col min="14088" max="14088" width="10.85546875" customWidth="1"/>
    <col min="14089" max="14089" width="12.5703125" customWidth="1"/>
    <col min="14090" max="14090" width="11.5703125" customWidth="1"/>
    <col min="14091" max="14091" width="16" customWidth="1"/>
    <col min="14092" max="14092" width="11.5703125" customWidth="1"/>
    <col min="14093" max="14093" width="12.7109375" customWidth="1"/>
    <col min="14094" max="14095" width="0" hidden="1" customWidth="1"/>
    <col min="14337" max="14337" width="44.7109375" customWidth="1"/>
    <col min="14338" max="14338" width="14" customWidth="1"/>
    <col min="14339" max="14339" width="11.42578125" customWidth="1"/>
    <col min="14340" max="14340" width="10.42578125" customWidth="1"/>
    <col min="14341" max="14341" width="13.5703125" customWidth="1"/>
    <col min="14342" max="14342" width="11" customWidth="1"/>
    <col min="14343" max="14343" width="10.42578125" customWidth="1"/>
    <col min="14344" max="14344" width="10.85546875" customWidth="1"/>
    <col min="14345" max="14345" width="12.5703125" customWidth="1"/>
    <col min="14346" max="14346" width="11.5703125" customWidth="1"/>
    <col min="14347" max="14347" width="16" customWidth="1"/>
    <col min="14348" max="14348" width="11.5703125" customWidth="1"/>
    <col min="14349" max="14349" width="12.7109375" customWidth="1"/>
    <col min="14350" max="14351" width="0" hidden="1" customWidth="1"/>
    <col min="14593" max="14593" width="44.7109375" customWidth="1"/>
    <col min="14594" max="14594" width="14" customWidth="1"/>
    <col min="14595" max="14595" width="11.42578125" customWidth="1"/>
    <col min="14596" max="14596" width="10.42578125" customWidth="1"/>
    <col min="14597" max="14597" width="13.5703125" customWidth="1"/>
    <col min="14598" max="14598" width="11" customWidth="1"/>
    <col min="14599" max="14599" width="10.42578125" customWidth="1"/>
    <col min="14600" max="14600" width="10.85546875" customWidth="1"/>
    <col min="14601" max="14601" width="12.5703125" customWidth="1"/>
    <col min="14602" max="14602" width="11.5703125" customWidth="1"/>
    <col min="14603" max="14603" width="16" customWidth="1"/>
    <col min="14604" max="14604" width="11.5703125" customWidth="1"/>
    <col min="14605" max="14605" width="12.7109375" customWidth="1"/>
    <col min="14606" max="14607" width="0" hidden="1" customWidth="1"/>
    <col min="14849" max="14849" width="44.7109375" customWidth="1"/>
    <col min="14850" max="14850" width="14" customWidth="1"/>
    <col min="14851" max="14851" width="11.42578125" customWidth="1"/>
    <col min="14852" max="14852" width="10.42578125" customWidth="1"/>
    <col min="14853" max="14853" width="13.5703125" customWidth="1"/>
    <col min="14854" max="14854" width="11" customWidth="1"/>
    <col min="14855" max="14855" width="10.42578125" customWidth="1"/>
    <col min="14856" max="14856" width="10.85546875" customWidth="1"/>
    <col min="14857" max="14857" width="12.5703125" customWidth="1"/>
    <col min="14858" max="14858" width="11.5703125" customWidth="1"/>
    <col min="14859" max="14859" width="16" customWidth="1"/>
    <col min="14860" max="14860" width="11.5703125" customWidth="1"/>
    <col min="14861" max="14861" width="12.7109375" customWidth="1"/>
    <col min="14862" max="14863" width="0" hidden="1" customWidth="1"/>
    <col min="15105" max="15105" width="44.7109375" customWidth="1"/>
    <col min="15106" max="15106" width="14" customWidth="1"/>
    <col min="15107" max="15107" width="11.42578125" customWidth="1"/>
    <col min="15108" max="15108" width="10.42578125" customWidth="1"/>
    <col min="15109" max="15109" width="13.5703125" customWidth="1"/>
    <col min="15110" max="15110" width="11" customWidth="1"/>
    <col min="15111" max="15111" width="10.42578125" customWidth="1"/>
    <col min="15112" max="15112" width="10.85546875" customWidth="1"/>
    <col min="15113" max="15113" width="12.5703125" customWidth="1"/>
    <col min="15114" max="15114" width="11.5703125" customWidth="1"/>
    <col min="15115" max="15115" width="16" customWidth="1"/>
    <col min="15116" max="15116" width="11.5703125" customWidth="1"/>
    <col min="15117" max="15117" width="12.7109375" customWidth="1"/>
    <col min="15118" max="15119" width="0" hidden="1" customWidth="1"/>
    <col min="15361" max="15361" width="44.7109375" customWidth="1"/>
    <col min="15362" max="15362" width="14" customWidth="1"/>
    <col min="15363" max="15363" width="11.42578125" customWidth="1"/>
    <col min="15364" max="15364" width="10.42578125" customWidth="1"/>
    <col min="15365" max="15365" width="13.5703125" customWidth="1"/>
    <col min="15366" max="15366" width="11" customWidth="1"/>
    <col min="15367" max="15367" width="10.42578125" customWidth="1"/>
    <col min="15368" max="15368" width="10.85546875" customWidth="1"/>
    <col min="15369" max="15369" width="12.5703125" customWidth="1"/>
    <col min="15370" max="15370" width="11.5703125" customWidth="1"/>
    <col min="15371" max="15371" width="16" customWidth="1"/>
    <col min="15372" max="15372" width="11.5703125" customWidth="1"/>
    <col min="15373" max="15373" width="12.7109375" customWidth="1"/>
    <col min="15374" max="15375" width="0" hidden="1" customWidth="1"/>
    <col min="15617" max="15617" width="44.7109375" customWidth="1"/>
    <col min="15618" max="15618" width="14" customWidth="1"/>
    <col min="15619" max="15619" width="11.42578125" customWidth="1"/>
    <col min="15620" max="15620" width="10.42578125" customWidth="1"/>
    <col min="15621" max="15621" width="13.5703125" customWidth="1"/>
    <col min="15622" max="15622" width="11" customWidth="1"/>
    <col min="15623" max="15623" width="10.42578125" customWidth="1"/>
    <col min="15624" max="15624" width="10.85546875" customWidth="1"/>
    <col min="15625" max="15625" width="12.5703125" customWidth="1"/>
    <col min="15626" max="15626" width="11.5703125" customWidth="1"/>
    <col min="15627" max="15627" width="16" customWidth="1"/>
    <col min="15628" max="15628" width="11.5703125" customWidth="1"/>
    <col min="15629" max="15629" width="12.7109375" customWidth="1"/>
    <col min="15630" max="15631" width="0" hidden="1" customWidth="1"/>
    <col min="15873" max="15873" width="44.7109375" customWidth="1"/>
    <col min="15874" max="15874" width="14" customWidth="1"/>
    <col min="15875" max="15875" width="11.42578125" customWidth="1"/>
    <col min="15876" max="15876" width="10.42578125" customWidth="1"/>
    <col min="15877" max="15877" width="13.5703125" customWidth="1"/>
    <col min="15878" max="15878" width="11" customWidth="1"/>
    <col min="15879" max="15879" width="10.42578125" customWidth="1"/>
    <col min="15880" max="15880" width="10.85546875" customWidth="1"/>
    <col min="15881" max="15881" width="12.5703125" customWidth="1"/>
    <col min="15882" max="15882" width="11.5703125" customWidth="1"/>
    <col min="15883" max="15883" width="16" customWidth="1"/>
    <col min="15884" max="15884" width="11.5703125" customWidth="1"/>
    <col min="15885" max="15885" width="12.7109375" customWidth="1"/>
    <col min="15886" max="15887" width="0" hidden="1" customWidth="1"/>
    <col min="16129" max="16129" width="44.7109375" customWidth="1"/>
    <col min="16130" max="16130" width="14" customWidth="1"/>
    <col min="16131" max="16131" width="11.42578125" customWidth="1"/>
    <col min="16132" max="16132" width="10.42578125" customWidth="1"/>
    <col min="16133" max="16133" width="13.5703125" customWidth="1"/>
    <col min="16134" max="16134" width="11" customWidth="1"/>
    <col min="16135" max="16135" width="10.42578125" customWidth="1"/>
    <col min="16136" max="16136" width="10.85546875" customWidth="1"/>
    <col min="16137" max="16137" width="12.5703125" customWidth="1"/>
    <col min="16138" max="16138" width="11.5703125" customWidth="1"/>
    <col min="16139" max="16139" width="16" customWidth="1"/>
    <col min="16140" max="16140" width="11.5703125" customWidth="1"/>
    <col min="16141" max="16141" width="12.7109375" customWidth="1"/>
    <col min="16142" max="16143" width="0" hidden="1" customWidth="1"/>
  </cols>
  <sheetData>
    <row r="1" spans="1:15" ht="18.75">
      <c r="A1" s="767" t="s">
        <v>926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5" ht="18.75">
      <c r="A2" s="767" t="s">
        <v>422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5" ht="18.75">
      <c r="A3" s="767" t="s">
        <v>832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5" ht="14.25" customHeight="1" thickBot="1">
      <c r="A4" s="72"/>
      <c r="B4" s="768" t="s">
        <v>927</v>
      </c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9" t="s">
        <v>423</v>
      </c>
      <c r="N4" s="769"/>
    </row>
    <row r="5" spans="1:15" ht="15.75" customHeight="1">
      <c r="A5" s="761" t="s">
        <v>833</v>
      </c>
      <c r="B5" s="754" t="s">
        <v>834</v>
      </c>
      <c r="C5" s="754" t="s">
        <v>835</v>
      </c>
      <c r="D5" s="764" t="s">
        <v>836</v>
      </c>
      <c r="E5" s="764"/>
      <c r="F5" s="764"/>
      <c r="G5" s="764"/>
      <c r="H5" s="765" t="s">
        <v>837</v>
      </c>
      <c r="I5" s="752" t="s">
        <v>838</v>
      </c>
      <c r="J5" s="754" t="s">
        <v>792</v>
      </c>
      <c r="K5" s="754"/>
      <c r="L5" s="754"/>
      <c r="M5" s="754"/>
      <c r="N5" s="755" t="s">
        <v>455</v>
      </c>
      <c r="O5" s="757" t="s">
        <v>456</v>
      </c>
    </row>
    <row r="6" spans="1:15" ht="56.25" customHeight="1">
      <c r="A6" s="762"/>
      <c r="B6" s="763"/>
      <c r="C6" s="763"/>
      <c r="D6" s="504" t="s">
        <v>424</v>
      </c>
      <c r="E6" s="353" t="s">
        <v>425</v>
      </c>
      <c r="F6" s="239" t="s">
        <v>606</v>
      </c>
      <c r="G6" s="504" t="s">
        <v>605</v>
      </c>
      <c r="H6" s="766"/>
      <c r="I6" s="753"/>
      <c r="J6" s="504" t="s">
        <v>424</v>
      </c>
      <c r="K6" s="353" t="s">
        <v>299</v>
      </c>
      <c r="L6" s="239" t="s">
        <v>628</v>
      </c>
      <c r="M6" s="504" t="s">
        <v>629</v>
      </c>
      <c r="N6" s="756"/>
      <c r="O6" s="758"/>
    </row>
    <row r="7" spans="1:15" ht="13.5" customHeight="1">
      <c r="A7" s="73" t="s">
        <v>426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505">
        <v>8</v>
      </c>
      <c r="J7" s="74">
        <v>9</v>
      </c>
      <c r="K7" s="75">
        <v>10</v>
      </c>
      <c r="L7" s="76">
        <v>11</v>
      </c>
      <c r="M7" s="76">
        <v>12</v>
      </c>
      <c r="N7" s="352">
        <v>7</v>
      </c>
      <c r="O7" s="74">
        <v>8</v>
      </c>
    </row>
    <row r="8" spans="1:15" s="512" customFormat="1" ht="15.75">
      <c r="A8" s="506" t="s">
        <v>427</v>
      </c>
      <c r="B8" s="507">
        <f>SUM(B9+B11+B12+B17+B22)</f>
        <v>7662.7079999999996</v>
      </c>
      <c r="C8" s="508">
        <f>SUM(C9+C11+C12+C17+C22)</f>
        <v>38099</v>
      </c>
      <c r="D8" s="507">
        <f t="shared" ref="D8:J8" si="0">SUM(D9+D11+D12+D17+D22)</f>
        <v>7993</v>
      </c>
      <c r="E8" s="509">
        <f t="shared" si="0"/>
        <v>8064.4023099999995</v>
      </c>
      <c r="F8" s="507">
        <f t="shared" si="0"/>
        <v>71.402310000000398</v>
      </c>
      <c r="G8" s="510">
        <f t="shared" ref="G8:G37" si="1">E8/D8*100</f>
        <v>100.8933105217065</v>
      </c>
      <c r="H8" s="510">
        <f>E8/B8</f>
        <v>1.0524219779743662</v>
      </c>
      <c r="I8" s="509">
        <f t="shared" si="0"/>
        <v>3417.5793199999994</v>
      </c>
      <c r="J8" s="508">
        <f t="shared" si="0"/>
        <v>3887</v>
      </c>
      <c r="K8" s="509">
        <f>SUM(K9+K11+K12+K17+K22)</f>
        <v>4400.92022</v>
      </c>
      <c r="L8" s="507">
        <f t="shared" ref="L8:L39" si="2">+K8-J8</f>
        <v>513.92021999999997</v>
      </c>
      <c r="M8" s="507">
        <f>SUM(K8/J8*100)</f>
        <v>113.2215132492925</v>
      </c>
      <c r="N8" s="511">
        <f>K8/O8</f>
        <v>1.71743228097561</v>
      </c>
      <c r="O8" s="507">
        <f>SUM(O9+O11+O12+O17+O22)</f>
        <v>2562.4999999999995</v>
      </c>
    </row>
    <row r="9" spans="1:15" ht="15.75">
      <c r="A9" s="78" t="s">
        <v>428</v>
      </c>
      <c r="B9" s="80">
        <f>SUM(B10)</f>
        <v>5279.48</v>
      </c>
      <c r="C9" s="513">
        <f>+C10</f>
        <v>22385</v>
      </c>
      <c r="D9" s="80">
        <f>+D10</f>
        <v>5090</v>
      </c>
      <c r="E9" s="459">
        <f>SUM(E10)</f>
        <v>5166.8894600000003</v>
      </c>
      <c r="F9" s="80">
        <f t="shared" ref="F9:F39" si="3">+E9-D9</f>
        <v>76.889460000000327</v>
      </c>
      <c r="G9" s="458">
        <f t="shared" si="1"/>
        <v>101.51059842829078</v>
      </c>
      <c r="H9" s="80">
        <f t="shared" ref="H9:H39" si="4">E9/B9</f>
        <v>0.97867393379651035</v>
      </c>
      <c r="I9" s="459">
        <f>SUM(I10)</f>
        <v>2674.46695</v>
      </c>
      <c r="J9" s="513">
        <f>+J10</f>
        <v>2390</v>
      </c>
      <c r="K9" s="459">
        <f>SUM(K10)</f>
        <v>2715.1088199999999</v>
      </c>
      <c r="L9" s="80">
        <f t="shared" si="2"/>
        <v>325.10881999999992</v>
      </c>
      <c r="M9" s="460">
        <f t="shared" ref="M9:M37" si="5">SUM(K9/J9*100)</f>
        <v>113.60287949790795</v>
      </c>
      <c r="N9" s="351">
        <f t="shared" ref="N9:N39" si="6">K9/O9</f>
        <v>3.8468529611788043</v>
      </c>
      <c r="O9" s="80">
        <f>+O10</f>
        <v>705.8</v>
      </c>
    </row>
    <row r="10" spans="1:15" ht="16.5" customHeight="1">
      <c r="A10" s="81" t="s">
        <v>429</v>
      </c>
      <c r="B10" s="85">
        <v>5279.48</v>
      </c>
      <c r="C10" s="514">
        <v>22385</v>
      </c>
      <c r="D10" s="84">
        <v>5090</v>
      </c>
      <c r="E10" s="515">
        <f>2451.78064+K10</f>
        <v>5166.8894600000003</v>
      </c>
      <c r="F10" s="84">
        <f t="shared" si="3"/>
        <v>76.889460000000327</v>
      </c>
      <c r="G10" s="461">
        <f t="shared" si="1"/>
        <v>101.51059842829078</v>
      </c>
      <c r="H10" s="84">
        <f t="shared" si="4"/>
        <v>0.97867393379651035</v>
      </c>
      <c r="I10" s="515">
        <v>2674.46695</v>
      </c>
      <c r="J10" s="514">
        <v>2390</v>
      </c>
      <c r="K10" s="516">
        <f>866.85947+130.2441+16.6184-6.86261+464.95767+45.14812+74.27443+3.5172+5.00995+219.91975+290.41888+605.00346</f>
        <v>2715.1088199999999</v>
      </c>
      <c r="L10" s="84">
        <f t="shared" si="2"/>
        <v>325.10881999999992</v>
      </c>
      <c r="M10" s="460">
        <f t="shared" si="5"/>
        <v>113.60287949790795</v>
      </c>
      <c r="N10" s="351">
        <f t="shared" si="6"/>
        <v>3.8468529611788043</v>
      </c>
      <c r="O10" s="86">
        <v>705.8</v>
      </c>
    </row>
    <row r="11" spans="1:15" ht="16.5" customHeight="1">
      <c r="A11" s="78" t="s">
        <v>430</v>
      </c>
      <c r="B11" s="86">
        <v>336.34899999999999</v>
      </c>
      <c r="C11" s="513">
        <v>1450</v>
      </c>
      <c r="D11" s="80">
        <v>350</v>
      </c>
      <c r="E11" s="517">
        <f>111.86826+K11</f>
        <v>325.10154</v>
      </c>
      <c r="F11" s="80">
        <f t="shared" si="3"/>
        <v>-24.89846</v>
      </c>
      <c r="G11" s="458">
        <f t="shared" si="1"/>
        <v>92.886154285714284</v>
      </c>
      <c r="H11" s="84">
        <f t="shared" si="4"/>
        <v>0.96656015032005449</v>
      </c>
      <c r="I11" s="517">
        <v>107.96693999999999</v>
      </c>
      <c r="J11" s="513">
        <v>115</v>
      </c>
      <c r="K11" s="518">
        <f>108.15547+105.07781</f>
        <v>213.23327999999998</v>
      </c>
      <c r="L11" s="80">
        <f t="shared" si="2"/>
        <v>98.233279999999979</v>
      </c>
      <c r="M11" s="460">
        <f t="shared" si="5"/>
        <v>185.42024347826086</v>
      </c>
      <c r="N11" s="351">
        <f t="shared" si="6"/>
        <v>2.8393246338215712</v>
      </c>
      <c r="O11" s="86">
        <v>75.099999999999994</v>
      </c>
    </row>
    <row r="12" spans="1:15" ht="16.5" customHeight="1">
      <c r="A12" s="78" t="s">
        <v>431</v>
      </c>
      <c r="B12" s="80">
        <f>SUM(B14:B16)</f>
        <v>1255.0370000000003</v>
      </c>
      <c r="C12" s="513">
        <f>C13+C14+C15+C16</f>
        <v>9983</v>
      </c>
      <c r="D12" s="80">
        <f>SUM(D13:D16)</f>
        <v>1877</v>
      </c>
      <c r="E12" s="459">
        <f>SUM(E13:E16)</f>
        <v>1900.3101200000001</v>
      </c>
      <c r="F12" s="80">
        <f t="shared" si="3"/>
        <v>23.310120000000097</v>
      </c>
      <c r="G12" s="458">
        <f t="shared" si="1"/>
        <v>101.24188172615878</v>
      </c>
      <c r="H12" s="80">
        <f t="shared" si="4"/>
        <v>1.5141466904959773</v>
      </c>
      <c r="I12" s="459">
        <f>SUM(I14:I16)</f>
        <v>329.13607999999999</v>
      </c>
      <c r="J12" s="513">
        <f>J14+J15+J16+J13</f>
        <v>1187</v>
      </c>
      <c r="K12" s="462">
        <f>SUM(K13:K16)</f>
        <v>1012.0149600000001</v>
      </c>
      <c r="L12" s="80">
        <f t="shared" si="2"/>
        <v>-174.98503999999991</v>
      </c>
      <c r="M12" s="460">
        <f t="shared" si="5"/>
        <v>85.258210614995804</v>
      </c>
      <c r="N12" s="351">
        <f t="shared" si="6"/>
        <v>0.60501880791534646</v>
      </c>
      <c r="O12" s="80">
        <f>SUM(O14:O16)</f>
        <v>1672.7</v>
      </c>
    </row>
    <row r="13" spans="1:15" s="521" customFormat="1" ht="16.5" customHeight="1">
      <c r="A13" s="81" t="s">
        <v>839</v>
      </c>
      <c r="B13" s="84">
        <v>0</v>
      </c>
      <c r="C13" s="514">
        <v>7528</v>
      </c>
      <c r="D13" s="84">
        <v>1290</v>
      </c>
      <c r="E13" s="519">
        <f>129.71738+K13</f>
        <v>1095.00856</v>
      </c>
      <c r="F13" s="84">
        <f t="shared" si="3"/>
        <v>-194.99144000000001</v>
      </c>
      <c r="G13" s="461">
        <f t="shared" si="1"/>
        <v>84.884384496124028</v>
      </c>
      <c r="H13" s="84">
        <v>0</v>
      </c>
      <c r="I13" s="519">
        <v>0</v>
      </c>
      <c r="J13" s="514">
        <v>990</v>
      </c>
      <c r="K13" s="350">
        <f>903.91818+61.373</f>
        <v>965.29118000000005</v>
      </c>
      <c r="L13" s="84">
        <f t="shared" si="2"/>
        <v>-24.708819999999946</v>
      </c>
      <c r="M13" s="460">
        <f t="shared" si="5"/>
        <v>97.504159595959607</v>
      </c>
      <c r="N13" s="520"/>
      <c r="O13" s="84"/>
    </row>
    <row r="14" spans="1:15" ht="27.75" customHeight="1">
      <c r="A14" s="87" t="s">
        <v>432</v>
      </c>
      <c r="B14" s="85">
        <v>388.68200000000002</v>
      </c>
      <c r="C14" s="514">
        <v>2440</v>
      </c>
      <c r="D14" s="84">
        <v>585</v>
      </c>
      <c r="E14" s="515">
        <f>14.81202+K14</f>
        <v>67.291979999999995</v>
      </c>
      <c r="F14" s="84">
        <f t="shared" si="3"/>
        <v>-517.70802000000003</v>
      </c>
      <c r="G14" s="461">
        <f t="shared" si="1"/>
        <v>11.502902564102563</v>
      </c>
      <c r="H14" s="84">
        <f t="shared" si="4"/>
        <v>0.17312862442819579</v>
      </c>
      <c r="I14" s="515">
        <v>247.46911</v>
      </c>
      <c r="J14" s="514">
        <v>195</v>
      </c>
      <c r="K14" s="516">
        <f>14.04+16.74+0.001+6.0507+4.5+11.14826</f>
        <v>52.479959999999998</v>
      </c>
      <c r="L14" s="84">
        <f t="shared" si="2"/>
        <v>-142.52003999999999</v>
      </c>
      <c r="M14" s="460">
        <f t="shared" si="5"/>
        <v>26.912799999999997</v>
      </c>
      <c r="N14" s="351">
        <f t="shared" si="6"/>
        <v>0.71207544097693343</v>
      </c>
      <c r="O14" s="85">
        <v>73.7</v>
      </c>
    </row>
    <row r="15" spans="1:15" ht="28.5" customHeight="1">
      <c r="A15" s="87" t="s">
        <v>433</v>
      </c>
      <c r="B15" s="85">
        <v>862.47500000000002</v>
      </c>
      <c r="C15" s="514">
        <v>0</v>
      </c>
      <c r="D15" s="84">
        <v>0</v>
      </c>
      <c r="E15" s="515">
        <f>743.76576+K15</f>
        <v>738.00958000000003</v>
      </c>
      <c r="F15" s="84">
        <f t="shared" si="3"/>
        <v>738.00958000000003</v>
      </c>
      <c r="G15" s="461">
        <v>0</v>
      </c>
      <c r="H15" s="84">
        <f t="shared" si="4"/>
        <v>0.85568808371257143</v>
      </c>
      <c r="I15" s="515">
        <v>77.786969999999997</v>
      </c>
      <c r="J15" s="514">
        <v>0</v>
      </c>
      <c r="K15" s="516">
        <f>7.762+0.00527+0.23+0.008+2.666-2.55085+4.85942+2.49529-3.45201+0.06405+4.88653-22.72988</f>
        <v>-5.7561800000000005</v>
      </c>
      <c r="L15" s="84">
        <f t="shared" si="2"/>
        <v>-5.7561800000000005</v>
      </c>
      <c r="M15" s="460">
        <v>0</v>
      </c>
      <c r="N15" s="351">
        <f t="shared" si="6"/>
        <v>-3.6018897440710847E-3</v>
      </c>
      <c r="O15" s="85">
        <v>1598.1</v>
      </c>
    </row>
    <row r="16" spans="1:15" ht="16.5" customHeight="1">
      <c r="A16" s="87" t="s">
        <v>247</v>
      </c>
      <c r="B16" s="85">
        <v>3.88</v>
      </c>
      <c r="C16" s="514">
        <v>15</v>
      </c>
      <c r="D16" s="84">
        <v>2</v>
      </c>
      <c r="E16" s="515">
        <f>+K16</f>
        <v>0</v>
      </c>
      <c r="F16" s="84">
        <f t="shared" si="3"/>
        <v>-2</v>
      </c>
      <c r="G16" s="461">
        <f t="shared" si="1"/>
        <v>0</v>
      </c>
      <c r="H16" s="84">
        <f t="shared" si="4"/>
        <v>0</v>
      </c>
      <c r="I16" s="515">
        <v>3.88</v>
      </c>
      <c r="J16" s="514">
        <v>2</v>
      </c>
      <c r="K16" s="516">
        <v>0</v>
      </c>
      <c r="L16" s="84">
        <f t="shared" si="2"/>
        <v>-2</v>
      </c>
      <c r="M16" s="460">
        <f t="shared" si="5"/>
        <v>0</v>
      </c>
      <c r="N16" s="351">
        <f t="shared" si="6"/>
        <v>0</v>
      </c>
      <c r="O16" s="85">
        <v>0.9</v>
      </c>
    </row>
    <row r="17" spans="1:15" ht="15.75">
      <c r="A17" s="78" t="s">
        <v>434</v>
      </c>
      <c r="B17" s="80">
        <f>B19+B18</f>
        <v>704.09300000000007</v>
      </c>
      <c r="C17" s="522">
        <f>C18+C19</f>
        <v>3771</v>
      </c>
      <c r="D17" s="80">
        <f>D18+D19</f>
        <v>561</v>
      </c>
      <c r="E17" s="459">
        <f>E18+E19</f>
        <v>572.31899999999996</v>
      </c>
      <c r="F17" s="80">
        <f t="shared" si="3"/>
        <v>11.31899999999996</v>
      </c>
      <c r="G17" s="458">
        <f t="shared" si="1"/>
        <v>102.01764705882353</v>
      </c>
      <c r="H17" s="80">
        <f>E17/B17</f>
        <v>0.8128457462295462</v>
      </c>
      <c r="I17" s="459">
        <f>I19+I18</f>
        <v>280.55244000000005</v>
      </c>
      <c r="J17" s="513">
        <f>J19+J18</f>
        <v>155</v>
      </c>
      <c r="K17" s="462">
        <f>SUM(K18:K19)</f>
        <v>417.78894000000003</v>
      </c>
      <c r="L17" s="80">
        <f t="shared" si="2"/>
        <v>262.78894000000003</v>
      </c>
      <c r="M17" s="460">
        <f t="shared" si="5"/>
        <v>269.54125161290324</v>
      </c>
      <c r="N17" s="351">
        <f t="shared" si="6"/>
        <v>4.1080525073746319</v>
      </c>
      <c r="O17" s="80">
        <f>SUM(O18:O19)</f>
        <v>101.69999999999999</v>
      </c>
    </row>
    <row r="18" spans="1:15" ht="14.25" customHeight="1">
      <c r="A18" s="81" t="s">
        <v>18</v>
      </c>
      <c r="B18" s="85">
        <v>201.85900000000001</v>
      </c>
      <c r="C18" s="514">
        <v>1720</v>
      </c>
      <c r="D18" s="84">
        <v>185</v>
      </c>
      <c r="E18" s="515">
        <f>89.7527+K18</f>
        <v>307.45486</v>
      </c>
      <c r="F18" s="84">
        <f t="shared" si="3"/>
        <v>122.45486</v>
      </c>
      <c r="G18" s="461">
        <f t="shared" si="1"/>
        <v>166.19181621621621</v>
      </c>
      <c r="H18" s="84">
        <f t="shared" si="4"/>
        <v>1.5231169281528194</v>
      </c>
      <c r="I18" s="515">
        <v>146.94289000000001</v>
      </c>
      <c r="J18" s="514">
        <v>85</v>
      </c>
      <c r="K18" s="516">
        <f>6.82823+1.56198+25.92205+0.809+0.63626-1.77152+0.49921+0.00282+3.18236+3.21251+0.70095+176.11831</f>
        <v>217.70215999999999</v>
      </c>
      <c r="L18" s="84">
        <f t="shared" si="2"/>
        <v>132.70215999999999</v>
      </c>
      <c r="M18" s="460">
        <f t="shared" si="5"/>
        <v>256.12018823529411</v>
      </c>
      <c r="N18" s="351">
        <f t="shared" si="6"/>
        <v>4.4158653144016231</v>
      </c>
      <c r="O18" s="85">
        <v>49.3</v>
      </c>
    </row>
    <row r="19" spans="1:15" ht="15.75">
      <c r="A19" s="78" t="s">
        <v>630</v>
      </c>
      <c r="B19" s="80">
        <f>B20+B21</f>
        <v>502.23400000000004</v>
      </c>
      <c r="C19" s="523">
        <f>C20+C21</f>
        <v>2051</v>
      </c>
      <c r="D19" s="86">
        <f>D20+D21</f>
        <v>376</v>
      </c>
      <c r="E19" s="517">
        <f>E20+E21</f>
        <v>264.86414000000002</v>
      </c>
      <c r="F19" s="80">
        <f t="shared" si="3"/>
        <v>-111.13585999999998</v>
      </c>
      <c r="G19" s="458">
        <f t="shared" si="1"/>
        <v>70.442590425531932</v>
      </c>
      <c r="H19" s="80">
        <f t="shared" si="4"/>
        <v>0.52737198198449331</v>
      </c>
      <c r="I19" s="459">
        <f>I20+I21</f>
        <v>133.60955000000001</v>
      </c>
      <c r="J19" s="513">
        <f>J20+J21</f>
        <v>70</v>
      </c>
      <c r="K19" s="462">
        <f>K20+K21</f>
        <v>200.08678</v>
      </c>
      <c r="L19" s="80">
        <f>L20+L21</f>
        <v>130.08678</v>
      </c>
      <c r="M19" s="460">
        <f t="shared" si="5"/>
        <v>285.83825714285712</v>
      </c>
      <c r="N19" s="351">
        <f t="shared" si="6"/>
        <v>3.8184500000000003</v>
      </c>
      <c r="O19" s="84">
        <v>52.4</v>
      </c>
    </row>
    <row r="20" spans="1:15" ht="15.75">
      <c r="A20" s="81" t="s">
        <v>631</v>
      </c>
      <c r="B20" s="85">
        <v>57.034999999999997</v>
      </c>
      <c r="C20" s="514">
        <v>850</v>
      </c>
      <c r="D20" s="84">
        <v>75</v>
      </c>
      <c r="E20" s="515">
        <f>23.72115+K20</f>
        <v>51.349730000000001</v>
      </c>
      <c r="F20" s="84">
        <f t="shared" si="3"/>
        <v>-23.650269999999999</v>
      </c>
      <c r="G20" s="461">
        <f t="shared" si="1"/>
        <v>68.466306666666668</v>
      </c>
      <c r="H20" s="84">
        <f t="shared" si="4"/>
        <v>0.90031962829841328</v>
      </c>
      <c r="I20" s="515">
        <v>52.275640000000003</v>
      </c>
      <c r="J20" s="514">
        <v>40</v>
      </c>
      <c r="K20" s="350">
        <f>1.54945+0.79088+0.34629+0.34931+0.76987+14.40773+0.94899-0.00239+1.24727+1.1717+0.39751+5.65197</f>
        <v>27.628579999999999</v>
      </c>
      <c r="L20" s="84">
        <f t="shared" si="2"/>
        <v>-12.371420000000001</v>
      </c>
      <c r="M20" s="460">
        <v>0</v>
      </c>
      <c r="N20" s="351">
        <f t="shared" si="6"/>
        <v>0.52726297709923664</v>
      </c>
      <c r="O20" s="84">
        <v>52.4</v>
      </c>
    </row>
    <row r="21" spans="1:15" ht="15.75">
      <c r="A21" s="81" t="s">
        <v>632</v>
      </c>
      <c r="B21" s="84">
        <v>445.19900000000001</v>
      </c>
      <c r="C21" s="514">
        <v>1201</v>
      </c>
      <c r="D21" s="84">
        <v>301</v>
      </c>
      <c r="E21" s="519">
        <f>41.05621+K21</f>
        <v>213.51441</v>
      </c>
      <c r="F21" s="84">
        <f>+E21-D21</f>
        <v>-87.485590000000002</v>
      </c>
      <c r="G21" s="461">
        <f t="shared" si="1"/>
        <v>70.935019933554827</v>
      </c>
      <c r="H21" s="84">
        <f>E21/B21</f>
        <v>0.47959319315631882</v>
      </c>
      <c r="I21" s="519">
        <v>81.333910000000003</v>
      </c>
      <c r="J21" s="514">
        <v>30</v>
      </c>
      <c r="K21" s="350">
        <f>134.11+28.491+4.257+11.849-27.3038+21.055</f>
        <v>172.45820000000001</v>
      </c>
      <c r="L21" s="84">
        <f>+K21-J21</f>
        <v>142.45820000000001</v>
      </c>
      <c r="M21" s="460">
        <f t="shared" si="5"/>
        <v>574.86066666666659</v>
      </c>
      <c r="N21" s="351">
        <f>K21/O21</f>
        <v>3.2911870229007634</v>
      </c>
      <c r="O21" s="84">
        <v>52.4</v>
      </c>
    </row>
    <row r="22" spans="1:15" ht="15.75">
      <c r="A22" s="78" t="s">
        <v>435</v>
      </c>
      <c r="B22" s="86">
        <v>87.748999999999995</v>
      </c>
      <c r="C22" s="513">
        <v>510</v>
      </c>
      <c r="D22" s="80">
        <v>115</v>
      </c>
      <c r="E22" s="517">
        <f>57.00797+K22</f>
        <v>99.782190000000014</v>
      </c>
      <c r="F22" s="80">
        <f t="shared" si="3"/>
        <v>-15.217809999999986</v>
      </c>
      <c r="G22" s="458">
        <f t="shared" si="1"/>
        <v>86.767121739130445</v>
      </c>
      <c r="H22" s="80">
        <f t="shared" si="4"/>
        <v>1.1371319331274432</v>
      </c>
      <c r="I22" s="517">
        <v>25.456910000000001</v>
      </c>
      <c r="J22" s="513">
        <v>40</v>
      </c>
      <c r="K22" s="518">
        <f>9.05426+3.2-3.22641+0.4911+4.37482+14.20435+0.89909+7.77551+0.74687+4.61995+0.63468</f>
        <v>42.774220000000007</v>
      </c>
      <c r="L22" s="80">
        <f t="shared" si="2"/>
        <v>2.7742200000000068</v>
      </c>
      <c r="M22" s="460">
        <f t="shared" si="5"/>
        <v>106.93555000000001</v>
      </c>
      <c r="N22" s="351">
        <f t="shared" si="6"/>
        <v>5.9408638888888898</v>
      </c>
      <c r="O22" s="86">
        <v>7.2</v>
      </c>
    </row>
    <row r="23" spans="1:15" s="512" customFormat="1" ht="15.75">
      <c r="A23" s="524" t="s">
        <v>26</v>
      </c>
      <c r="B23" s="507">
        <f>SUM(B24+B27+B29+B32+B35+B36+B38)</f>
        <v>714.61400000000003</v>
      </c>
      <c r="C23" s="508">
        <f>SUM(C24+C27+C29+C32+C35+C36+C38)</f>
        <v>2836</v>
      </c>
      <c r="D23" s="507">
        <f>SUM(D24+D27+D29+D32+D35+D36+D38)</f>
        <v>688</v>
      </c>
      <c r="E23" s="509">
        <f>SUM(E24+E27+E29+E32+E35+E36)</f>
        <v>696.98568</v>
      </c>
      <c r="F23" s="507">
        <f t="shared" si="3"/>
        <v>8.9856800000000021</v>
      </c>
      <c r="G23" s="510">
        <f t="shared" si="1"/>
        <v>101.30605813953488</v>
      </c>
      <c r="H23" s="507">
        <f>E23/B23</f>
        <v>0.97533168955548022</v>
      </c>
      <c r="I23" s="509">
        <f>SUM(I24+I27+I29+I32+I35+I36)</f>
        <v>173.37923000000001</v>
      </c>
      <c r="J23" s="508">
        <f>SUM(J24+J27+J29+J32+J35+J36+J38)</f>
        <v>226</v>
      </c>
      <c r="K23" s="509">
        <f>SUM(K24+K27+K29+K32+K35+K36)</f>
        <v>516.82001999999989</v>
      </c>
      <c r="L23" s="507">
        <f>+K23-J23</f>
        <v>290.82001999999989</v>
      </c>
      <c r="M23" s="507">
        <f t="shared" si="5"/>
        <v>228.681424778761</v>
      </c>
      <c r="N23" s="511">
        <f t="shared" si="6"/>
        <v>2.2949379218472465</v>
      </c>
      <c r="O23" s="507">
        <f>SUM(O24+O27+O29+O32+O35+O36+O38)</f>
        <v>225.2</v>
      </c>
    </row>
    <row r="24" spans="1:15" ht="18" customHeight="1">
      <c r="A24" s="78" t="s">
        <v>436</v>
      </c>
      <c r="B24" s="80">
        <f>SUM(B25:B26)</f>
        <v>581.56200000000001</v>
      </c>
      <c r="C24" s="513">
        <f>SUM(C25:C26)</f>
        <v>2396</v>
      </c>
      <c r="D24" s="79">
        <f t="shared" ref="D24:K24" si="7">SUM(D25:D26)</f>
        <v>599</v>
      </c>
      <c r="E24" s="462">
        <f t="shared" si="7"/>
        <v>324.44362999999998</v>
      </c>
      <c r="F24" s="79">
        <f t="shared" si="7"/>
        <v>-274.55637000000002</v>
      </c>
      <c r="G24" s="458">
        <f t="shared" si="1"/>
        <v>54.164212020033389</v>
      </c>
      <c r="H24" s="79">
        <f t="shared" si="7"/>
        <v>1.5391868796542383</v>
      </c>
      <c r="I24" s="459">
        <f t="shared" si="7"/>
        <v>100.15404000000001</v>
      </c>
      <c r="J24" s="513">
        <f t="shared" si="7"/>
        <v>205</v>
      </c>
      <c r="K24" s="462">
        <f t="shared" si="7"/>
        <v>239.26513999999997</v>
      </c>
      <c r="L24" s="80">
        <f t="shared" si="2"/>
        <v>34.265139999999974</v>
      </c>
      <c r="M24" s="460">
        <f t="shared" si="5"/>
        <v>116.71470243902438</v>
      </c>
      <c r="N24" s="351">
        <f t="shared" si="6"/>
        <v>1.7005340440653873</v>
      </c>
      <c r="O24" s="79">
        <f>SUM(O25:O26)</f>
        <v>140.69999999999999</v>
      </c>
    </row>
    <row r="25" spans="1:15" ht="15.75">
      <c r="A25" s="87" t="s">
        <v>438</v>
      </c>
      <c r="B25" s="85">
        <v>412.79</v>
      </c>
      <c r="C25" s="514">
        <v>818</v>
      </c>
      <c r="D25" s="84">
        <v>202</v>
      </c>
      <c r="E25" s="515">
        <f>31.86547+K25</f>
        <v>109.40155</v>
      </c>
      <c r="F25" s="84">
        <f>+E25-D25</f>
        <v>-92.59845</v>
      </c>
      <c r="G25" s="461">
        <f t="shared" si="1"/>
        <v>54.159183168316829</v>
      </c>
      <c r="H25" s="84">
        <f>E25/B25</f>
        <v>0.26502955497952951</v>
      </c>
      <c r="I25" s="515">
        <v>44.075530000000001</v>
      </c>
      <c r="J25" s="514">
        <v>72</v>
      </c>
      <c r="K25" s="516">
        <f>2.475+8.52888+53.1+13.4322</f>
        <v>77.536079999999998</v>
      </c>
      <c r="L25" s="84">
        <f>+K25-J25</f>
        <v>5.5360799999999983</v>
      </c>
      <c r="M25" s="460">
        <f t="shared" si="5"/>
        <v>107.68899999999999</v>
      </c>
      <c r="N25" s="351">
        <f t="shared" si="6"/>
        <v>1.1965444444444444</v>
      </c>
      <c r="O25" s="85">
        <v>64.8</v>
      </c>
    </row>
    <row r="26" spans="1:15" ht="15.75">
      <c r="A26" s="87" t="s">
        <v>437</v>
      </c>
      <c r="B26" s="85">
        <v>168.77199999999999</v>
      </c>
      <c r="C26" s="514">
        <v>1578</v>
      </c>
      <c r="D26" s="84">
        <v>397</v>
      </c>
      <c r="E26" s="515">
        <f>53.31302+K26</f>
        <v>215.04207999999997</v>
      </c>
      <c r="F26" s="84">
        <f t="shared" si="3"/>
        <v>-181.95792000000003</v>
      </c>
      <c r="G26" s="461">
        <f t="shared" si="1"/>
        <v>54.16677078085641</v>
      </c>
      <c r="H26" s="84">
        <f t="shared" si="4"/>
        <v>1.2741573246747089</v>
      </c>
      <c r="I26" s="515">
        <v>56.078510000000001</v>
      </c>
      <c r="J26" s="514">
        <v>133</v>
      </c>
      <c r="K26" s="516">
        <f>80.62771+7.77175+33.816+10.668+6.8456+20+2</f>
        <v>161.72905999999998</v>
      </c>
      <c r="L26" s="84">
        <f t="shared" si="2"/>
        <v>28.729059999999976</v>
      </c>
      <c r="M26" s="460">
        <f t="shared" si="5"/>
        <v>121.60079699248118</v>
      </c>
      <c r="N26" s="351">
        <f t="shared" si="6"/>
        <v>2.1308176548089586</v>
      </c>
      <c r="O26" s="85">
        <v>75.900000000000006</v>
      </c>
    </row>
    <row r="27" spans="1:15" ht="34.5" customHeight="1">
      <c r="A27" s="88" t="s">
        <v>439</v>
      </c>
      <c r="B27" s="80">
        <f>SUM(B28:B28)</f>
        <v>35.53</v>
      </c>
      <c r="C27" s="513">
        <f>SUM(C28:C28)</f>
        <v>180</v>
      </c>
      <c r="D27" s="80">
        <f>SUM(D28:D28)</f>
        <v>43</v>
      </c>
      <c r="E27" s="459">
        <f>SUM(E28:E28)</f>
        <v>75.993009999999998</v>
      </c>
      <c r="F27" s="80">
        <f t="shared" si="3"/>
        <v>32.993009999999998</v>
      </c>
      <c r="G27" s="458">
        <f t="shared" si="1"/>
        <v>176.72793023255812</v>
      </c>
      <c r="H27" s="80">
        <f t="shared" si="4"/>
        <v>2.1388406980016885</v>
      </c>
      <c r="I27" s="459">
        <f>SUM(I28:I28)</f>
        <v>1.5882799999999999</v>
      </c>
      <c r="J27" s="513">
        <f>J28</f>
        <v>5</v>
      </c>
      <c r="K27" s="462">
        <f>SUM(K28:K28)</f>
        <v>75.868859999999998</v>
      </c>
      <c r="L27" s="80">
        <f t="shared" si="2"/>
        <v>70.868859999999998</v>
      </c>
      <c r="M27" s="460">
        <f t="shared" si="5"/>
        <v>1517.3771999999999</v>
      </c>
      <c r="N27" s="351">
        <f t="shared" si="6"/>
        <v>4.1233076086956526</v>
      </c>
      <c r="O27" s="80">
        <f>SUM(O28:O28)</f>
        <v>18.399999999999999</v>
      </c>
    </row>
    <row r="28" spans="1:15" ht="31.5">
      <c r="A28" s="89" t="s">
        <v>40</v>
      </c>
      <c r="B28" s="85">
        <v>35.53</v>
      </c>
      <c r="C28" s="514">
        <v>180</v>
      </c>
      <c r="D28" s="84">
        <v>43</v>
      </c>
      <c r="E28" s="515">
        <f>0.12415+K28</f>
        <v>75.993009999999998</v>
      </c>
      <c r="F28" s="84">
        <f t="shared" si="3"/>
        <v>32.993009999999998</v>
      </c>
      <c r="G28" s="461">
        <f t="shared" si="1"/>
        <v>176.72793023255812</v>
      </c>
      <c r="H28" s="84">
        <f t="shared" si="4"/>
        <v>2.1388406980016885</v>
      </c>
      <c r="I28" s="515">
        <v>1.5882799999999999</v>
      </c>
      <c r="J28" s="514">
        <v>5</v>
      </c>
      <c r="K28" s="516">
        <f>36.51671+24.53575+2.493+1.02+11.3034</f>
        <v>75.868859999999998</v>
      </c>
      <c r="L28" s="84">
        <f t="shared" si="2"/>
        <v>70.868859999999998</v>
      </c>
      <c r="M28" s="460">
        <f t="shared" si="5"/>
        <v>1517.3771999999999</v>
      </c>
      <c r="N28" s="351">
        <f t="shared" si="6"/>
        <v>4.1233076086956526</v>
      </c>
      <c r="O28" s="85">
        <v>18.399999999999999</v>
      </c>
    </row>
    <row r="29" spans="1:15" ht="30.75" customHeight="1">
      <c r="A29" s="88" t="s">
        <v>440</v>
      </c>
      <c r="B29" s="80">
        <f>SUM(B30:B31)</f>
        <v>11.303000000000001</v>
      </c>
      <c r="C29" s="513">
        <f>SUM(C30:C31)</f>
        <v>0</v>
      </c>
      <c r="D29" s="80">
        <f>SUM(D30:D31)</f>
        <v>0</v>
      </c>
      <c r="E29" s="459">
        <f>SUM(E30:E31)</f>
        <v>17.279209999999999</v>
      </c>
      <c r="F29" s="80">
        <f t="shared" si="3"/>
        <v>17.279209999999999</v>
      </c>
      <c r="G29" s="458">
        <v>0</v>
      </c>
      <c r="H29" s="80">
        <f t="shared" si="4"/>
        <v>1.5287277713881269</v>
      </c>
      <c r="I29" s="459">
        <f>SUM(I30:I31)</f>
        <v>7.7185899999999998</v>
      </c>
      <c r="J29" s="513">
        <f>SUM(J30:J31)</f>
        <v>0</v>
      </c>
      <c r="K29" s="350">
        <f>K31</f>
        <v>0</v>
      </c>
      <c r="L29" s="80">
        <f t="shared" si="2"/>
        <v>0</v>
      </c>
      <c r="M29" s="460">
        <v>0</v>
      </c>
      <c r="N29" s="351">
        <f t="shared" si="6"/>
        <v>0</v>
      </c>
      <c r="O29" s="80">
        <f>SUM(O30:O31)</f>
        <v>0.5</v>
      </c>
    </row>
    <row r="30" spans="1:15" ht="15.75" hidden="1">
      <c r="A30" s="81" t="s">
        <v>441</v>
      </c>
      <c r="B30" s="84"/>
      <c r="C30" s="514">
        <v>0</v>
      </c>
      <c r="D30" s="84"/>
      <c r="E30" s="519"/>
      <c r="F30" s="80">
        <f t="shared" si="3"/>
        <v>0</v>
      </c>
      <c r="G30" s="458" t="e">
        <f t="shared" si="1"/>
        <v>#DIV/0!</v>
      </c>
      <c r="H30" s="80" t="e">
        <f t="shared" si="4"/>
        <v>#DIV/0!</v>
      </c>
      <c r="I30" s="519"/>
      <c r="J30" s="514"/>
      <c r="K30" s="350"/>
      <c r="L30" s="84">
        <f t="shared" si="2"/>
        <v>0</v>
      </c>
      <c r="M30" s="460" t="e">
        <f t="shared" si="5"/>
        <v>#DIV/0!</v>
      </c>
      <c r="N30" s="351" t="e">
        <f t="shared" si="6"/>
        <v>#DIV/0!</v>
      </c>
      <c r="O30" s="84"/>
    </row>
    <row r="31" spans="1:15" ht="31.5" customHeight="1">
      <c r="A31" s="81" t="s">
        <v>442</v>
      </c>
      <c r="B31" s="86">
        <v>11.303000000000001</v>
      </c>
      <c r="C31" s="514">
        <v>0</v>
      </c>
      <c r="D31" s="84">
        <v>0</v>
      </c>
      <c r="E31" s="517">
        <f>17.27921+K31</f>
        <v>17.279209999999999</v>
      </c>
      <c r="F31" s="84">
        <f t="shared" si="3"/>
        <v>17.279209999999999</v>
      </c>
      <c r="G31" s="461">
        <v>0</v>
      </c>
      <c r="H31" s="84">
        <f t="shared" si="4"/>
        <v>1.5287277713881269</v>
      </c>
      <c r="I31" s="517">
        <v>7.7185899999999998</v>
      </c>
      <c r="J31" s="514">
        <v>0</v>
      </c>
      <c r="K31" s="516">
        <v>0</v>
      </c>
      <c r="L31" s="84">
        <f t="shared" si="2"/>
        <v>0</v>
      </c>
      <c r="M31" s="460">
        <v>0</v>
      </c>
      <c r="N31" s="351">
        <f t="shared" si="6"/>
        <v>0</v>
      </c>
      <c r="O31" s="86">
        <v>0.5</v>
      </c>
    </row>
    <row r="32" spans="1:15" ht="29.25" customHeight="1">
      <c r="A32" s="78" t="s">
        <v>443</v>
      </c>
      <c r="B32" s="80">
        <f>SUM(B33:B34)</f>
        <v>22.652000000000001</v>
      </c>
      <c r="C32" s="513">
        <f>SUM(C33:C34)</f>
        <v>120</v>
      </c>
      <c r="D32" s="80">
        <f>SUM(D33:D34)</f>
        <v>26</v>
      </c>
      <c r="E32" s="459">
        <f>SUM(E33:E34)</f>
        <v>54.059259999999995</v>
      </c>
      <c r="F32" s="80">
        <f t="shared" si="3"/>
        <v>28.059259999999995</v>
      </c>
      <c r="G32" s="458">
        <f t="shared" si="1"/>
        <v>207.92023076923076</v>
      </c>
      <c r="H32" s="80">
        <f t="shared" si="4"/>
        <v>2.3865115663076106</v>
      </c>
      <c r="I32" s="459">
        <f>SUM(I33:I34)</f>
        <v>3.65232</v>
      </c>
      <c r="J32" s="513">
        <f>SUM(J33:J34)</f>
        <v>6</v>
      </c>
      <c r="K32" s="462">
        <f>SUM(K33:K34)</f>
        <v>33</v>
      </c>
      <c r="L32" s="80">
        <f t="shared" si="2"/>
        <v>27</v>
      </c>
      <c r="M32" s="460">
        <f t="shared" si="5"/>
        <v>550</v>
      </c>
      <c r="N32" s="351">
        <f t="shared" si="6"/>
        <v>2.5</v>
      </c>
      <c r="O32" s="80">
        <f>O33+O34</f>
        <v>13.2</v>
      </c>
    </row>
    <row r="33" spans="1:17" ht="31.5" hidden="1">
      <c r="A33" s="81" t="s">
        <v>444</v>
      </c>
      <c r="B33" s="84">
        <v>0</v>
      </c>
      <c r="C33" s="514"/>
      <c r="D33" s="84"/>
      <c r="E33" s="350"/>
      <c r="F33" s="83">
        <f t="shared" si="3"/>
        <v>0</v>
      </c>
      <c r="G33" s="458" t="e">
        <f t="shared" si="1"/>
        <v>#DIV/0!</v>
      </c>
      <c r="H33" s="83" t="e">
        <f t="shared" si="4"/>
        <v>#DIV/0!</v>
      </c>
      <c r="I33" s="519">
        <v>0</v>
      </c>
      <c r="J33" s="514">
        <v>0</v>
      </c>
      <c r="K33" s="350"/>
      <c r="L33" s="83">
        <f t="shared" si="2"/>
        <v>0</v>
      </c>
      <c r="M33" s="460" t="e">
        <f t="shared" si="5"/>
        <v>#DIV/0!</v>
      </c>
      <c r="N33" s="351" t="e">
        <f t="shared" si="6"/>
        <v>#DIV/0!</v>
      </c>
      <c r="O33" s="83">
        <v>0</v>
      </c>
    </row>
    <row r="34" spans="1:17" ht="15.75">
      <c r="A34" s="81" t="s">
        <v>445</v>
      </c>
      <c r="B34" s="85">
        <v>22.652000000000001</v>
      </c>
      <c r="C34" s="514">
        <v>120</v>
      </c>
      <c r="D34" s="84">
        <v>26</v>
      </c>
      <c r="E34" s="516">
        <f>21.05926+K34</f>
        <v>54.059259999999995</v>
      </c>
      <c r="F34" s="84">
        <f t="shared" si="3"/>
        <v>28.059259999999995</v>
      </c>
      <c r="G34" s="461">
        <f t="shared" si="1"/>
        <v>207.92023076923076</v>
      </c>
      <c r="H34" s="83">
        <f t="shared" si="4"/>
        <v>2.3865115663076106</v>
      </c>
      <c r="I34" s="515">
        <v>3.65232</v>
      </c>
      <c r="J34" s="514">
        <v>6</v>
      </c>
      <c r="K34" s="516">
        <v>33</v>
      </c>
      <c r="L34" s="83">
        <f t="shared" si="2"/>
        <v>27</v>
      </c>
      <c r="M34" s="460">
        <f t="shared" si="5"/>
        <v>550</v>
      </c>
      <c r="N34" s="351">
        <f t="shared" si="6"/>
        <v>2.5</v>
      </c>
      <c r="O34" s="82">
        <v>13.2</v>
      </c>
    </row>
    <row r="35" spans="1:17" ht="26.25" customHeight="1">
      <c r="A35" s="78" t="s">
        <v>446</v>
      </c>
      <c r="B35" s="80">
        <v>7.3010000000000002</v>
      </c>
      <c r="C35" s="513">
        <v>120</v>
      </c>
      <c r="D35" s="80">
        <v>20</v>
      </c>
      <c r="E35" s="462">
        <f>56.52455+K35</f>
        <v>223.21056999999999</v>
      </c>
      <c r="F35" s="79">
        <f t="shared" si="3"/>
        <v>203.21056999999999</v>
      </c>
      <c r="G35" s="458">
        <f t="shared" si="1"/>
        <v>1116.05285</v>
      </c>
      <c r="H35" s="79">
        <f t="shared" si="4"/>
        <v>30.572602383235171</v>
      </c>
      <c r="I35" s="459">
        <v>4.5</v>
      </c>
      <c r="J35" s="513">
        <v>10</v>
      </c>
      <c r="K35" s="462">
        <f>62.92398+1.5+8.33877+62.14247+8.38978+9.9+3.57555+8.34425+1.57122</f>
        <v>166.68601999999998</v>
      </c>
      <c r="L35" s="79">
        <f t="shared" si="2"/>
        <v>156.68601999999998</v>
      </c>
      <c r="M35" s="460">
        <f t="shared" si="5"/>
        <v>1666.8602000000001</v>
      </c>
      <c r="N35" s="351">
        <f t="shared" si="6"/>
        <v>9.1085256830601082</v>
      </c>
      <c r="O35" s="79">
        <v>18.3</v>
      </c>
      <c r="Q35" s="525"/>
    </row>
    <row r="36" spans="1:17" ht="15.75">
      <c r="A36" s="78" t="s">
        <v>262</v>
      </c>
      <c r="B36" s="85">
        <v>56.265999999999998</v>
      </c>
      <c r="C36" s="513">
        <v>20</v>
      </c>
      <c r="D36" s="80">
        <v>0</v>
      </c>
      <c r="E36" s="516">
        <f>+K36</f>
        <v>2.0000000000000004</v>
      </c>
      <c r="F36" s="83">
        <f t="shared" si="3"/>
        <v>2.0000000000000004</v>
      </c>
      <c r="G36" s="458">
        <v>0</v>
      </c>
      <c r="H36" s="79">
        <v>0</v>
      </c>
      <c r="I36" s="515">
        <v>55.765999999999998</v>
      </c>
      <c r="J36" s="513">
        <v>0</v>
      </c>
      <c r="K36" s="516">
        <f>2+2.772-2.772+2.156-2.156</f>
        <v>2.0000000000000004</v>
      </c>
      <c r="L36" s="79">
        <f t="shared" si="2"/>
        <v>2.0000000000000004</v>
      </c>
      <c r="M36" s="460">
        <v>0</v>
      </c>
      <c r="N36" s="351">
        <f t="shared" si="6"/>
        <v>5.8651026392961887E-2</v>
      </c>
      <c r="O36" s="82">
        <v>34.1</v>
      </c>
    </row>
    <row r="37" spans="1:17" ht="15.75" hidden="1">
      <c r="A37" s="81" t="s">
        <v>447</v>
      </c>
      <c r="B37" s="83">
        <v>0</v>
      </c>
      <c r="C37" s="514"/>
      <c r="D37" s="84">
        <v>0</v>
      </c>
      <c r="E37" s="350">
        <v>0</v>
      </c>
      <c r="F37" s="83">
        <f t="shared" si="3"/>
        <v>0</v>
      </c>
      <c r="G37" s="458" t="e">
        <f t="shared" si="1"/>
        <v>#DIV/0!</v>
      </c>
      <c r="H37" s="79">
        <v>0</v>
      </c>
      <c r="I37" s="350">
        <v>0</v>
      </c>
      <c r="J37" s="514">
        <v>0</v>
      </c>
      <c r="K37" s="350">
        <v>0</v>
      </c>
      <c r="L37" s="79">
        <f t="shared" si="2"/>
        <v>0</v>
      </c>
      <c r="M37" s="460" t="e">
        <f t="shared" si="5"/>
        <v>#DIV/0!</v>
      </c>
      <c r="N37" s="281" t="e">
        <f t="shared" si="6"/>
        <v>#DIV/0!</v>
      </c>
      <c r="O37" s="83"/>
    </row>
    <row r="38" spans="1:17" ht="15.75" hidden="1">
      <c r="A38" s="81" t="s">
        <v>448</v>
      </c>
      <c r="B38" s="83">
        <v>0</v>
      </c>
      <c r="C38" s="514">
        <v>0</v>
      </c>
      <c r="D38" s="84">
        <v>0</v>
      </c>
      <c r="E38" s="350"/>
      <c r="F38" s="83">
        <f t="shared" si="3"/>
        <v>0</v>
      </c>
      <c r="G38" s="458">
        <v>0</v>
      </c>
      <c r="H38" s="79">
        <v>0</v>
      </c>
      <c r="I38" s="350">
        <v>55.8</v>
      </c>
      <c r="J38" s="514">
        <v>0</v>
      </c>
      <c r="K38" s="350"/>
      <c r="L38" s="79">
        <f t="shared" si="2"/>
        <v>0</v>
      </c>
      <c r="M38" s="460">
        <v>0</v>
      </c>
      <c r="N38" s="281" t="e">
        <f t="shared" si="6"/>
        <v>#DIV/0!</v>
      </c>
      <c r="O38" s="83">
        <v>0</v>
      </c>
    </row>
    <row r="39" spans="1:17" s="512" customFormat="1" ht="30" customHeight="1">
      <c r="A39" s="524" t="s">
        <v>449</v>
      </c>
      <c r="B39" s="507">
        <f>B8+B23</f>
        <v>8377.3220000000001</v>
      </c>
      <c r="C39" s="507">
        <f>SUM(C23+C8)</f>
        <v>40935</v>
      </c>
      <c r="D39" s="507">
        <f>D8+D23</f>
        <v>8681</v>
      </c>
      <c r="E39" s="509">
        <f>E8+E23</f>
        <v>8761.3879899999993</v>
      </c>
      <c r="F39" s="507">
        <f t="shared" si="3"/>
        <v>80.387989999999263</v>
      </c>
      <c r="G39" s="507">
        <f>E39/D39*100</f>
        <v>100.9260222324617</v>
      </c>
      <c r="H39" s="507">
        <f t="shared" si="4"/>
        <v>1.0458459147207184</v>
      </c>
      <c r="I39" s="509">
        <f>I8+I23</f>
        <v>3590.9585499999994</v>
      </c>
      <c r="J39" s="508">
        <f>J8+J23</f>
        <v>4113</v>
      </c>
      <c r="K39" s="509">
        <f>K8+K23</f>
        <v>4917.7402400000001</v>
      </c>
      <c r="L39" s="507">
        <f t="shared" si="2"/>
        <v>804.74024000000009</v>
      </c>
      <c r="M39" s="507">
        <f>SUM(K39/J39*100)</f>
        <v>119.56577291514709</v>
      </c>
      <c r="N39" s="511">
        <f t="shared" si="6"/>
        <v>1.7640851741579084</v>
      </c>
      <c r="O39" s="507">
        <f>O8+O23</f>
        <v>2787.6999999999994</v>
      </c>
    </row>
    <row r="40" spans="1:17" ht="14.25">
      <c r="A40" s="526"/>
    </row>
    <row r="41" spans="1:17" ht="43.5" customHeight="1">
      <c r="A41" s="759" t="s">
        <v>967</v>
      </c>
      <c r="B41" s="759"/>
      <c r="C41" s="283"/>
      <c r="D41" s="90"/>
      <c r="E41" s="528"/>
      <c r="F41" s="90"/>
      <c r="G41" s="760" t="s">
        <v>968</v>
      </c>
      <c r="H41" s="760"/>
      <c r="I41" s="760"/>
      <c r="J41" s="760"/>
      <c r="K41" s="760"/>
      <c r="L41" s="760"/>
      <c r="M41" s="91"/>
      <c r="O41" s="143"/>
    </row>
    <row r="42" spans="1:17">
      <c r="A42" s="228" t="s">
        <v>840</v>
      </c>
    </row>
    <row r="43" spans="1:17">
      <c r="A43" s="228" t="s">
        <v>618</v>
      </c>
    </row>
  </sheetData>
  <mergeCells count="16">
    <mergeCell ref="A1:N1"/>
    <mergeCell ref="A2:N2"/>
    <mergeCell ref="A3:N3"/>
    <mergeCell ref="B4:L4"/>
    <mergeCell ref="M4:N4"/>
    <mergeCell ref="I5:I6"/>
    <mergeCell ref="J5:M5"/>
    <mergeCell ref="N5:N6"/>
    <mergeCell ref="O5:O6"/>
    <mergeCell ref="A41:B41"/>
    <mergeCell ref="G41:L41"/>
    <mergeCell ref="A5:A6"/>
    <mergeCell ref="B5:B6"/>
    <mergeCell ref="C5:C6"/>
    <mergeCell ref="D5:G5"/>
    <mergeCell ref="H5:H6"/>
  </mergeCells>
  <pageMargins left="0.47244094488188981" right="0.19685039370078741" top="0.19685039370078741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3"/>
  <sheetViews>
    <sheetView view="pageBreakPreview" zoomScale="93" zoomScaleSheetLayoutView="9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9" sqref="F99"/>
    </sheetView>
  </sheetViews>
  <sheetFormatPr defaultRowHeight="12.75"/>
  <cols>
    <col min="1" max="1" width="23.140625" style="356" customWidth="1"/>
    <col min="2" max="2" width="49.140625" style="355" customWidth="1"/>
    <col min="3" max="3" width="12.5703125" style="355" customWidth="1"/>
    <col min="4" max="4" width="12.85546875" style="355" customWidth="1"/>
    <col min="5" max="5" width="12.42578125" style="354" customWidth="1"/>
    <col min="6" max="6" width="14.28515625" style="354" customWidth="1"/>
    <col min="7" max="7" width="10.140625" style="354" customWidth="1"/>
    <col min="8" max="8" width="12.85546875" style="354" customWidth="1"/>
    <col min="9" max="16384" width="9.140625" style="354"/>
  </cols>
  <sheetData>
    <row r="1" spans="1:11" ht="15.75">
      <c r="B1" s="714" t="s">
        <v>263</v>
      </c>
      <c r="C1" s="714"/>
      <c r="D1" s="714"/>
      <c r="E1" s="714"/>
      <c r="F1" s="770" t="s">
        <v>495</v>
      </c>
      <c r="G1" s="770"/>
      <c r="H1" s="770"/>
    </row>
    <row r="2" spans="1:11" ht="15.75">
      <c r="A2" s="714" t="s">
        <v>648</v>
      </c>
      <c r="B2" s="714"/>
      <c r="C2" s="714"/>
      <c r="D2" s="714"/>
      <c r="E2" s="714"/>
      <c r="F2" s="714"/>
      <c r="G2" s="714"/>
    </row>
    <row r="3" spans="1:11" ht="14.25">
      <c r="B3" s="771" t="s">
        <v>841</v>
      </c>
      <c r="C3" s="771"/>
      <c r="D3" s="771"/>
      <c r="E3" s="771"/>
      <c r="F3" s="771"/>
      <c r="G3" s="416" t="s">
        <v>264</v>
      </c>
      <c r="H3" s="416"/>
    </row>
    <row r="4" spans="1:11" ht="56.25" customHeight="1">
      <c r="A4" s="415" t="s">
        <v>0</v>
      </c>
      <c r="B4" s="414" t="s">
        <v>1</v>
      </c>
      <c r="C4" s="413" t="s">
        <v>481</v>
      </c>
      <c r="D4" s="413" t="s">
        <v>483</v>
      </c>
      <c r="E4" s="412" t="s">
        <v>482</v>
      </c>
      <c r="F4" s="412" t="s">
        <v>842</v>
      </c>
      <c r="G4" s="412" t="s">
        <v>2</v>
      </c>
      <c r="H4" s="412" t="s">
        <v>3</v>
      </c>
      <c r="K4" s="354" t="s">
        <v>793</v>
      </c>
    </row>
    <row r="5" spans="1:11">
      <c r="A5" s="408"/>
      <c r="B5" s="407" t="s">
        <v>4</v>
      </c>
      <c r="C5" s="406">
        <f>SUM(C6+C11+C16+C21+C24+C10)</f>
        <v>38099</v>
      </c>
      <c r="D5" s="406">
        <f t="shared" ref="D5:D15" si="0">E5-C5</f>
        <v>0</v>
      </c>
      <c r="E5" s="406">
        <f>SUM(E6+E11+E16+E21+E24+E10)</f>
        <v>38099</v>
      </c>
      <c r="F5" s="405">
        <f>SUM(F8+F11+F16+F21+F10)</f>
        <v>8064.4023099999995</v>
      </c>
      <c r="G5" s="404">
        <f t="shared" ref="G5:G69" si="1">SUM(F5/E5%)</f>
        <v>21.166965825874694</v>
      </c>
      <c r="H5" s="404">
        <f t="shared" ref="H5:H17" si="2">SUM(F5-E5)</f>
        <v>-30034.597690000002</v>
      </c>
    </row>
    <row r="6" spans="1:11" ht="48" hidden="1" customHeight="1">
      <c r="A6" s="410" t="s">
        <v>5</v>
      </c>
      <c r="B6" s="409" t="s">
        <v>6</v>
      </c>
      <c r="C6" s="369">
        <f>SUM(C7+C8)</f>
        <v>22385</v>
      </c>
      <c r="D6" s="369">
        <f t="shared" si="0"/>
        <v>0</v>
      </c>
      <c r="E6" s="369">
        <f>SUM(E7+E8)</f>
        <v>22385</v>
      </c>
      <c r="F6" s="403">
        <f>SUM(F7+F8)</f>
        <v>5166.8894600000003</v>
      </c>
      <c r="G6" s="404">
        <f t="shared" si="1"/>
        <v>23.081927451418363</v>
      </c>
      <c r="H6" s="387">
        <f t="shared" si="2"/>
        <v>-17218.110540000001</v>
      </c>
    </row>
    <row r="7" spans="1:11" ht="36" hidden="1" customHeight="1">
      <c r="A7" s="374" t="s">
        <v>7</v>
      </c>
      <c r="B7" s="370" t="s">
        <v>8</v>
      </c>
      <c r="C7" s="388"/>
      <c r="D7" s="369">
        <f t="shared" si="0"/>
        <v>0</v>
      </c>
      <c r="E7" s="388"/>
      <c r="F7" s="340"/>
      <c r="G7" s="404" t="e">
        <f t="shared" si="1"/>
        <v>#DIV/0!</v>
      </c>
      <c r="H7" s="387">
        <f t="shared" si="2"/>
        <v>0</v>
      </c>
    </row>
    <row r="8" spans="1:11">
      <c r="A8" s="410" t="s">
        <v>9</v>
      </c>
      <c r="B8" s="409" t="s">
        <v>10</v>
      </c>
      <c r="C8" s="369">
        <f>C9</f>
        <v>22385</v>
      </c>
      <c r="D8" s="369">
        <f t="shared" si="0"/>
        <v>0</v>
      </c>
      <c r="E8" s="369">
        <f>E9</f>
        <v>22385</v>
      </c>
      <c r="F8" s="403">
        <f>F9</f>
        <v>5166.8894600000003</v>
      </c>
      <c r="G8" s="503">
        <f t="shared" si="1"/>
        <v>23.081927451418363</v>
      </c>
      <c r="H8" s="366">
        <f t="shared" si="2"/>
        <v>-17218.110540000001</v>
      </c>
    </row>
    <row r="9" spans="1:11">
      <c r="A9" s="374" t="s">
        <v>9</v>
      </c>
      <c r="B9" s="370" t="s">
        <v>429</v>
      </c>
      <c r="C9" s="383">
        <v>22385</v>
      </c>
      <c r="D9" s="369">
        <f t="shared" si="0"/>
        <v>0</v>
      </c>
      <c r="E9" s="383">
        <v>22385</v>
      </c>
      <c r="F9" s="346">
        <v>5166.8894600000003</v>
      </c>
      <c r="G9" s="503">
        <f t="shared" si="1"/>
        <v>23.081927451418363</v>
      </c>
      <c r="H9" s="366">
        <f t="shared" si="2"/>
        <v>-17218.110540000001</v>
      </c>
    </row>
    <row r="10" spans="1:11">
      <c r="A10" s="410" t="s">
        <v>300</v>
      </c>
      <c r="B10" s="409" t="s">
        <v>301</v>
      </c>
      <c r="C10" s="383">
        <v>1450</v>
      </c>
      <c r="D10" s="369">
        <f t="shared" si="0"/>
        <v>0</v>
      </c>
      <c r="E10" s="369">
        <v>1450</v>
      </c>
      <c r="F10" s="403">
        <v>325.10154</v>
      </c>
      <c r="G10" s="503">
        <f t="shared" si="1"/>
        <v>22.420795862068964</v>
      </c>
      <c r="H10" s="366">
        <f t="shared" si="2"/>
        <v>-1124.8984599999999</v>
      </c>
    </row>
    <row r="11" spans="1:11">
      <c r="A11" s="410" t="s">
        <v>11</v>
      </c>
      <c r="B11" s="409" t="s">
        <v>12</v>
      </c>
      <c r="C11" s="369">
        <f>SUM(C12+C15+C14)</f>
        <v>9983</v>
      </c>
      <c r="D11" s="369">
        <f t="shared" si="0"/>
        <v>0</v>
      </c>
      <c r="E11" s="369">
        <f>SUM(E12+E15+E14)</f>
        <v>9983</v>
      </c>
      <c r="F11" s="403">
        <f>SUM(F12+F15+F14+F13)</f>
        <v>1900.3101200000001</v>
      </c>
      <c r="G11" s="503">
        <f t="shared" si="1"/>
        <v>19.03546148452369</v>
      </c>
      <c r="H11" s="387">
        <f t="shared" si="2"/>
        <v>-8082.6898799999999</v>
      </c>
    </row>
    <row r="12" spans="1:11" ht="15" customHeight="1">
      <c r="A12" s="374" t="s">
        <v>844</v>
      </c>
      <c r="B12" s="370" t="s">
        <v>843</v>
      </c>
      <c r="C12" s="383">
        <v>7528</v>
      </c>
      <c r="D12" s="369">
        <f t="shared" si="0"/>
        <v>0</v>
      </c>
      <c r="E12" s="383">
        <v>7528</v>
      </c>
      <c r="F12" s="346">
        <v>1095.00856</v>
      </c>
      <c r="G12" s="503">
        <f t="shared" si="1"/>
        <v>14.545809776833156</v>
      </c>
      <c r="H12" s="366">
        <f t="shared" si="2"/>
        <v>-6432.9914399999998</v>
      </c>
    </row>
    <row r="13" spans="1:11" ht="15" customHeight="1">
      <c r="A13" s="374" t="s">
        <v>13</v>
      </c>
      <c r="B13" s="370" t="s">
        <v>880</v>
      </c>
      <c r="C13" s="383">
        <v>0</v>
      </c>
      <c r="D13" s="369">
        <v>0</v>
      </c>
      <c r="E13" s="383">
        <v>0</v>
      </c>
      <c r="F13" s="346">
        <v>738.00958000000003</v>
      </c>
      <c r="G13" s="503">
        <v>0</v>
      </c>
      <c r="H13" s="366">
        <f t="shared" si="2"/>
        <v>738.00958000000003</v>
      </c>
    </row>
    <row r="14" spans="1:11" ht="15" customHeight="1">
      <c r="A14" s="374" t="s">
        <v>246</v>
      </c>
      <c r="B14" s="370" t="s">
        <v>247</v>
      </c>
      <c r="C14" s="383">
        <v>15</v>
      </c>
      <c r="D14" s="369">
        <f t="shared" si="0"/>
        <v>0</v>
      </c>
      <c r="E14" s="383">
        <v>15</v>
      </c>
      <c r="F14" s="346">
        <v>0</v>
      </c>
      <c r="G14" s="503">
        <f t="shared" si="1"/>
        <v>0</v>
      </c>
      <c r="H14" s="366">
        <f t="shared" si="2"/>
        <v>-15</v>
      </c>
    </row>
    <row r="15" spans="1:11">
      <c r="A15" s="371" t="s">
        <v>257</v>
      </c>
      <c r="B15" s="411" t="s">
        <v>258</v>
      </c>
      <c r="C15" s="339">
        <v>2440</v>
      </c>
      <c r="D15" s="369">
        <f t="shared" si="0"/>
        <v>0</v>
      </c>
      <c r="E15" s="339">
        <v>2440</v>
      </c>
      <c r="F15" s="341">
        <v>67.291979999999995</v>
      </c>
      <c r="G15" s="503">
        <f t="shared" si="1"/>
        <v>2.7578680327868854</v>
      </c>
      <c r="H15" s="366">
        <f t="shared" si="2"/>
        <v>-2372.70802</v>
      </c>
    </row>
    <row r="16" spans="1:11">
      <c r="A16" s="410" t="s">
        <v>15</v>
      </c>
      <c r="B16" s="409" t="s">
        <v>16</v>
      </c>
      <c r="C16" s="369">
        <f>C17+C18</f>
        <v>3771</v>
      </c>
      <c r="D16" s="369">
        <f>D17+D18</f>
        <v>0</v>
      </c>
      <c r="E16" s="369">
        <f>E17+E18</f>
        <v>3771</v>
      </c>
      <c r="F16" s="403">
        <f>F17+F18</f>
        <v>572.31899999999996</v>
      </c>
      <c r="G16" s="503">
        <f t="shared" si="1"/>
        <v>15.176849642004772</v>
      </c>
      <c r="H16" s="366">
        <f t="shared" si="2"/>
        <v>-3198.681</v>
      </c>
    </row>
    <row r="17" spans="1:8">
      <c r="A17" s="374" t="s">
        <v>17</v>
      </c>
      <c r="B17" s="370" t="s">
        <v>18</v>
      </c>
      <c r="C17" s="383">
        <v>1720</v>
      </c>
      <c r="D17" s="369">
        <f>E17-C17</f>
        <v>0</v>
      </c>
      <c r="E17" s="383">
        <v>1720</v>
      </c>
      <c r="F17" s="346">
        <v>307.45486</v>
      </c>
      <c r="G17" s="503">
        <f t="shared" si="1"/>
        <v>17.875282558139535</v>
      </c>
      <c r="H17" s="366">
        <f t="shared" si="2"/>
        <v>-1412.5451399999999</v>
      </c>
    </row>
    <row r="18" spans="1:8">
      <c r="A18" s="410" t="s">
        <v>19</v>
      </c>
      <c r="B18" s="409" t="s">
        <v>630</v>
      </c>
      <c r="C18" s="369">
        <f>C19+C20</f>
        <v>2051</v>
      </c>
      <c r="D18" s="369">
        <f>D19+D20</f>
        <v>0</v>
      </c>
      <c r="E18" s="369">
        <f>E19+E20</f>
        <v>2051</v>
      </c>
      <c r="F18" s="403">
        <f>F19+F20</f>
        <v>264.86414000000002</v>
      </c>
      <c r="G18" s="503">
        <f t="shared" si="1"/>
        <v>12.913902486591907</v>
      </c>
      <c r="H18" s="369">
        <f>F18-E18</f>
        <v>-1786.1358599999999</v>
      </c>
    </row>
    <row r="19" spans="1:8" ht="36" customHeight="1">
      <c r="A19" s="374" t="s">
        <v>638</v>
      </c>
      <c r="B19" s="370" t="s">
        <v>785</v>
      </c>
      <c r="C19" s="383">
        <v>850</v>
      </c>
      <c r="D19" s="369">
        <f t="shared" ref="D19:D54" si="3">E19-C19</f>
        <v>0</v>
      </c>
      <c r="E19" s="383">
        <v>850</v>
      </c>
      <c r="F19" s="346">
        <v>51.349730000000001</v>
      </c>
      <c r="G19" s="503">
        <f t="shared" si="1"/>
        <v>6.0411447058823526</v>
      </c>
      <c r="H19" s="366">
        <f t="shared" ref="H19:H65" si="4">SUM(F19-E19)</f>
        <v>-798.65026999999998</v>
      </c>
    </row>
    <row r="20" spans="1:8">
      <c r="A20" s="374" t="s">
        <v>639</v>
      </c>
      <c r="B20" s="370" t="s">
        <v>786</v>
      </c>
      <c r="C20" s="383">
        <v>1201</v>
      </c>
      <c r="D20" s="369">
        <f t="shared" si="3"/>
        <v>0</v>
      </c>
      <c r="E20" s="383">
        <v>1201</v>
      </c>
      <c r="F20" s="346">
        <v>213.51441</v>
      </c>
      <c r="G20" s="503">
        <f t="shared" si="1"/>
        <v>17.778052456286428</v>
      </c>
      <c r="H20" s="366">
        <f t="shared" si="4"/>
        <v>-987.48559</v>
      </c>
    </row>
    <row r="21" spans="1:8">
      <c r="A21" s="410" t="s">
        <v>20</v>
      </c>
      <c r="B21" s="409" t="s">
        <v>21</v>
      </c>
      <c r="C21" s="369">
        <f>SUM(C22)</f>
        <v>510</v>
      </c>
      <c r="D21" s="369">
        <f t="shared" si="3"/>
        <v>0</v>
      </c>
      <c r="E21" s="369">
        <f>+E23</f>
        <v>510</v>
      </c>
      <c r="F21" s="369">
        <f>+F23</f>
        <v>99.78219</v>
      </c>
      <c r="G21" s="503">
        <f t="shared" si="1"/>
        <v>19.565135294117649</v>
      </c>
      <c r="H21" s="387">
        <f t="shared" si="4"/>
        <v>-410.21780999999999</v>
      </c>
    </row>
    <row r="22" spans="1:8" ht="96" hidden="1" customHeight="1">
      <c r="A22" s="374" t="s">
        <v>22</v>
      </c>
      <c r="B22" s="370" t="s">
        <v>23</v>
      </c>
      <c r="C22" s="383">
        <f>C23</f>
        <v>510</v>
      </c>
      <c r="D22" s="369">
        <f t="shared" si="3"/>
        <v>0</v>
      </c>
      <c r="E22" s="383">
        <f>E23</f>
        <v>510</v>
      </c>
      <c r="F22" s="346">
        <f>F23</f>
        <v>99.78219</v>
      </c>
      <c r="G22" s="503">
        <f t="shared" si="1"/>
        <v>19.565135294117649</v>
      </c>
      <c r="H22" s="387">
        <f t="shared" si="4"/>
        <v>-410.21780999999999</v>
      </c>
    </row>
    <row r="23" spans="1:8" ht="43.5" customHeight="1">
      <c r="A23" s="374" t="s">
        <v>24</v>
      </c>
      <c r="B23" s="370" t="s">
        <v>787</v>
      </c>
      <c r="C23" s="383">
        <v>510</v>
      </c>
      <c r="D23" s="369">
        <f t="shared" si="3"/>
        <v>0</v>
      </c>
      <c r="E23" s="383">
        <v>510</v>
      </c>
      <c r="F23" s="346">
        <v>99.78219</v>
      </c>
      <c r="G23" s="503">
        <f t="shared" si="1"/>
        <v>19.565135294117649</v>
      </c>
      <c r="H23" s="366">
        <f t="shared" si="4"/>
        <v>-410.21780999999999</v>
      </c>
    </row>
    <row r="24" spans="1:8" s="359" customFormat="1" ht="84" hidden="1" customHeight="1">
      <c r="A24" s="410" t="s">
        <v>156</v>
      </c>
      <c r="B24" s="409" t="s">
        <v>158</v>
      </c>
      <c r="C24" s="369"/>
      <c r="D24" s="369">
        <f t="shared" si="3"/>
        <v>0</v>
      </c>
      <c r="E24" s="369"/>
      <c r="F24" s="403"/>
      <c r="G24" s="404" t="e">
        <f t="shared" si="1"/>
        <v>#DIV/0!</v>
      </c>
      <c r="H24" s="387">
        <f t="shared" si="4"/>
        <v>0</v>
      </c>
    </row>
    <row r="25" spans="1:8" ht="72" hidden="1" customHeight="1">
      <c r="A25" s="374" t="s">
        <v>157</v>
      </c>
      <c r="B25" s="370" t="s">
        <v>159</v>
      </c>
      <c r="C25" s="383">
        <v>6</v>
      </c>
      <c r="D25" s="369">
        <f t="shared" si="3"/>
        <v>0</v>
      </c>
      <c r="E25" s="383">
        <v>6</v>
      </c>
      <c r="F25" s="346">
        <v>6.2149999999999999</v>
      </c>
      <c r="G25" s="404">
        <f t="shared" si="1"/>
        <v>103.58333333333333</v>
      </c>
      <c r="H25" s="387">
        <f t="shared" si="4"/>
        <v>0.21499999999999986</v>
      </c>
    </row>
    <row r="26" spans="1:8">
      <c r="A26" s="408" t="s">
        <v>0</v>
      </c>
      <c r="B26" s="407" t="s">
        <v>26</v>
      </c>
      <c r="C26" s="406">
        <f>SUM(C27+C32+C39+C53+C34+C36+C52)</f>
        <v>2836</v>
      </c>
      <c r="D26" s="406">
        <f t="shared" si="3"/>
        <v>0</v>
      </c>
      <c r="E26" s="406">
        <f>SUM(E27+E32+E39+E53+E34+E36+E52)</f>
        <v>2836</v>
      </c>
      <c r="F26" s="405">
        <f>SUM(F27+F32+F39+F53+F34+F36+F52)</f>
        <v>696.98568</v>
      </c>
      <c r="G26" s="404">
        <f t="shared" si="1"/>
        <v>24.576363892806771</v>
      </c>
      <c r="H26" s="404">
        <f t="shared" si="4"/>
        <v>-2139.0143200000002</v>
      </c>
    </row>
    <row r="27" spans="1:8" ht="36">
      <c r="A27" s="410" t="s">
        <v>27</v>
      </c>
      <c r="B27" s="409" t="s">
        <v>28</v>
      </c>
      <c r="C27" s="369">
        <f>C30+C28</f>
        <v>2396</v>
      </c>
      <c r="D27" s="369">
        <f t="shared" si="3"/>
        <v>0</v>
      </c>
      <c r="E27" s="369">
        <f>E30+E28</f>
        <v>2396</v>
      </c>
      <c r="F27" s="403">
        <f>F30+F28</f>
        <v>324.44362999999998</v>
      </c>
      <c r="G27" s="503">
        <f t="shared" si="1"/>
        <v>13.541053005008346</v>
      </c>
      <c r="H27" s="387">
        <f t="shared" si="4"/>
        <v>-2071.5563700000002</v>
      </c>
    </row>
    <row r="28" spans="1:8" ht="84" hidden="1" customHeight="1">
      <c r="A28" s="374" t="s">
        <v>29</v>
      </c>
      <c r="B28" s="370" t="s">
        <v>30</v>
      </c>
      <c r="C28" s="383">
        <f>C29</f>
        <v>818</v>
      </c>
      <c r="D28" s="369">
        <f t="shared" si="3"/>
        <v>0</v>
      </c>
      <c r="E28" s="383">
        <f>E29</f>
        <v>818</v>
      </c>
      <c r="F28" s="346">
        <f>F29</f>
        <v>109.40155</v>
      </c>
      <c r="G28" s="503">
        <f t="shared" si="1"/>
        <v>13.374272616136921</v>
      </c>
      <c r="H28" s="387">
        <f t="shared" si="4"/>
        <v>-708.59844999999996</v>
      </c>
    </row>
    <row r="29" spans="1:8" ht="60">
      <c r="A29" s="374" t="s">
        <v>31</v>
      </c>
      <c r="B29" s="370" t="s">
        <v>788</v>
      </c>
      <c r="C29" s="383">
        <v>818</v>
      </c>
      <c r="D29" s="369">
        <f t="shared" si="3"/>
        <v>0</v>
      </c>
      <c r="E29" s="383">
        <v>818</v>
      </c>
      <c r="F29" s="346">
        <v>109.40155</v>
      </c>
      <c r="G29" s="503">
        <f t="shared" si="1"/>
        <v>13.374272616136921</v>
      </c>
      <c r="H29" s="366">
        <f t="shared" si="4"/>
        <v>-708.59844999999996</v>
      </c>
    </row>
    <row r="30" spans="1:8" ht="96" hidden="1" customHeight="1">
      <c r="A30" s="374" t="s">
        <v>33</v>
      </c>
      <c r="B30" s="370" t="s">
        <v>34</v>
      </c>
      <c r="C30" s="383">
        <f>C31</f>
        <v>1578</v>
      </c>
      <c r="D30" s="369">
        <f t="shared" si="3"/>
        <v>0</v>
      </c>
      <c r="E30" s="383">
        <f>E31</f>
        <v>1578</v>
      </c>
      <c r="F30" s="346">
        <f>F31</f>
        <v>215.04208</v>
      </c>
      <c r="G30" s="503">
        <f t="shared" si="1"/>
        <v>13.627508238276299</v>
      </c>
      <c r="H30" s="366">
        <f t="shared" si="4"/>
        <v>-1362.9579200000001</v>
      </c>
    </row>
    <row r="31" spans="1:8" ht="24">
      <c r="A31" s="374" t="s">
        <v>35</v>
      </c>
      <c r="B31" s="370" t="s">
        <v>36</v>
      </c>
      <c r="C31" s="383">
        <v>1578</v>
      </c>
      <c r="D31" s="369">
        <f t="shared" si="3"/>
        <v>0</v>
      </c>
      <c r="E31" s="383">
        <v>1578</v>
      </c>
      <c r="F31" s="346">
        <v>215.04208</v>
      </c>
      <c r="G31" s="503">
        <f t="shared" si="1"/>
        <v>13.627508238276299</v>
      </c>
      <c r="H31" s="366">
        <f t="shared" si="4"/>
        <v>-1362.9579200000001</v>
      </c>
    </row>
    <row r="32" spans="1:8" ht="24">
      <c r="A32" s="410" t="s">
        <v>37</v>
      </c>
      <c r="B32" s="409" t="s">
        <v>38</v>
      </c>
      <c r="C32" s="369">
        <f>C33</f>
        <v>180</v>
      </c>
      <c r="D32" s="369">
        <f t="shared" si="3"/>
        <v>0</v>
      </c>
      <c r="E32" s="369">
        <f>E33</f>
        <v>180</v>
      </c>
      <c r="F32" s="403">
        <f>F33</f>
        <v>75.993009999999998</v>
      </c>
      <c r="G32" s="503">
        <f t="shared" si="1"/>
        <v>42.218338888888887</v>
      </c>
      <c r="H32" s="387">
        <f t="shared" si="4"/>
        <v>-104.00699</v>
      </c>
    </row>
    <row r="33" spans="1:8">
      <c r="A33" s="374" t="s">
        <v>39</v>
      </c>
      <c r="B33" s="370" t="s">
        <v>40</v>
      </c>
      <c r="C33" s="383">
        <v>180</v>
      </c>
      <c r="D33" s="369">
        <f t="shared" si="3"/>
        <v>0</v>
      </c>
      <c r="E33" s="383">
        <v>180</v>
      </c>
      <c r="F33" s="346">
        <v>75.993009999999998</v>
      </c>
      <c r="G33" s="503">
        <f t="shared" si="1"/>
        <v>42.218338888888887</v>
      </c>
      <c r="H33" s="366">
        <f t="shared" si="4"/>
        <v>-104.00699</v>
      </c>
    </row>
    <row r="34" spans="1:8" s="359" customFormat="1" ht="24">
      <c r="A34" s="410" t="s">
        <v>161</v>
      </c>
      <c r="B34" s="409" t="s">
        <v>160</v>
      </c>
      <c r="C34" s="403">
        <f>C35</f>
        <v>0</v>
      </c>
      <c r="D34" s="369">
        <f t="shared" si="3"/>
        <v>0</v>
      </c>
      <c r="E34" s="403">
        <f>E35</f>
        <v>0</v>
      </c>
      <c r="F34" s="403">
        <f>F35</f>
        <v>17.279209999999999</v>
      </c>
      <c r="G34" s="503">
        <v>0</v>
      </c>
      <c r="H34" s="387">
        <f t="shared" si="4"/>
        <v>17.279209999999999</v>
      </c>
    </row>
    <row r="35" spans="1:8" ht="36">
      <c r="A35" s="374" t="s">
        <v>162</v>
      </c>
      <c r="B35" s="370" t="s">
        <v>163</v>
      </c>
      <c r="C35" s="383">
        <v>0</v>
      </c>
      <c r="D35" s="369">
        <f t="shared" si="3"/>
        <v>0</v>
      </c>
      <c r="E35" s="383">
        <v>0</v>
      </c>
      <c r="F35" s="346">
        <v>17.279209999999999</v>
      </c>
      <c r="G35" s="503">
        <v>0</v>
      </c>
      <c r="H35" s="366">
        <f t="shared" si="4"/>
        <v>17.279209999999999</v>
      </c>
    </row>
    <row r="36" spans="1:8" s="359" customFormat="1" ht="24">
      <c r="A36" s="410" t="s">
        <v>164</v>
      </c>
      <c r="B36" s="409" t="s">
        <v>165</v>
      </c>
      <c r="C36" s="403">
        <f>C38+C37</f>
        <v>120</v>
      </c>
      <c r="D36" s="369">
        <f t="shared" si="3"/>
        <v>0</v>
      </c>
      <c r="E36" s="403">
        <f>E38+E37</f>
        <v>120</v>
      </c>
      <c r="F36" s="403">
        <f>F38+F37</f>
        <v>54.059260000000002</v>
      </c>
      <c r="G36" s="503">
        <f t="shared" si="1"/>
        <v>45.049383333333338</v>
      </c>
      <c r="H36" s="387">
        <f t="shared" si="4"/>
        <v>-65.940740000000005</v>
      </c>
    </row>
    <row r="37" spans="1:8" hidden="1">
      <c r="A37" s="374" t="s">
        <v>238</v>
      </c>
      <c r="B37" s="370" t="s">
        <v>239</v>
      </c>
      <c r="C37" s="346">
        <v>0</v>
      </c>
      <c r="D37" s="369">
        <f t="shared" si="3"/>
        <v>0</v>
      </c>
      <c r="E37" s="346">
        <v>0</v>
      </c>
      <c r="F37" s="346">
        <v>0</v>
      </c>
      <c r="G37" s="503" t="e">
        <f t="shared" si="1"/>
        <v>#DIV/0!</v>
      </c>
      <c r="H37" s="366">
        <f t="shared" si="4"/>
        <v>0</v>
      </c>
    </row>
    <row r="38" spans="1:8" ht="12.75" customHeight="1">
      <c r="A38" s="374" t="s">
        <v>41</v>
      </c>
      <c r="B38" s="370" t="s">
        <v>166</v>
      </c>
      <c r="C38" s="383">
        <v>120</v>
      </c>
      <c r="D38" s="369">
        <f t="shared" si="3"/>
        <v>0</v>
      </c>
      <c r="E38" s="383">
        <v>120</v>
      </c>
      <c r="F38" s="346">
        <v>54.059260000000002</v>
      </c>
      <c r="G38" s="503">
        <f t="shared" si="1"/>
        <v>45.049383333333338</v>
      </c>
      <c r="H38" s="366">
        <f t="shared" si="4"/>
        <v>-65.940740000000005</v>
      </c>
    </row>
    <row r="39" spans="1:8" ht="13.5" customHeight="1">
      <c r="A39" s="410" t="s">
        <v>42</v>
      </c>
      <c r="B39" s="409" t="s">
        <v>43</v>
      </c>
      <c r="C39" s="369">
        <v>120</v>
      </c>
      <c r="D39" s="369">
        <f t="shared" si="3"/>
        <v>0</v>
      </c>
      <c r="E39" s="369">
        <v>120</v>
      </c>
      <c r="F39" s="403">
        <v>223.21056999999999</v>
      </c>
      <c r="G39" s="503">
        <f t="shared" si="1"/>
        <v>186.00880833333332</v>
      </c>
      <c r="H39" s="387">
        <f t="shared" si="4"/>
        <v>103.21056999999999</v>
      </c>
    </row>
    <row r="40" spans="1:8" ht="60" hidden="1" customHeight="1">
      <c r="A40" s="374" t="s">
        <v>44</v>
      </c>
      <c r="B40" s="370" t="s">
        <v>45</v>
      </c>
      <c r="C40" s="383"/>
      <c r="D40" s="369">
        <f t="shared" si="3"/>
        <v>0</v>
      </c>
      <c r="E40" s="383"/>
      <c r="F40" s="346"/>
      <c r="G40" s="503" t="e">
        <f t="shared" si="1"/>
        <v>#DIV/0!</v>
      </c>
      <c r="H40" s="366">
        <f t="shared" si="4"/>
        <v>0</v>
      </c>
    </row>
    <row r="41" spans="1:8" ht="60" hidden="1" customHeight="1">
      <c r="A41" s="374" t="s">
        <v>46</v>
      </c>
      <c r="B41" s="370" t="s">
        <v>45</v>
      </c>
      <c r="C41" s="383"/>
      <c r="D41" s="369">
        <f t="shared" si="3"/>
        <v>0</v>
      </c>
      <c r="E41" s="383"/>
      <c r="F41" s="346"/>
      <c r="G41" s="503" t="e">
        <f t="shared" si="1"/>
        <v>#DIV/0!</v>
      </c>
      <c r="H41" s="366">
        <f t="shared" si="4"/>
        <v>0</v>
      </c>
    </row>
    <row r="42" spans="1:8" ht="72" hidden="1" customHeight="1">
      <c r="A42" s="374" t="s">
        <v>47</v>
      </c>
      <c r="B42" s="370" t="s">
        <v>48</v>
      </c>
      <c r="C42" s="383"/>
      <c r="D42" s="369">
        <f t="shared" si="3"/>
        <v>0</v>
      </c>
      <c r="E42" s="383"/>
      <c r="F42" s="346"/>
      <c r="G42" s="503" t="e">
        <f t="shared" si="1"/>
        <v>#DIV/0!</v>
      </c>
      <c r="H42" s="366">
        <f t="shared" si="4"/>
        <v>0</v>
      </c>
    </row>
    <row r="43" spans="1:8" ht="60" hidden="1" customHeight="1">
      <c r="A43" s="374" t="s">
        <v>49</v>
      </c>
      <c r="B43" s="370" t="s">
        <v>50</v>
      </c>
      <c r="C43" s="383"/>
      <c r="D43" s="369">
        <f t="shared" si="3"/>
        <v>0</v>
      </c>
      <c r="E43" s="383"/>
      <c r="F43" s="346"/>
      <c r="G43" s="503" t="e">
        <f t="shared" si="1"/>
        <v>#DIV/0!</v>
      </c>
      <c r="H43" s="366">
        <f t="shared" si="4"/>
        <v>0</v>
      </c>
    </row>
    <row r="44" spans="1:8" ht="144" hidden="1" customHeight="1">
      <c r="A44" s="374" t="s">
        <v>51</v>
      </c>
      <c r="B44" s="370" t="s">
        <v>52</v>
      </c>
      <c r="C44" s="383"/>
      <c r="D44" s="369">
        <f t="shared" si="3"/>
        <v>0</v>
      </c>
      <c r="E44" s="383"/>
      <c r="F44" s="346"/>
      <c r="G44" s="503" t="e">
        <f t="shared" si="1"/>
        <v>#DIV/0!</v>
      </c>
      <c r="H44" s="366">
        <f t="shared" si="4"/>
        <v>0</v>
      </c>
    </row>
    <row r="45" spans="1:8" ht="60" hidden="1" customHeight="1">
      <c r="A45" s="374" t="s">
        <v>53</v>
      </c>
      <c r="B45" s="370" t="s">
        <v>54</v>
      </c>
      <c r="C45" s="383"/>
      <c r="D45" s="369">
        <f t="shared" si="3"/>
        <v>0</v>
      </c>
      <c r="E45" s="383"/>
      <c r="F45" s="346"/>
      <c r="G45" s="503" t="e">
        <f t="shared" si="1"/>
        <v>#DIV/0!</v>
      </c>
      <c r="H45" s="366">
        <f t="shared" si="4"/>
        <v>0</v>
      </c>
    </row>
    <row r="46" spans="1:8" ht="60" hidden="1" customHeight="1">
      <c r="A46" s="374" t="s">
        <v>55</v>
      </c>
      <c r="B46" s="370" t="s">
        <v>56</v>
      </c>
      <c r="C46" s="383"/>
      <c r="D46" s="369">
        <f t="shared" si="3"/>
        <v>0</v>
      </c>
      <c r="E46" s="383"/>
      <c r="F46" s="346"/>
      <c r="G46" s="503" t="e">
        <f t="shared" si="1"/>
        <v>#DIV/0!</v>
      </c>
      <c r="H46" s="366">
        <f t="shared" si="4"/>
        <v>0</v>
      </c>
    </row>
    <row r="47" spans="1:8" ht="120" hidden="1" customHeight="1">
      <c r="A47" s="374" t="s">
        <v>57</v>
      </c>
      <c r="B47" s="370" t="s">
        <v>58</v>
      </c>
      <c r="C47" s="383"/>
      <c r="D47" s="369">
        <f t="shared" si="3"/>
        <v>0</v>
      </c>
      <c r="E47" s="383"/>
      <c r="F47" s="346"/>
      <c r="G47" s="503" t="e">
        <f t="shared" si="1"/>
        <v>#DIV/0!</v>
      </c>
      <c r="H47" s="366">
        <f t="shared" si="4"/>
        <v>0</v>
      </c>
    </row>
    <row r="48" spans="1:8" ht="72" hidden="1" customHeight="1">
      <c r="A48" s="374" t="s">
        <v>259</v>
      </c>
      <c r="B48" s="370" t="s">
        <v>260</v>
      </c>
      <c r="C48" s="383"/>
      <c r="D48" s="369">
        <f t="shared" si="3"/>
        <v>0</v>
      </c>
      <c r="E48" s="383"/>
      <c r="F48" s="346"/>
      <c r="G48" s="503" t="e">
        <f t="shared" si="1"/>
        <v>#DIV/0!</v>
      </c>
      <c r="H48" s="366">
        <f t="shared" si="4"/>
        <v>0</v>
      </c>
    </row>
    <row r="49" spans="1:9" ht="25.5" hidden="1" customHeight="1">
      <c r="A49" s="374" t="s">
        <v>153</v>
      </c>
      <c r="B49" s="370" t="s">
        <v>154</v>
      </c>
      <c r="C49" s="383"/>
      <c r="D49" s="369">
        <f t="shared" si="3"/>
        <v>0</v>
      </c>
      <c r="E49" s="383"/>
      <c r="F49" s="346"/>
      <c r="G49" s="503" t="e">
        <f t="shared" si="1"/>
        <v>#DIV/0!</v>
      </c>
      <c r="H49" s="366">
        <f t="shared" si="4"/>
        <v>0</v>
      </c>
    </row>
    <row r="50" spans="1:9" ht="60" hidden="1" customHeight="1">
      <c r="A50" s="374" t="s">
        <v>59</v>
      </c>
      <c r="B50" s="370" t="s">
        <v>60</v>
      </c>
      <c r="C50" s="383"/>
      <c r="D50" s="369">
        <f t="shared" si="3"/>
        <v>0</v>
      </c>
      <c r="E50" s="383"/>
      <c r="F50" s="346"/>
      <c r="G50" s="503" t="e">
        <f t="shared" si="1"/>
        <v>#DIV/0!</v>
      </c>
      <c r="H50" s="366">
        <f t="shared" si="4"/>
        <v>0</v>
      </c>
    </row>
    <row r="51" spans="1:9" ht="108" hidden="1" customHeight="1">
      <c r="A51" s="374" t="s">
        <v>61</v>
      </c>
      <c r="B51" s="370" t="s">
        <v>62</v>
      </c>
      <c r="C51" s="383"/>
      <c r="D51" s="369">
        <f t="shared" si="3"/>
        <v>0</v>
      </c>
      <c r="E51" s="383"/>
      <c r="F51" s="346"/>
      <c r="G51" s="503" t="e">
        <f t="shared" si="1"/>
        <v>#DIV/0!</v>
      </c>
      <c r="H51" s="366">
        <f t="shared" si="4"/>
        <v>0</v>
      </c>
    </row>
    <row r="52" spans="1:9">
      <c r="A52" s="410" t="s">
        <v>261</v>
      </c>
      <c r="B52" s="370" t="s">
        <v>262</v>
      </c>
      <c r="C52" s="383">
        <v>20</v>
      </c>
      <c r="D52" s="369">
        <f t="shared" si="3"/>
        <v>0</v>
      </c>
      <c r="E52" s="383">
        <v>20</v>
      </c>
      <c r="F52" s="346">
        <v>2</v>
      </c>
      <c r="G52" s="503">
        <f t="shared" si="1"/>
        <v>10</v>
      </c>
      <c r="H52" s="366">
        <f t="shared" si="4"/>
        <v>-18</v>
      </c>
    </row>
    <row r="53" spans="1:9" hidden="1">
      <c r="A53" s="410" t="s">
        <v>63</v>
      </c>
      <c r="B53" s="409" t="s">
        <v>64</v>
      </c>
      <c r="C53" s="403">
        <v>0</v>
      </c>
      <c r="D53" s="369">
        <f t="shared" si="3"/>
        <v>0</v>
      </c>
      <c r="E53" s="403">
        <v>0</v>
      </c>
      <c r="F53" s="403">
        <v>0</v>
      </c>
      <c r="G53" s="503" t="e">
        <f t="shared" si="1"/>
        <v>#DIV/0!</v>
      </c>
      <c r="H53" s="366">
        <f t="shared" si="4"/>
        <v>0</v>
      </c>
    </row>
    <row r="54" spans="1:9">
      <c r="A54" s="408" t="s">
        <v>65</v>
      </c>
      <c r="B54" s="407" t="s">
        <v>186</v>
      </c>
      <c r="C54" s="406">
        <f>C5+C26</f>
        <v>40935</v>
      </c>
      <c r="D54" s="406">
        <f t="shared" si="3"/>
        <v>0</v>
      </c>
      <c r="E54" s="406">
        <f>E5+E26</f>
        <v>40935</v>
      </c>
      <c r="F54" s="405">
        <f>SUM(F5+F26)</f>
        <v>8761.3879899999993</v>
      </c>
      <c r="G54" s="404">
        <f t="shared" si="1"/>
        <v>21.403170856235491</v>
      </c>
      <c r="H54" s="404">
        <f t="shared" si="4"/>
        <v>-32173.612010000001</v>
      </c>
      <c r="I54" s="357"/>
    </row>
    <row r="55" spans="1:9" s="359" customFormat="1" ht="24">
      <c r="A55" s="362" t="s">
        <v>670</v>
      </c>
      <c r="B55" s="361" t="s">
        <v>177</v>
      </c>
      <c r="C55" s="171">
        <f>C56+C57</f>
        <v>167914.9</v>
      </c>
      <c r="D55" s="172">
        <f>D56+D57</f>
        <v>0</v>
      </c>
      <c r="E55" s="171">
        <f>E56+E57</f>
        <v>167914.9</v>
      </c>
      <c r="F55" s="171">
        <f>F56+F57</f>
        <v>45252.582999999999</v>
      </c>
      <c r="G55" s="360">
        <f t="shared" si="1"/>
        <v>26.949712622286647</v>
      </c>
      <c r="H55" s="360">
        <f t="shared" si="4"/>
        <v>-122662.317</v>
      </c>
    </row>
    <row r="56" spans="1:9" ht="24">
      <c r="A56" s="374" t="s">
        <v>651</v>
      </c>
      <c r="B56" s="370" t="s">
        <v>178</v>
      </c>
      <c r="C56" s="347">
        <v>150309.9</v>
      </c>
      <c r="D56" s="369">
        <f t="shared" ref="D56:D66" si="5">E56-C56</f>
        <v>0</v>
      </c>
      <c r="E56" s="346">
        <v>150309.9</v>
      </c>
      <c r="F56" s="23">
        <v>40659.972999999998</v>
      </c>
      <c r="G56" s="503">
        <f t="shared" si="1"/>
        <v>27.050761792802735</v>
      </c>
      <c r="H56" s="366">
        <f t="shared" si="4"/>
        <v>-109649.927</v>
      </c>
    </row>
    <row r="57" spans="1:9" ht="24">
      <c r="A57" s="371" t="s">
        <v>652</v>
      </c>
      <c r="B57" s="370" t="s">
        <v>155</v>
      </c>
      <c r="C57" s="347">
        <v>17605</v>
      </c>
      <c r="D57" s="369">
        <f t="shared" si="5"/>
        <v>0</v>
      </c>
      <c r="E57" s="347">
        <v>17605</v>
      </c>
      <c r="F57" s="548">
        <v>4592.6099999999997</v>
      </c>
      <c r="G57" s="503">
        <f t="shared" si="1"/>
        <v>26.086963930701501</v>
      </c>
      <c r="H57" s="366">
        <f t="shared" si="4"/>
        <v>-13012.39</v>
      </c>
    </row>
    <row r="58" spans="1:9" ht="24">
      <c r="A58" s="362" t="s">
        <v>653</v>
      </c>
      <c r="B58" s="361" t="s">
        <v>457</v>
      </c>
      <c r="C58" s="401">
        <f>SUM(C59:C63)</f>
        <v>38745.4</v>
      </c>
      <c r="D58" s="401">
        <f>SUM(D59:D66)</f>
        <v>0</v>
      </c>
      <c r="E58" s="402">
        <f>SUM(E59:E63)</f>
        <v>53873.404999999999</v>
      </c>
      <c r="F58" s="401">
        <f>SUM(F59:F63)</f>
        <v>20334.233960000001</v>
      </c>
      <c r="G58" s="360">
        <f t="shared" si="1"/>
        <v>37.744475145018214</v>
      </c>
      <c r="H58" s="363">
        <f t="shared" si="4"/>
        <v>-33539.171040000001</v>
      </c>
    </row>
    <row r="59" spans="1:9" s="348" customFormat="1" ht="38.25" customHeight="1">
      <c r="A59" s="529" t="s">
        <v>659</v>
      </c>
      <c r="B59" s="530" t="s">
        <v>458</v>
      </c>
      <c r="C59" s="340">
        <v>33161.599999999999</v>
      </c>
      <c r="D59" s="369">
        <f t="shared" si="5"/>
        <v>0</v>
      </c>
      <c r="E59" s="340">
        <v>33161.599999999999</v>
      </c>
      <c r="F59" s="346">
        <v>15752.402</v>
      </c>
      <c r="G59" s="503">
        <f t="shared" si="1"/>
        <v>47.501935974138767</v>
      </c>
      <c r="H59" s="388">
        <f t="shared" si="4"/>
        <v>-17409.197999999997</v>
      </c>
    </row>
    <row r="60" spans="1:9" s="348" customFormat="1" ht="55.5" customHeight="1">
      <c r="A60" s="529" t="s">
        <v>883</v>
      </c>
      <c r="B60" s="530" t="s">
        <v>884</v>
      </c>
      <c r="C60" s="340">
        <v>0</v>
      </c>
      <c r="D60" s="369"/>
      <c r="E60" s="340">
        <v>15128.004999999999</v>
      </c>
      <c r="F60" s="346">
        <v>4581.8319600000004</v>
      </c>
      <c r="G60" s="503">
        <f t="shared" si="1"/>
        <v>30.287086499508696</v>
      </c>
      <c r="H60" s="388">
        <f t="shared" si="4"/>
        <v>-10546.173039999998</v>
      </c>
    </row>
    <row r="61" spans="1:9" s="348" customFormat="1" ht="31.5" customHeight="1">
      <c r="A61" s="529"/>
      <c r="B61" s="532" t="s">
        <v>875</v>
      </c>
      <c r="C61" s="388">
        <v>198</v>
      </c>
      <c r="D61" s="369">
        <f t="shared" si="5"/>
        <v>0</v>
      </c>
      <c r="E61" s="388">
        <v>198</v>
      </c>
      <c r="F61" s="383">
        <v>0</v>
      </c>
      <c r="G61" s="503">
        <f t="shared" si="1"/>
        <v>0</v>
      </c>
      <c r="H61" s="388">
        <f t="shared" si="4"/>
        <v>-198</v>
      </c>
    </row>
    <row r="62" spans="1:9" s="399" customFormat="1" ht="24" customHeight="1">
      <c r="A62" s="529" t="s">
        <v>657</v>
      </c>
      <c r="B62" s="532" t="s">
        <v>876</v>
      </c>
      <c r="C62" s="392">
        <v>2000</v>
      </c>
      <c r="D62" s="398">
        <f t="shared" si="5"/>
        <v>0</v>
      </c>
      <c r="E62" s="392">
        <v>2000</v>
      </c>
      <c r="F62" s="392">
        <v>0</v>
      </c>
      <c r="G62" s="503">
        <f t="shared" si="1"/>
        <v>0</v>
      </c>
      <c r="H62" s="400">
        <f t="shared" si="4"/>
        <v>-2000</v>
      </c>
    </row>
    <row r="63" spans="1:9" s="399" customFormat="1" ht="31.5" customHeight="1">
      <c r="A63" s="529" t="s">
        <v>656</v>
      </c>
      <c r="B63" s="532" t="s">
        <v>877</v>
      </c>
      <c r="C63" s="392">
        <v>3385.8</v>
      </c>
      <c r="D63" s="398">
        <f t="shared" si="5"/>
        <v>0</v>
      </c>
      <c r="E63" s="392">
        <v>3385.8</v>
      </c>
      <c r="F63" s="392">
        <v>0</v>
      </c>
      <c r="G63" s="503">
        <f t="shared" si="1"/>
        <v>0</v>
      </c>
      <c r="H63" s="400">
        <f t="shared" si="4"/>
        <v>-3385.8</v>
      </c>
    </row>
    <row r="64" spans="1:9" s="349" customFormat="1" ht="25.5" hidden="1" customHeight="1">
      <c r="A64" s="396" t="s">
        <v>659</v>
      </c>
      <c r="B64" s="395" t="s">
        <v>459</v>
      </c>
      <c r="C64" s="394">
        <v>0</v>
      </c>
      <c r="D64" s="393">
        <f t="shared" si="5"/>
        <v>0</v>
      </c>
      <c r="E64" s="397">
        <v>0</v>
      </c>
      <c r="F64" s="392"/>
      <c r="G64" s="404" t="e">
        <f t="shared" si="1"/>
        <v>#DIV/0!</v>
      </c>
      <c r="H64" s="391">
        <f t="shared" si="4"/>
        <v>0</v>
      </c>
    </row>
    <row r="65" spans="1:8" s="349" customFormat="1" ht="25.5" hidden="1" customHeight="1">
      <c r="A65" s="390" t="s">
        <v>659</v>
      </c>
      <c r="B65" s="386" t="s">
        <v>773</v>
      </c>
      <c r="C65" s="340"/>
      <c r="D65" s="369">
        <f t="shared" si="5"/>
        <v>0</v>
      </c>
      <c r="E65" s="346">
        <v>0</v>
      </c>
      <c r="F65" s="389"/>
      <c r="G65" s="404" t="e">
        <f t="shared" si="1"/>
        <v>#DIV/0!</v>
      </c>
      <c r="H65" s="391">
        <f t="shared" si="4"/>
        <v>0</v>
      </c>
    </row>
    <row r="66" spans="1:8" s="348" customFormat="1" ht="42" hidden="1" customHeight="1">
      <c r="A66" s="390" t="s">
        <v>659</v>
      </c>
      <c r="B66" s="386" t="s">
        <v>772</v>
      </c>
      <c r="C66" s="340"/>
      <c r="D66" s="369">
        <f t="shared" si="5"/>
        <v>0</v>
      </c>
      <c r="E66" s="346">
        <v>0</v>
      </c>
      <c r="F66" s="389"/>
      <c r="G66" s="404" t="e">
        <f t="shared" si="1"/>
        <v>#DIV/0!</v>
      </c>
      <c r="H66" s="388">
        <f t="shared" ref="H66:H99" si="6">SUM(F66-E66)</f>
        <v>0</v>
      </c>
    </row>
    <row r="67" spans="1:8" ht="27.75" customHeight="1">
      <c r="A67" s="362" t="s">
        <v>660</v>
      </c>
      <c r="B67" s="361" t="s">
        <v>183</v>
      </c>
      <c r="C67" s="375">
        <f>SUM(C68:C90)</f>
        <v>379829.92625999998</v>
      </c>
      <c r="D67" s="375">
        <f>SUM(D70:D93)</f>
        <v>171239.32399999999</v>
      </c>
      <c r="E67" s="375">
        <f>SUM(E68:E90)</f>
        <v>530834.55625999998</v>
      </c>
      <c r="F67" s="375">
        <f>SUM(F68:F90)</f>
        <v>132454.70689000003</v>
      </c>
      <c r="G67" s="360">
        <f t="shared" si="1"/>
        <v>24.952163593721359</v>
      </c>
      <c r="H67" s="363">
        <f t="shared" si="6"/>
        <v>-398379.84936999995</v>
      </c>
    </row>
    <row r="68" spans="1:8" ht="36" customHeight="1">
      <c r="A68" s="529" t="s">
        <v>849</v>
      </c>
      <c r="B68" s="534" t="s">
        <v>850</v>
      </c>
      <c r="C68" s="347">
        <v>11.5</v>
      </c>
      <c r="D68" s="379">
        <f t="shared" ref="D68" si="7">E68-C68</f>
        <v>0</v>
      </c>
      <c r="E68" s="347">
        <v>11.5</v>
      </c>
      <c r="F68" s="377">
        <v>2.7480000000000002</v>
      </c>
      <c r="G68" s="503">
        <f t="shared" si="1"/>
        <v>23.895652173913046</v>
      </c>
      <c r="H68" s="366">
        <f t="shared" ref="H68" si="8">SUM(F68-E68)</f>
        <v>-8.7519999999999989</v>
      </c>
    </row>
    <row r="69" spans="1:8" ht="24">
      <c r="A69" s="529" t="s">
        <v>662</v>
      </c>
      <c r="B69" s="536" t="s">
        <v>856</v>
      </c>
      <c r="C69" s="347">
        <v>46005.89</v>
      </c>
      <c r="D69" s="379">
        <f t="shared" ref="D69" si="9">E69-C69</f>
        <v>0</v>
      </c>
      <c r="E69" s="347">
        <v>46005.89</v>
      </c>
      <c r="F69" s="382">
        <v>16153.39</v>
      </c>
      <c r="G69" s="503">
        <f t="shared" si="1"/>
        <v>35.111569409916861</v>
      </c>
      <c r="H69" s="366">
        <f t="shared" ref="H69" si="10">SUM(F69-E69)</f>
        <v>-29852.5</v>
      </c>
    </row>
    <row r="70" spans="1:8" s="359" customFormat="1" ht="72.75" customHeight="1">
      <c r="A70" s="529" t="s">
        <v>663</v>
      </c>
      <c r="B70" s="534" t="s">
        <v>845</v>
      </c>
      <c r="C70" s="347">
        <v>141704</v>
      </c>
      <c r="D70" s="379">
        <f t="shared" ref="D70:D93" si="11">E70-C70</f>
        <v>0</v>
      </c>
      <c r="E70" s="347">
        <v>141704</v>
      </c>
      <c r="F70" s="377">
        <v>39878.380219999999</v>
      </c>
      <c r="G70" s="503">
        <f t="shared" ref="G70:G99" si="12">SUM(F70/E70%)</f>
        <v>28.142028608931295</v>
      </c>
      <c r="H70" s="387">
        <f t="shared" si="6"/>
        <v>-101825.61978000001</v>
      </c>
    </row>
    <row r="71" spans="1:8" ht="24">
      <c r="A71" s="529" t="s">
        <v>663</v>
      </c>
      <c r="B71" s="534" t="s">
        <v>846</v>
      </c>
      <c r="C71" s="385">
        <v>88504</v>
      </c>
      <c r="D71" s="379">
        <f t="shared" si="11"/>
        <v>0</v>
      </c>
      <c r="E71" s="385">
        <v>88504</v>
      </c>
      <c r="F71" s="377">
        <v>24846.609</v>
      </c>
      <c r="G71" s="503">
        <f t="shared" si="12"/>
        <v>28.073995525625961</v>
      </c>
      <c r="H71" s="366">
        <f t="shared" si="6"/>
        <v>-63657.391000000003</v>
      </c>
    </row>
    <row r="72" spans="1:8" ht="24">
      <c r="A72" s="529" t="s">
        <v>663</v>
      </c>
      <c r="B72" s="534" t="s">
        <v>847</v>
      </c>
      <c r="C72" s="385">
        <v>4020.3</v>
      </c>
      <c r="D72" s="379">
        <f t="shared" si="11"/>
        <v>0</v>
      </c>
      <c r="E72" s="385">
        <v>4020.3</v>
      </c>
      <c r="F72" s="377">
        <v>951.08900000000006</v>
      </c>
      <c r="G72" s="503">
        <f t="shared" si="12"/>
        <v>23.657164888192423</v>
      </c>
      <c r="H72" s="366">
        <f t="shared" si="6"/>
        <v>-3069.2110000000002</v>
      </c>
    </row>
    <row r="73" spans="1:8" ht="24">
      <c r="A73" s="529" t="s">
        <v>663</v>
      </c>
      <c r="B73" s="534" t="s">
        <v>848</v>
      </c>
      <c r="C73" s="385">
        <v>8490</v>
      </c>
      <c r="D73" s="379">
        <f t="shared" si="11"/>
        <v>0</v>
      </c>
      <c r="E73" s="385">
        <v>8490</v>
      </c>
      <c r="F73" s="377">
        <v>1708.8009999999999</v>
      </c>
      <c r="G73" s="503">
        <f t="shared" si="12"/>
        <v>20.127220259128386</v>
      </c>
      <c r="H73" s="366">
        <f t="shared" si="6"/>
        <v>-6781.1990000000005</v>
      </c>
    </row>
    <row r="74" spans="1:8" ht="66" customHeight="1">
      <c r="A74" s="529" t="s">
        <v>663</v>
      </c>
      <c r="B74" s="534" t="s">
        <v>855</v>
      </c>
      <c r="C74" s="347">
        <v>10869.6</v>
      </c>
      <c r="D74" s="379">
        <f t="shared" ref="D74:D82" si="13">E74-C74</f>
        <v>0</v>
      </c>
      <c r="E74" s="347">
        <v>10869.6</v>
      </c>
      <c r="F74" s="382">
        <v>2532.8000000000002</v>
      </c>
      <c r="G74" s="503">
        <f t="shared" ref="G74:G81" si="14">SUM(F74/E74%)</f>
        <v>23.301685434606611</v>
      </c>
      <c r="H74" s="366">
        <f t="shared" ref="H74:H81" si="15">SUM(F74-E74)</f>
        <v>-8336.7999999999993</v>
      </c>
    </row>
    <row r="75" spans="1:8" ht="54" customHeight="1">
      <c r="A75" s="529" t="s">
        <v>663</v>
      </c>
      <c r="B75" s="534" t="s">
        <v>857</v>
      </c>
      <c r="C75" s="347">
        <v>993</v>
      </c>
      <c r="D75" s="379">
        <f t="shared" si="13"/>
        <v>0</v>
      </c>
      <c r="E75" s="347">
        <v>993</v>
      </c>
      <c r="F75" s="382">
        <v>339.55</v>
      </c>
      <c r="G75" s="503">
        <f t="shared" si="14"/>
        <v>34.194360523665665</v>
      </c>
      <c r="H75" s="366">
        <f t="shared" si="15"/>
        <v>-653.45000000000005</v>
      </c>
    </row>
    <row r="76" spans="1:8" ht="33.75" customHeight="1">
      <c r="A76" s="529" t="s">
        <v>663</v>
      </c>
      <c r="B76" s="534" t="s">
        <v>859</v>
      </c>
      <c r="C76" s="384">
        <v>100.8</v>
      </c>
      <c r="D76" s="379">
        <f t="shared" si="13"/>
        <v>0</v>
      </c>
      <c r="E76" s="384">
        <v>100.8</v>
      </c>
      <c r="F76" s="346">
        <v>0</v>
      </c>
      <c r="G76" s="503">
        <f t="shared" si="14"/>
        <v>0</v>
      </c>
      <c r="H76" s="366">
        <f t="shared" si="15"/>
        <v>-100.8</v>
      </c>
    </row>
    <row r="77" spans="1:8" ht="42.75" customHeight="1">
      <c r="A77" s="531" t="s">
        <v>663</v>
      </c>
      <c r="B77" s="534" t="s">
        <v>860</v>
      </c>
      <c r="C77" s="347">
        <v>491.4</v>
      </c>
      <c r="D77" s="379">
        <f t="shared" si="13"/>
        <v>0</v>
      </c>
      <c r="E77" s="347">
        <v>491.4</v>
      </c>
      <c r="F77" s="346">
        <v>122.85</v>
      </c>
      <c r="G77" s="503">
        <f t="shared" si="14"/>
        <v>25</v>
      </c>
      <c r="H77" s="366">
        <f t="shared" si="15"/>
        <v>-368.54999999999995</v>
      </c>
    </row>
    <row r="78" spans="1:8" ht="38.25" customHeight="1">
      <c r="A78" s="531" t="s">
        <v>663</v>
      </c>
      <c r="B78" s="534" t="s">
        <v>861</v>
      </c>
      <c r="C78" s="384">
        <v>721.9</v>
      </c>
      <c r="D78" s="379">
        <f t="shared" si="13"/>
        <v>0</v>
      </c>
      <c r="E78" s="384">
        <v>721.9</v>
      </c>
      <c r="F78" s="383">
        <v>180.47399999999999</v>
      </c>
      <c r="G78" s="503">
        <f t="shared" si="14"/>
        <v>24.999861476658818</v>
      </c>
      <c r="H78" s="366">
        <f t="shared" si="15"/>
        <v>-541.42599999999993</v>
      </c>
    </row>
    <row r="79" spans="1:8" ht="27" customHeight="1">
      <c r="A79" s="531" t="s">
        <v>663</v>
      </c>
      <c r="B79" s="534" t="s">
        <v>862</v>
      </c>
      <c r="C79" s="384">
        <v>268.8</v>
      </c>
      <c r="D79" s="379">
        <f t="shared" si="13"/>
        <v>0</v>
      </c>
      <c r="E79" s="384">
        <v>268.8</v>
      </c>
      <c r="F79" s="383">
        <v>77.700419999999994</v>
      </c>
      <c r="G79" s="503">
        <f t="shared" si="14"/>
        <v>28.906406249999996</v>
      </c>
      <c r="H79" s="366">
        <f t="shared" si="15"/>
        <v>-191.09958</v>
      </c>
    </row>
    <row r="80" spans="1:8" ht="39" customHeight="1">
      <c r="A80" s="531" t="s">
        <v>663</v>
      </c>
      <c r="B80" s="540" t="s">
        <v>879</v>
      </c>
      <c r="C80" s="378">
        <v>353.1</v>
      </c>
      <c r="D80" s="379">
        <f t="shared" si="13"/>
        <v>0</v>
      </c>
      <c r="E80" s="378">
        <v>353.1</v>
      </c>
      <c r="F80" s="377">
        <v>353.1</v>
      </c>
      <c r="G80" s="503">
        <f t="shared" si="14"/>
        <v>100</v>
      </c>
      <c r="H80" s="366">
        <f t="shared" si="15"/>
        <v>0</v>
      </c>
    </row>
    <row r="81" spans="1:10" ht="32.25" customHeight="1">
      <c r="A81" s="531" t="s">
        <v>663</v>
      </c>
      <c r="B81" s="534" t="s">
        <v>870</v>
      </c>
      <c r="C81" s="378">
        <v>2750</v>
      </c>
      <c r="D81" s="379">
        <f t="shared" si="13"/>
        <v>0</v>
      </c>
      <c r="E81" s="378">
        <v>2750</v>
      </c>
      <c r="F81" s="377">
        <v>0</v>
      </c>
      <c r="G81" s="503">
        <f t="shared" si="14"/>
        <v>0</v>
      </c>
      <c r="H81" s="366">
        <f t="shared" si="15"/>
        <v>-2750</v>
      </c>
    </row>
    <row r="82" spans="1:10" ht="40.5" customHeight="1">
      <c r="A82" s="533" t="s">
        <v>866</v>
      </c>
      <c r="B82" s="539" t="s">
        <v>867</v>
      </c>
      <c r="C82" s="347">
        <v>225.29926</v>
      </c>
      <c r="D82" s="379">
        <f t="shared" si="13"/>
        <v>22304.63</v>
      </c>
      <c r="E82" s="347">
        <v>22529.929260000001</v>
      </c>
      <c r="F82" s="377">
        <v>4825</v>
      </c>
      <c r="G82" s="503">
        <f t="shared" ref="G82" si="16">SUM(F82/E82%)</f>
        <v>21.415957166658231</v>
      </c>
      <c r="H82" s="366">
        <f t="shared" ref="H82" si="17">SUM(F82-E82)</f>
        <v>-17704.929260000001</v>
      </c>
    </row>
    <row r="83" spans="1:10" ht="42.75" customHeight="1">
      <c r="A83" s="529" t="s">
        <v>853</v>
      </c>
      <c r="B83" s="535" t="s">
        <v>854</v>
      </c>
      <c r="C83" s="347">
        <v>1396.6</v>
      </c>
      <c r="D83" s="379">
        <f t="shared" si="11"/>
        <v>0</v>
      </c>
      <c r="E83" s="347">
        <v>1396.6</v>
      </c>
      <c r="F83" s="346">
        <v>349.149</v>
      </c>
      <c r="G83" s="503">
        <f t="shared" si="12"/>
        <v>24.999928397536877</v>
      </c>
      <c r="H83" s="366">
        <f t="shared" si="6"/>
        <v>-1047.451</v>
      </c>
    </row>
    <row r="84" spans="1:10" ht="39" customHeight="1">
      <c r="A84" s="417" t="s">
        <v>665</v>
      </c>
      <c r="B84" s="537" t="s">
        <v>863</v>
      </c>
      <c r="C84" s="380">
        <v>44.5</v>
      </c>
      <c r="D84" s="379">
        <f t="shared" ref="D84:D86" si="18">E84-C84</f>
        <v>0</v>
      </c>
      <c r="E84" s="380">
        <v>44.5</v>
      </c>
      <c r="F84" s="382">
        <v>0</v>
      </c>
      <c r="G84" s="503">
        <f t="shared" ref="G84:G86" si="19">SUM(F84/E84%)</f>
        <v>0</v>
      </c>
      <c r="H84" s="366">
        <f t="shared" ref="H84:H86" si="20">SUM(F84-E84)</f>
        <v>-44.5</v>
      </c>
    </row>
    <row r="85" spans="1:10" ht="29.25" customHeight="1">
      <c r="A85" s="529" t="s">
        <v>851</v>
      </c>
      <c r="B85" s="534" t="s">
        <v>852</v>
      </c>
      <c r="C85" s="347">
        <v>5649</v>
      </c>
      <c r="D85" s="379">
        <f t="shared" si="18"/>
        <v>0</v>
      </c>
      <c r="E85" s="347">
        <v>5649</v>
      </c>
      <c r="F85" s="382">
        <v>2498.3180000000002</v>
      </c>
      <c r="G85" s="503">
        <f t="shared" si="19"/>
        <v>44.225845282350861</v>
      </c>
      <c r="H85" s="366">
        <f t="shared" si="20"/>
        <v>-3150.6819999999998</v>
      </c>
    </row>
    <row r="86" spans="1:10" ht="37.5" customHeight="1">
      <c r="A86" s="529" t="s">
        <v>868</v>
      </c>
      <c r="B86" s="539" t="s">
        <v>869</v>
      </c>
      <c r="C86" s="378">
        <v>1300</v>
      </c>
      <c r="D86" s="379">
        <f t="shared" si="18"/>
        <v>128700</v>
      </c>
      <c r="E86" s="378">
        <v>130000</v>
      </c>
      <c r="F86" s="389">
        <v>23300</v>
      </c>
      <c r="G86" s="503">
        <f t="shared" si="19"/>
        <v>17.923076923076923</v>
      </c>
      <c r="H86" s="366">
        <f t="shared" si="20"/>
        <v>-106700</v>
      </c>
    </row>
    <row r="87" spans="1:10" ht="39" customHeight="1">
      <c r="A87" s="529" t="s">
        <v>667</v>
      </c>
      <c r="B87" s="534" t="s">
        <v>858</v>
      </c>
      <c r="C87" s="347">
        <v>34634.9</v>
      </c>
      <c r="D87" s="379">
        <f t="shared" si="11"/>
        <v>0</v>
      </c>
      <c r="E87" s="347">
        <v>34634.9</v>
      </c>
      <c r="F87" s="383">
        <v>7831.7903800000004</v>
      </c>
      <c r="G87" s="503">
        <f t="shared" si="12"/>
        <v>22.612423826833631</v>
      </c>
      <c r="H87" s="366">
        <f t="shared" si="6"/>
        <v>-26803.109620000003</v>
      </c>
    </row>
    <row r="88" spans="1:10" ht="54.75" customHeight="1">
      <c r="A88" s="529" t="s">
        <v>871</v>
      </c>
      <c r="B88" s="539" t="s">
        <v>872</v>
      </c>
      <c r="C88" s="378">
        <v>16</v>
      </c>
      <c r="D88" s="379">
        <f t="shared" ref="D88:D89" si="21">E88-C88</f>
        <v>0</v>
      </c>
      <c r="E88" s="378">
        <v>16</v>
      </c>
      <c r="F88" s="389">
        <v>2.9578700000000002</v>
      </c>
      <c r="G88" s="503">
        <f t="shared" si="12"/>
        <v>18.486687500000002</v>
      </c>
      <c r="H88" s="366">
        <f t="shared" si="6"/>
        <v>-13.04213</v>
      </c>
    </row>
    <row r="89" spans="1:10" ht="38.25" customHeight="1">
      <c r="A89" s="531" t="s">
        <v>873</v>
      </c>
      <c r="B89" s="539" t="s">
        <v>874</v>
      </c>
      <c r="C89" s="378">
        <v>231</v>
      </c>
      <c r="D89" s="379">
        <f t="shared" si="21"/>
        <v>0</v>
      </c>
      <c r="E89" s="378">
        <v>231</v>
      </c>
      <c r="F89" s="377">
        <v>0</v>
      </c>
      <c r="G89" s="503">
        <f t="shared" si="12"/>
        <v>0</v>
      </c>
      <c r="H89" s="366">
        <f t="shared" si="6"/>
        <v>-231</v>
      </c>
    </row>
    <row r="90" spans="1:10" ht="54.75" customHeight="1">
      <c r="A90" s="529" t="s">
        <v>864</v>
      </c>
      <c r="B90" s="538" t="s">
        <v>865</v>
      </c>
      <c r="C90" s="347">
        <v>31048.337</v>
      </c>
      <c r="D90" s="379">
        <f t="shared" ref="D90" si="22">E90-C90</f>
        <v>0</v>
      </c>
      <c r="E90" s="347">
        <v>31048.337</v>
      </c>
      <c r="F90" s="381">
        <v>6500</v>
      </c>
      <c r="G90" s="503">
        <f t="shared" ref="G90:G93" si="23">SUM(F90/E90%)</f>
        <v>20.935098713982654</v>
      </c>
      <c r="H90" s="366">
        <f t="shared" ref="H90:H93" si="24">SUM(F90-E90)</f>
        <v>-24548.337</v>
      </c>
    </row>
    <row r="91" spans="1:10" s="546" customFormat="1" ht="17.25" customHeight="1">
      <c r="A91" s="541"/>
      <c r="B91" s="542" t="s">
        <v>184</v>
      </c>
      <c r="C91" s="543">
        <f>C93</f>
        <v>1010.101</v>
      </c>
      <c r="D91" s="547">
        <f t="shared" si="11"/>
        <v>20234.694</v>
      </c>
      <c r="E91" s="544">
        <f>+E92+E93</f>
        <v>21244.794999999998</v>
      </c>
      <c r="F91" s="545">
        <f>+F92+F93</f>
        <v>4489.9489999999996</v>
      </c>
      <c r="G91" s="360"/>
      <c r="H91" s="363"/>
    </row>
    <row r="92" spans="1:10" s="348" customFormat="1" ht="55.5" customHeight="1">
      <c r="A92" s="529" t="s">
        <v>881</v>
      </c>
      <c r="B92" s="417" t="s">
        <v>882</v>
      </c>
      <c r="C92" s="549"/>
      <c r="D92" s="369"/>
      <c r="E92" s="346">
        <v>20234.694</v>
      </c>
      <c r="F92" s="389">
        <v>4489.9489999999996</v>
      </c>
      <c r="G92" s="503">
        <f t="shared" si="23"/>
        <v>22.189359522807706</v>
      </c>
      <c r="H92" s="366">
        <f t="shared" si="24"/>
        <v>-15744.744999999999</v>
      </c>
    </row>
    <row r="93" spans="1:10" ht="38.25" customHeight="1">
      <c r="A93" s="529" t="s">
        <v>885</v>
      </c>
      <c r="B93" s="538" t="s">
        <v>878</v>
      </c>
      <c r="C93" s="378">
        <v>1010.101</v>
      </c>
      <c r="D93" s="379">
        <f t="shared" si="11"/>
        <v>0</v>
      </c>
      <c r="E93" s="378">
        <v>1010.101</v>
      </c>
      <c r="F93" s="377">
        <v>0</v>
      </c>
      <c r="G93" s="503">
        <f t="shared" si="23"/>
        <v>0</v>
      </c>
      <c r="H93" s="366">
        <f t="shared" si="24"/>
        <v>-1010.101</v>
      </c>
    </row>
    <row r="94" spans="1:10" s="359" customFormat="1" ht="21.75" hidden="1" customHeight="1">
      <c r="A94" s="362" t="s">
        <v>488</v>
      </c>
      <c r="B94" s="361" t="s">
        <v>184</v>
      </c>
      <c r="C94" s="375">
        <f>C95+C96</f>
        <v>0</v>
      </c>
      <c r="D94" s="375">
        <f>D95+D96</f>
        <v>0</v>
      </c>
      <c r="E94" s="376">
        <f>E95+E96</f>
        <v>0</v>
      </c>
      <c r="F94" s="375">
        <f>F95+F96</f>
        <v>0</v>
      </c>
      <c r="G94" s="404" t="e">
        <f t="shared" si="12"/>
        <v>#DIV/0!</v>
      </c>
      <c r="H94" s="366">
        <f t="shared" ref="H94:H97" si="25">SUM(F94-E94)</f>
        <v>0</v>
      </c>
    </row>
    <row r="95" spans="1:10" ht="36" hidden="1">
      <c r="A95" s="374" t="s">
        <v>421</v>
      </c>
      <c r="B95" s="370" t="s">
        <v>185</v>
      </c>
      <c r="C95" s="340"/>
      <c r="D95" s="369">
        <f>E95-C95</f>
        <v>0</v>
      </c>
      <c r="E95" s="373"/>
      <c r="F95" s="372"/>
      <c r="G95" s="404" t="e">
        <f t="shared" si="12"/>
        <v>#DIV/0!</v>
      </c>
      <c r="H95" s="366">
        <f t="shared" si="25"/>
        <v>0</v>
      </c>
      <c r="I95" s="359"/>
      <c r="J95" s="359"/>
    </row>
    <row r="96" spans="1:10" ht="27.75" hidden="1" customHeight="1">
      <c r="A96" s="371" t="s">
        <v>486</v>
      </c>
      <c r="B96" s="370" t="s">
        <v>487</v>
      </c>
      <c r="C96" s="340">
        <v>0</v>
      </c>
      <c r="D96" s="369">
        <f>E96-C96</f>
        <v>0</v>
      </c>
      <c r="E96" s="368">
        <v>0</v>
      </c>
      <c r="F96" s="367">
        <v>0</v>
      </c>
      <c r="G96" s="404" t="e">
        <f t="shared" si="12"/>
        <v>#DIV/0!</v>
      </c>
      <c r="H96" s="366">
        <f t="shared" si="25"/>
        <v>0</v>
      </c>
      <c r="I96" s="359"/>
      <c r="J96" s="359"/>
    </row>
    <row r="97" spans="1:10" ht="27.75" hidden="1" customHeight="1">
      <c r="A97" s="371" t="s">
        <v>803</v>
      </c>
      <c r="B97" s="370" t="s">
        <v>804</v>
      </c>
      <c r="C97" s="340">
        <v>0</v>
      </c>
      <c r="D97" s="369"/>
      <c r="E97" s="368">
        <v>0</v>
      </c>
      <c r="F97" s="466"/>
      <c r="G97" s="404" t="e">
        <f t="shared" si="12"/>
        <v>#DIV/0!</v>
      </c>
      <c r="H97" s="366">
        <f t="shared" si="25"/>
        <v>0</v>
      </c>
      <c r="I97" s="359"/>
      <c r="J97" s="359"/>
    </row>
    <row r="98" spans="1:10" ht="21.75" customHeight="1">
      <c r="A98" s="365" t="s">
        <v>66</v>
      </c>
      <c r="B98" s="364" t="s">
        <v>480</v>
      </c>
      <c r="C98" s="603">
        <f>C55+C58+C67+C91</f>
        <v>587500.32725999993</v>
      </c>
      <c r="D98" s="604">
        <f>E98-C98</f>
        <v>186367.32900000003</v>
      </c>
      <c r="E98" s="603">
        <f>E55+E58+E67+E91</f>
        <v>773867.65625999996</v>
      </c>
      <c r="F98" s="603">
        <f>F55+F67+F58+F94+F91</f>
        <v>202531.47285000002</v>
      </c>
      <c r="G98" s="375">
        <f t="shared" si="12"/>
        <v>26.17133190819834</v>
      </c>
      <c r="H98" s="605">
        <f t="shared" si="6"/>
        <v>-571336.18340999994</v>
      </c>
      <c r="I98" s="359"/>
      <c r="J98" s="359"/>
    </row>
    <row r="99" spans="1:10" ht="17.25" customHeight="1">
      <c r="A99" s="362"/>
      <c r="B99" s="361" t="s">
        <v>254</v>
      </c>
      <c r="C99" s="604">
        <f>C98+C54</f>
        <v>628435.32725999993</v>
      </c>
      <c r="D99" s="604">
        <f>E99-C99</f>
        <v>186367.32900000003</v>
      </c>
      <c r="E99" s="604">
        <f>E98+E54</f>
        <v>814802.65625999996</v>
      </c>
      <c r="F99" s="604">
        <f>F98+F54</f>
        <v>211292.86084000001</v>
      </c>
      <c r="G99" s="375">
        <f t="shared" si="12"/>
        <v>25.931783508150147</v>
      </c>
      <c r="H99" s="375">
        <f t="shared" si="6"/>
        <v>-603509.79541999998</v>
      </c>
      <c r="I99" s="359"/>
      <c r="J99" s="359"/>
    </row>
    <row r="100" spans="1:10">
      <c r="A100" s="354"/>
      <c r="B100" s="354"/>
      <c r="C100" s="354"/>
      <c r="D100" s="354"/>
      <c r="F100" s="357"/>
    </row>
    <row r="101" spans="1:10">
      <c r="A101" s="354"/>
      <c r="B101" s="354"/>
      <c r="C101" s="354"/>
      <c r="D101" s="354"/>
      <c r="F101" s="358"/>
    </row>
    <row r="103" spans="1:10">
      <c r="A103" s="354"/>
      <c r="B103" s="354"/>
      <c r="C103" s="354"/>
      <c r="D103" s="354"/>
      <c r="F103" s="357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6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>
      <c r="A1" s="818" t="s">
        <v>609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410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256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817"/>
      <c r="B3" s="817"/>
      <c r="C3" s="817"/>
      <c r="D3" s="817"/>
      <c r="E3" s="817" t="s">
        <v>187</v>
      </c>
      <c r="F3" s="817"/>
      <c r="G3" s="817"/>
      <c r="H3" s="817"/>
      <c r="I3" s="817" t="s">
        <v>188</v>
      </c>
      <c r="J3" s="817"/>
      <c r="K3" s="817"/>
      <c r="L3" s="817"/>
      <c r="M3" s="817" t="s">
        <v>189</v>
      </c>
      <c r="N3" s="817"/>
      <c r="O3" s="817"/>
      <c r="P3" s="817"/>
      <c r="Q3" s="817" t="s">
        <v>190</v>
      </c>
      <c r="R3" s="817"/>
      <c r="S3" s="817"/>
      <c r="T3" s="817"/>
      <c r="U3" s="817" t="s">
        <v>191</v>
      </c>
      <c r="V3" s="817"/>
      <c r="W3" s="817"/>
      <c r="X3" s="817"/>
      <c r="Y3" s="817" t="s">
        <v>192</v>
      </c>
      <c r="Z3" s="817"/>
      <c r="AA3" s="817"/>
      <c r="AB3" s="817"/>
      <c r="AC3" s="817" t="s">
        <v>193</v>
      </c>
      <c r="AD3" s="817"/>
      <c r="AE3" s="817"/>
      <c r="AF3" s="817"/>
      <c r="AG3" s="814" t="s">
        <v>194</v>
      </c>
      <c r="AH3" s="815"/>
      <c r="AI3" s="815"/>
      <c r="AJ3" s="816"/>
      <c r="AK3" s="814" t="s">
        <v>287</v>
      </c>
      <c r="AL3" s="815"/>
      <c r="AM3" s="815"/>
      <c r="AN3" s="816"/>
      <c r="AO3" s="814" t="s">
        <v>401</v>
      </c>
      <c r="AP3" s="815"/>
      <c r="AQ3" s="815"/>
      <c r="AR3" s="816"/>
      <c r="AS3" s="814" t="s">
        <v>402</v>
      </c>
      <c r="AT3" s="815"/>
      <c r="AU3" s="815"/>
      <c r="AV3" s="816"/>
      <c r="AW3" s="814" t="s">
        <v>403</v>
      </c>
      <c r="AX3" s="815"/>
      <c r="AY3" s="815"/>
      <c r="AZ3" s="816"/>
      <c r="BA3" s="814" t="s">
        <v>405</v>
      </c>
      <c r="BB3" s="815"/>
      <c r="BC3" s="815"/>
      <c r="BD3" s="816"/>
      <c r="BE3" s="814" t="s">
        <v>610</v>
      </c>
      <c r="BF3" s="815"/>
      <c r="BG3" s="815"/>
      <c r="BH3" s="816"/>
      <c r="BI3" s="814" t="s">
        <v>420</v>
      </c>
      <c r="BJ3" s="815"/>
      <c r="BK3" s="815"/>
      <c r="BL3" s="816"/>
      <c r="BM3" s="814" t="s">
        <v>404</v>
      </c>
      <c r="BN3" s="815"/>
      <c r="BO3" s="815"/>
      <c r="BP3" s="816"/>
      <c r="BQ3" s="817" t="s">
        <v>71</v>
      </c>
      <c r="BR3" s="817"/>
      <c r="BS3" s="817"/>
      <c r="BT3" s="817"/>
      <c r="BU3" s="817" t="s">
        <v>575</v>
      </c>
      <c r="BV3" s="817"/>
      <c r="BW3" s="817"/>
      <c r="BX3" s="814"/>
      <c r="BY3" s="814" t="s">
        <v>399</v>
      </c>
      <c r="BZ3" s="815"/>
      <c r="CA3" s="815"/>
      <c r="CB3" s="816"/>
      <c r="CC3" s="814" t="s">
        <v>195</v>
      </c>
      <c r="CD3" s="815"/>
      <c r="CE3" s="815"/>
      <c r="CF3" s="816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196</v>
      </c>
      <c r="B4" s="817" t="s">
        <v>197</v>
      </c>
      <c r="C4" s="817"/>
      <c r="D4" s="817"/>
      <c r="E4" s="121" t="s">
        <v>68</v>
      </c>
      <c r="F4" s="121" t="s">
        <v>69</v>
      </c>
      <c r="G4" s="121" t="s">
        <v>70</v>
      </c>
      <c r="H4" s="121" t="s">
        <v>198</v>
      </c>
      <c r="I4" s="121" t="s">
        <v>68</v>
      </c>
      <c r="J4" s="121" t="s">
        <v>69</v>
      </c>
      <c r="K4" s="121" t="s">
        <v>70</v>
      </c>
      <c r="L4" s="121" t="s">
        <v>198</v>
      </c>
      <c r="M4" s="121" t="s">
        <v>68</v>
      </c>
      <c r="N4" s="121" t="s">
        <v>69</v>
      </c>
      <c r="O4" s="121" t="s">
        <v>70</v>
      </c>
      <c r="P4" s="121" t="s">
        <v>199</v>
      </c>
      <c r="Q4" s="121" t="s">
        <v>68</v>
      </c>
      <c r="R4" s="121" t="s">
        <v>69</v>
      </c>
      <c r="S4" s="121" t="s">
        <v>70</v>
      </c>
      <c r="T4" s="121" t="s">
        <v>198</v>
      </c>
      <c r="U4" s="121" t="s">
        <v>68</v>
      </c>
      <c r="V4" s="121" t="s">
        <v>69</v>
      </c>
      <c r="W4" s="121" t="s">
        <v>70</v>
      </c>
      <c r="X4" s="121" t="s">
        <v>198</v>
      </c>
      <c r="Y4" s="121" t="s">
        <v>68</v>
      </c>
      <c r="Z4" s="121" t="s">
        <v>69</v>
      </c>
      <c r="AA4" s="121" t="s">
        <v>70</v>
      </c>
      <c r="AB4" s="121" t="s">
        <v>241</v>
      </c>
      <c r="AC4" s="121" t="s">
        <v>68</v>
      </c>
      <c r="AD4" s="121" t="s">
        <v>69</v>
      </c>
      <c r="AE4" s="121" t="s">
        <v>70</v>
      </c>
      <c r="AF4" s="121" t="s">
        <v>198</v>
      </c>
      <c r="AG4" s="121" t="s">
        <v>68</v>
      </c>
      <c r="AH4" s="121" t="s">
        <v>69</v>
      </c>
      <c r="AI4" s="121" t="s">
        <v>70</v>
      </c>
      <c r="AJ4" s="121" t="s">
        <v>198</v>
      </c>
      <c r="AK4" s="121" t="s">
        <v>68</v>
      </c>
      <c r="AL4" s="121" t="s">
        <v>69</v>
      </c>
      <c r="AM4" s="121" t="s">
        <v>70</v>
      </c>
      <c r="AN4" s="121" t="s">
        <v>198</v>
      </c>
      <c r="AO4" s="121" t="s">
        <v>68</v>
      </c>
      <c r="AP4" s="121" t="s">
        <v>69</v>
      </c>
      <c r="AQ4" s="121" t="s">
        <v>70</v>
      </c>
      <c r="AR4" s="121" t="s">
        <v>198</v>
      </c>
      <c r="AS4" s="121" t="s">
        <v>68</v>
      </c>
      <c r="AT4" s="121" t="s">
        <v>69</v>
      </c>
      <c r="AU4" s="121" t="s">
        <v>70</v>
      </c>
      <c r="AV4" s="121" t="s">
        <v>198</v>
      </c>
      <c r="AW4" s="121" t="s">
        <v>68</v>
      </c>
      <c r="AX4" s="121" t="s">
        <v>69</v>
      </c>
      <c r="AY4" s="121" t="s">
        <v>70</v>
      </c>
      <c r="AZ4" s="121" t="s">
        <v>198</v>
      </c>
      <c r="BA4" s="121" t="s">
        <v>68</v>
      </c>
      <c r="BB4" s="121" t="s">
        <v>69</v>
      </c>
      <c r="BC4" s="121" t="s">
        <v>70</v>
      </c>
      <c r="BD4" s="121" t="s">
        <v>198</v>
      </c>
      <c r="BE4" s="121" t="s">
        <v>68</v>
      </c>
      <c r="BF4" s="121" t="s">
        <v>69</v>
      </c>
      <c r="BG4" s="121" t="s">
        <v>70</v>
      </c>
      <c r="BH4" s="121" t="s">
        <v>198</v>
      </c>
      <c r="BI4" s="121" t="s">
        <v>68</v>
      </c>
      <c r="BJ4" s="121" t="s">
        <v>69</v>
      </c>
      <c r="BK4" s="121" t="s">
        <v>70</v>
      </c>
      <c r="BL4" s="121" t="s">
        <v>198</v>
      </c>
      <c r="BM4" s="121" t="s">
        <v>68</v>
      </c>
      <c r="BN4" s="121" t="s">
        <v>69</v>
      </c>
      <c r="BO4" s="121" t="s">
        <v>70</v>
      </c>
      <c r="BP4" s="121" t="s">
        <v>198</v>
      </c>
      <c r="BQ4" s="121" t="s">
        <v>68</v>
      </c>
      <c r="BR4" s="121" t="s">
        <v>69</v>
      </c>
      <c r="BS4" s="121" t="s">
        <v>70</v>
      </c>
      <c r="BT4" s="121" t="s">
        <v>198</v>
      </c>
      <c r="BU4" s="121" t="s">
        <v>68</v>
      </c>
      <c r="BV4" s="121" t="s">
        <v>69</v>
      </c>
      <c r="BW4" s="121" t="s">
        <v>70</v>
      </c>
      <c r="BX4" s="121" t="s">
        <v>198</v>
      </c>
      <c r="BY4" s="121" t="s">
        <v>68</v>
      </c>
      <c r="BZ4" s="121" t="s">
        <v>69</v>
      </c>
      <c r="CA4" s="121" t="s">
        <v>70</v>
      </c>
      <c r="CB4" s="121" t="s">
        <v>200</v>
      </c>
      <c r="CC4" s="122" t="s">
        <v>68</v>
      </c>
      <c r="CD4" s="122" t="s">
        <v>69</v>
      </c>
      <c r="CE4" s="122" t="s">
        <v>70</v>
      </c>
      <c r="CF4" s="121" t="s">
        <v>200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775" t="s">
        <v>201</v>
      </c>
      <c r="C5" s="776"/>
      <c r="D5" s="777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419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>
      <c r="A7" s="109">
        <v>212</v>
      </c>
      <c r="B7" s="793" t="s">
        <v>102</v>
      </c>
      <c r="C7" s="794"/>
      <c r="D7" s="795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781" t="s">
        <v>202</v>
      </c>
      <c r="C8" s="782"/>
      <c r="D8" s="78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796" t="s">
        <v>203</v>
      </c>
      <c r="C9" s="797"/>
      <c r="D9" s="798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775" t="s">
        <v>106</v>
      </c>
      <c r="C10" s="776"/>
      <c r="D10" s="777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796" t="s">
        <v>107</v>
      </c>
      <c r="C11" s="797"/>
      <c r="D11" s="798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>
      <c r="A12" s="109">
        <v>222</v>
      </c>
      <c r="B12" s="793" t="s">
        <v>204</v>
      </c>
      <c r="C12" s="794"/>
      <c r="D12" s="795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799" t="s">
        <v>205</v>
      </c>
      <c r="C13" s="800"/>
      <c r="D13" s="801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>
      <c r="A14" s="110">
        <v>223</v>
      </c>
      <c r="B14" s="808" t="s">
        <v>288</v>
      </c>
      <c r="C14" s="809"/>
      <c r="D14" s="810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811" t="s">
        <v>400</v>
      </c>
      <c r="C15" s="812"/>
      <c r="D15" s="813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>
      <c r="A16" s="109">
        <v>225</v>
      </c>
      <c r="B16" s="805" t="s">
        <v>206</v>
      </c>
      <c r="C16" s="806"/>
      <c r="D16" s="807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799" t="s">
        <v>265</v>
      </c>
      <c r="C17" s="800"/>
      <c r="D17" s="801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799" t="s">
        <v>406</v>
      </c>
      <c r="C18" s="800"/>
      <c r="D18" s="801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799" t="s">
        <v>207</v>
      </c>
      <c r="C19" s="800"/>
      <c r="D19" s="801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799" t="s">
        <v>269</v>
      </c>
      <c r="C20" s="800"/>
      <c r="D20" s="801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799" t="s">
        <v>289</v>
      </c>
      <c r="C21" s="800"/>
      <c r="D21" s="801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799" t="s">
        <v>267</v>
      </c>
      <c r="C22" s="800"/>
      <c r="D22" s="801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799" t="s">
        <v>208</v>
      </c>
      <c r="C23" s="800"/>
      <c r="D23" s="801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781" t="s">
        <v>245</v>
      </c>
      <c r="C24" s="782"/>
      <c r="D24" s="783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793" t="s">
        <v>118</v>
      </c>
      <c r="C25" s="794"/>
      <c r="D25" s="795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799" t="s">
        <v>209</v>
      </c>
      <c r="C26" s="800"/>
      <c r="D26" s="801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799" t="s">
        <v>408</v>
      </c>
      <c r="C27" s="800"/>
      <c r="D27" s="801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781" t="s">
        <v>210</v>
      </c>
      <c r="C28" s="782"/>
      <c r="D28" s="783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781" t="s">
        <v>211</v>
      </c>
      <c r="C29" s="782"/>
      <c r="D29" s="78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781" t="s">
        <v>450</v>
      </c>
      <c r="C30" s="782"/>
      <c r="D30" s="783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802" t="s">
        <v>266</v>
      </c>
      <c r="C31" s="803"/>
      <c r="D31" s="804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802" t="s">
        <v>418</v>
      </c>
      <c r="C32" s="803"/>
      <c r="D32" s="804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802" t="s">
        <v>242</v>
      </c>
      <c r="C33" s="803"/>
      <c r="D33" s="804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802" t="s">
        <v>451</v>
      </c>
      <c r="C34" s="803"/>
      <c r="D34" s="804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802" t="s">
        <v>212</v>
      </c>
      <c r="C35" s="803"/>
      <c r="D35" s="804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802" t="s">
        <v>270</v>
      </c>
      <c r="C36" s="803"/>
      <c r="D36" s="804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802" t="s">
        <v>213</v>
      </c>
      <c r="C37" s="803"/>
      <c r="D37" s="804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781" t="s">
        <v>407</v>
      </c>
      <c r="C38" s="782"/>
      <c r="D38" s="783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781" t="s">
        <v>271</v>
      </c>
      <c r="C39" s="782"/>
      <c r="D39" s="783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781" t="s">
        <v>214</v>
      </c>
      <c r="C40" s="782"/>
      <c r="D40" s="783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781" t="s">
        <v>497</v>
      </c>
      <c r="C41" s="782"/>
      <c r="D41" s="783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781" t="s">
        <v>496</v>
      </c>
      <c r="C42" s="782"/>
      <c r="D42" s="783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781" t="s">
        <v>576</v>
      </c>
      <c r="C43" s="782"/>
      <c r="D43" s="783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781" t="s">
        <v>268</v>
      </c>
      <c r="C44" s="782"/>
      <c r="D44" s="783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>
      <c r="A45" s="109">
        <v>290</v>
      </c>
      <c r="B45" s="793" t="s">
        <v>67</v>
      </c>
      <c r="C45" s="794"/>
      <c r="D45" s="795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796" t="s">
        <v>244</v>
      </c>
      <c r="C46" s="797"/>
      <c r="D46" s="798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781" t="s">
        <v>215</v>
      </c>
      <c r="C47" s="782"/>
      <c r="D47" s="78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781" t="s">
        <v>216</v>
      </c>
      <c r="C48" s="782"/>
      <c r="D48" s="78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781" t="s">
        <v>240</v>
      </c>
      <c r="C49" s="782"/>
      <c r="D49" s="78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799" t="s">
        <v>210</v>
      </c>
      <c r="C50" s="800"/>
      <c r="D50" s="801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790" t="s">
        <v>217</v>
      </c>
      <c r="C51" s="791"/>
      <c r="D51" s="792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778" t="s">
        <v>218</v>
      </c>
      <c r="C52" s="779"/>
      <c r="D52" s="780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784" t="s">
        <v>219</v>
      </c>
      <c r="C53" s="785"/>
      <c r="D53" s="786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784" t="s">
        <v>220</v>
      </c>
      <c r="C54" s="785"/>
      <c r="D54" s="786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787" t="s">
        <v>141</v>
      </c>
      <c r="C55" s="788"/>
      <c r="D55" s="789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772" t="s">
        <v>221</v>
      </c>
      <c r="C56" s="773"/>
      <c r="D56" s="774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772" t="s">
        <v>454</v>
      </c>
      <c r="C57" s="773"/>
      <c r="D57" s="774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772" t="s">
        <v>222</v>
      </c>
      <c r="C58" s="773"/>
      <c r="D58" s="774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772" t="s">
        <v>223</v>
      </c>
      <c r="C59" s="773"/>
      <c r="D59" s="774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772" t="s">
        <v>224</v>
      </c>
      <c r="C60" s="773"/>
      <c r="D60" s="774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772" t="s">
        <v>225</v>
      </c>
      <c r="C61" s="773"/>
      <c r="D61" s="774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772" t="s">
        <v>243</v>
      </c>
      <c r="C62" s="773"/>
      <c r="D62" s="774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772" t="s">
        <v>148</v>
      </c>
      <c r="C63" s="773"/>
      <c r="D63" s="774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772" t="s">
        <v>226</v>
      </c>
      <c r="C64" s="773"/>
      <c r="D64" s="774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772" t="s">
        <v>227</v>
      </c>
      <c r="C65" s="773"/>
      <c r="D65" s="774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775" t="s">
        <v>228</v>
      </c>
      <c r="C66" s="776"/>
      <c r="D66" s="777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29" t="s">
        <v>577</v>
      </c>
      <c r="J1" s="338" t="s">
        <v>761</v>
      </c>
    </row>
    <row r="2" spans="1:11" ht="37.5" customHeight="1">
      <c r="A2" s="187"/>
      <c r="B2" s="819" t="s">
        <v>764</v>
      </c>
      <c r="C2" s="819"/>
      <c r="D2" s="819"/>
      <c r="E2" s="819"/>
      <c r="F2" s="819"/>
      <c r="G2" s="819"/>
      <c r="H2" s="819"/>
      <c r="I2" s="819"/>
      <c r="J2" s="819"/>
      <c r="K2" s="819"/>
    </row>
    <row r="3" spans="1:11" ht="5.25" customHeight="1">
      <c r="A3" s="823" t="s">
        <v>302</v>
      </c>
      <c r="B3" s="826" t="s">
        <v>303</v>
      </c>
      <c r="C3" s="829" t="s">
        <v>304</v>
      </c>
      <c r="D3" s="830"/>
      <c r="E3" s="830"/>
      <c r="F3" s="830"/>
      <c r="G3" s="830"/>
      <c r="H3" s="831"/>
      <c r="I3" s="835" t="s">
        <v>647</v>
      </c>
      <c r="J3" s="820" t="s">
        <v>649</v>
      </c>
      <c r="K3" s="820" t="s">
        <v>766</v>
      </c>
    </row>
    <row r="4" spans="1:11" ht="9" customHeight="1">
      <c r="A4" s="824"/>
      <c r="B4" s="827"/>
      <c r="C4" s="832"/>
      <c r="D4" s="833"/>
      <c r="E4" s="833"/>
      <c r="F4" s="833"/>
      <c r="G4" s="833"/>
      <c r="H4" s="834"/>
      <c r="I4" s="836"/>
      <c r="J4" s="821"/>
      <c r="K4" s="821"/>
    </row>
    <row r="5" spans="1:11" ht="39" customHeight="1">
      <c r="A5" s="825"/>
      <c r="B5" s="828"/>
      <c r="C5" s="231" t="s">
        <v>578</v>
      </c>
      <c r="D5" s="230" t="s">
        <v>641</v>
      </c>
      <c r="E5" s="231" t="s">
        <v>579</v>
      </c>
      <c r="F5" s="231" t="s">
        <v>760</v>
      </c>
      <c r="G5" s="231" t="s">
        <v>642</v>
      </c>
      <c r="H5" s="231" t="s">
        <v>765</v>
      </c>
      <c r="I5" s="837"/>
      <c r="J5" s="822"/>
      <c r="K5" s="822"/>
    </row>
    <row r="6" spans="1:11" ht="12.75" customHeight="1">
      <c r="A6" s="232" t="s">
        <v>305</v>
      </c>
      <c r="B6" s="233" t="s">
        <v>306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6" t="e">
        <f>H6/F6</f>
        <v>#DIV/0!</v>
      </c>
      <c r="K6" s="286">
        <f>H6-G6</f>
        <v>301.56</v>
      </c>
    </row>
    <row r="7" spans="1:11" hidden="1">
      <c r="A7" s="200"/>
      <c r="B7" s="200" t="s">
        <v>307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6" t="e">
        <f t="shared" ref="J7:J70" si="2">H7/F7</f>
        <v>#DIV/0!</v>
      </c>
      <c r="K7" s="286">
        <f t="shared" ref="K7:K71" si="3">H7-G7</f>
        <v>0</v>
      </c>
    </row>
    <row r="8" spans="1:11" ht="14.25" hidden="1" customHeight="1">
      <c r="A8" s="200"/>
      <c r="B8" s="200" t="s">
        <v>308</v>
      </c>
      <c r="C8" s="139"/>
      <c r="D8" s="16"/>
      <c r="E8" s="139"/>
      <c r="F8" s="139"/>
      <c r="G8" s="139"/>
      <c r="H8" s="139"/>
      <c r="I8" s="235">
        <f t="shared" si="1"/>
        <v>0</v>
      </c>
      <c r="J8" s="286" t="e">
        <f t="shared" si="2"/>
        <v>#DIV/0!</v>
      </c>
      <c r="K8" s="286">
        <f t="shared" si="3"/>
        <v>0</v>
      </c>
    </row>
    <row r="9" spans="1:11" ht="14.25" hidden="1" customHeight="1">
      <c r="A9" s="200"/>
      <c r="B9" s="210" t="s">
        <v>534</v>
      </c>
      <c r="C9" s="139"/>
      <c r="D9" s="16"/>
      <c r="E9" s="139"/>
      <c r="F9" s="139"/>
      <c r="G9" s="139"/>
      <c r="H9" s="139"/>
      <c r="I9" s="235">
        <f t="shared" si="1"/>
        <v>0</v>
      </c>
      <c r="J9" s="286" t="e">
        <f t="shared" si="2"/>
        <v>#DIV/0!</v>
      </c>
      <c r="K9" s="286">
        <f t="shared" si="3"/>
        <v>0</v>
      </c>
    </row>
    <row r="10" spans="1:11" ht="14.25" hidden="1" customHeight="1">
      <c r="A10" s="200"/>
      <c r="B10" s="210" t="s">
        <v>309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6" t="e">
        <f t="shared" si="2"/>
        <v>#DIV/0!</v>
      </c>
      <c r="K10" s="286">
        <f t="shared" si="3"/>
        <v>0</v>
      </c>
    </row>
    <row r="11" spans="1:11" ht="14.25" hidden="1" customHeight="1">
      <c r="A11" s="200"/>
      <c r="B11" s="210" t="s">
        <v>580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6" t="e">
        <f t="shared" si="2"/>
        <v>#DIV/0!</v>
      </c>
      <c r="K11" s="286">
        <f t="shared" si="3"/>
        <v>0</v>
      </c>
    </row>
    <row r="12" spans="1:11" ht="14.25" hidden="1" customHeight="1">
      <c r="A12" s="200"/>
      <c r="B12" s="210" t="s">
        <v>535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6" t="e">
        <f t="shared" si="2"/>
        <v>#DIV/0!</v>
      </c>
      <c r="K12" s="286">
        <f t="shared" si="3"/>
        <v>0</v>
      </c>
    </row>
    <row r="13" spans="1:11" ht="14.25" hidden="1" customHeight="1">
      <c r="A13" s="200"/>
      <c r="B13" s="210" t="s">
        <v>536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6" t="e">
        <f t="shared" si="2"/>
        <v>#DIV/0!</v>
      </c>
      <c r="K13" s="286">
        <f t="shared" si="3"/>
        <v>0</v>
      </c>
    </row>
    <row r="14" spans="1:11" ht="14.25" customHeight="1">
      <c r="A14" s="200"/>
      <c r="B14" s="257" t="s">
        <v>710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6" t="e">
        <f t="shared" si="2"/>
        <v>#DIV/0!</v>
      </c>
      <c r="K14" s="286">
        <f t="shared" si="3"/>
        <v>301.06</v>
      </c>
    </row>
    <row r="15" spans="1:11" ht="14.25" hidden="1" customHeight="1">
      <c r="A15" s="200"/>
      <c r="B15" s="210" t="s">
        <v>310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6" t="e">
        <f t="shared" si="2"/>
        <v>#DIV/0!</v>
      </c>
      <c r="K15" s="286">
        <f t="shared" si="3"/>
        <v>0</v>
      </c>
    </row>
    <row r="16" spans="1:11" ht="14.25" hidden="1" customHeight="1">
      <c r="A16" s="200"/>
      <c r="B16" s="210" t="s">
        <v>311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6" t="e">
        <f t="shared" si="2"/>
        <v>#DIV/0!</v>
      </c>
      <c r="K16" s="286">
        <f t="shared" si="3"/>
        <v>0</v>
      </c>
    </row>
    <row r="17" spans="1:11" ht="14.25" hidden="1" customHeight="1">
      <c r="A17" s="200"/>
      <c r="B17" s="210" t="s">
        <v>312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6" t="e">
        <f t="shared" si="2"/>
        <v>#DIV/0!</v>
      </c>
      <c r="K17" s="286">
        <f t="shared" si="3"/>
        <v>0</v>
      </c>
    </row>
    <row r="18" spans="1:11" ht="14.25" customHeight="1">
      <c r="A18" s="200"/>
      <c r="B18" s="210" t="s">
        <v>537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6" t="e">
        <f t="shared" si="2"/>
        <v>#DIV/0!</v>
      </c>
      <c r="K18" s="286">
        <f t="shared" si="3"/>
        <v>0.5</v>
      </c>
    </row>
    <row r="19" spans="1:11" ht="14.25" customHeight="1">
      <c r="A19" s="232" t="s">
        <v>313</v>
      </c>
      <c r="B19" s="233" t="s">
        <v>314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6">
        <f t="shared" si="2"/>
        <v>1.0834553440702783</v>
      </c>
      <c r="K19" s="286">
        <f t="shared" si="3"/>
        <v>7.4</v>
      </c>
    </row>
    <row r="20" spans="1:11" ht="14.25" customHeight="1">
      <c r="A20" s="200"/>
      <c r="B20" s="200" t="s">
        <v>315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6" t="e">
        <f t="shared" si="2"/>
        <v>#DIV/0!</v>
      </c>
      <c r="K20" s="286">
        <f t="shared" si="3"/>
        <v>0</v>
      </c>
    </row>
    <row r="21" spans="1:11" ht="14.25" hidden="1" customHeight="1">
      <c r="A21" s="200"/>
      <c r="B21" s="210" t="s">
        <v>316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6" t="e">
        <f t="shared" si="2"/>
        <v>#DIV/0!</v>
      </c>
      <c r="K21" s="286">
        <f t="shared" si="3"/>
        <v>0</v>
      </c>
    </row>
    <row r="22" spans="1:11" ht="14.25" hidden="1" customHeight="1">
      <c r="A22" s="200"/>
      <c r="B22" s="210" t="s">
        <v>581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6" t="e">
        <f t="shared" si="2"/>
        <v>#DIV/0!</v>
      </c>
      <c r="K22" s="286">
        <f t="shared" si="3"/>
        <v>0</v>
      </c>
    </row>
    <row r="23" spans="1:11" ht="14.25" customHeight="1">
      <c r="A23" s="200"/>
      <c r="B23" s="253" t="s">
        <v>317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6" t="e">
        <f t="shared" si="2"/>
        <v>#DIV/0!</v>
      </c>
      <c r="K23" s="286">
        <f t="shared" si="3"/>
        <v>0</v>
      </c>
    </row>
    <row r="24" spans="1:11" ht="14.25" hidden="1" customHeight="1">
      <c r="A24" s="200"/>
      <c r="B24" s="200" t="s">
        <v>582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6" t="e">
        <f t="shared" si="2"/>
        <v>#DIV/0!</v>
      </c>
      <c r="K24" s="286">
        <f t="shared" si="3"/>
        <v>0</v>
      </c>
    </row>
    <row r="25" spans="1:11" ht="14.25" customHeight="1">
      <c r="A25" s="200"/>
      <c r="B25" s="210" t="s">
        <v>538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6">
        <f t="shared" si="2"/>
        <v>0</v>
      </c>
      <c r="K25" s="286">
        <f t="shared" si="3"/>
        <v>0</v>
      </c>
    </row>
    <row r="26" spans="1:11" ht="14.25" hidden="1" customHeight="1">
      <c r="A26" s="200"/>
      <c r="B26" s="200" t="s">
        <v>615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6" t="e">
        <f t="shared" si="2"/>
        <v>#DIV/0!</v>
      </c>
      <c r="K26" s="286">
        <f t="shared" si="3"/>
        <v>0</v>
      </c>
    </row>
    <row r="27" spans="1:11" ht="14.25" customHeight="1">
      <c r="A27" s="200"/>
      <c r="B27" s="210" t="s">
        <v>539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6" t="e">
        <f t="shared" si="2"/>
        <v>#DIV/0!</v>
      </c>
      <c r="K27" s="286">
        <f t="shared" si="3"/>
        <v>7.4</v>
      </c>
    </row>
    <row r="28" spans="1:11" ht="14.25" hidden="1" customHeight="1">
      <c r="A28" s="200"/>
      <c r="B28" s="210" t="s">
        <v>583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6" t="e">
        <f t="shared" si="2"/>
        <v>#DIV/0!</v>
      </c>
      <c r="K28" s="286">
        <f t="shared" si="3"/>
        <v>0</v>
      </c>
    </row>
    <row r="29" spans="1:11" ht="14.25" hidden="1" customHeight="1">
      <c r="A29" s="200"/>
      <c r="B29" s="210" t="s">
        <v>318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6" t="e">
        <f t="shared" si="2"/>
        <v>#DIV/0!</v>
      </c>
      <c r="K29" s="286">
        <f t="shared" si="3"/>
        <v>0</v>
      </c>
    </row>
    <row r="30" spans="1:11" ht="14.25" hidden="1" customHeight="1">
      <c r="A30" s="200"/>
      <c r="B30" s="210" t="s">
        <v>319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6" t="e">
        <f t="shared" si="2"/>
        <v>#DIV/0!</v>
      </c>
      <c r="K30" s="286">
        <f t="shared" si="3"/>
        <v>0</v>
      </c>
    </row>
    <row r="31" spans="1:11" ht="14.25" hidden="1" customHeight="1">
      <c r="A31" s="200"/>
      <c r="B31" s="210" t="s">
        <v>320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6" t="e">
        <f t="shared" si="2"/>
        <v>#DIV/0!</v>
      </c>
      <c r="K31" s="286">
        <f t="shared" si="3"/>
        <v>0</v>
      </c>
    </row>
    <row r="32" spans="1:11" ht="14.25" hidden="1" customHeight="1">
      <c r="A32" s="200"/>
      <c r="B32" s="210" t="s">
        <v>321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6" t="e">
        <f t="shared" si="2"/>
        <v>#DIV/0!</v>
      </c>
      <c r="K32" s="286">
        <f t="shared" si="3"/>
        <v>0</v>
      </c>
    </row>
    <row r="33" spans="1:11" ht="14.25" hidden="1" customHeight="1">
      <c r="A33" s="200"/>
      <c r="B33" s="210" t="s">
        <v>584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6" t="e">
        <f t="shared" si="2"/>
        <v>#DIV/0!</v>
      </c>
      <c r="K33" s="286">
        <f t="shared" si="3"/>
        <v>0</v>
      </c>
    </row>
    <row r="34" spans="1:11" ht="14.25" hidden="1" customHeight="1">
      <c r="A34" s="200"/>
      <c r="B34" s="200" t="s">
        <v>540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6" t="e">
        <f t="shared" si="2"/>
        <v>#DIV/0!</v>
      </c>
      <c r="K34" s="286">
        <f t="shared" si="3"/>
        <v>0</v>
      </c>
    </row>
    <row r="35" spans="1:11" ht="14.25" hidden="1" customHeight="1">
      <c r="A35" s="200"/>
      <c r="B35" s="200" t="s">
        <v>322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6" t="e">
        <f t="shared" si="2"/>
        <v>#DIV/0!</v>
      </c>
      <c r="K35" s="286">
        <f t="shared" si="3"/>
        <v>0</v>
      </c>
    </row>
    <row r="36" spans="1:11" ht="14.25" hidden="1" customHeight="1">
      <c r="A36" s="200"/>
      <c r="B36" s="200" t="s">
        <v>541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6" t="e">
        <f t="shared" si="2"/>
        <v>#DIV/0!</v>
      </c>
      <c r="K36" s="286">
        <f t="shared" si="3"/>
        <v>0</v>
      </c>
    </row>
    <row r="37" spans="1:11" ht="14.25" customHeight="1">
      <c r="A37" s="232" t="s">
        <v>323</v>
      </c>
      <c r="B37" s="233" t="s">
        <v>324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6">
        <f t="shared" si="2"/>
        <v>2.7893828483008987</v>
      </c>
      <c r="K37" s="286">
        <f t="shared" si="3"/>
        <v>320.77999999999997</v>
      </c>
    </row>
    <row r="38" spans="1:11" ht="14.25" customHeight="1">
      <c r="A38" s="232"/>
      <c r="B38" s="233" t="s">
        <v>325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6">
        <f t="shared" si="2"/>
        <v>0.16949152542372883</v>
      </c>
      <c r="K38" s="286">
        <f t="shared" si="3"/>
        <v>-7.78</v>
      </c>
    </row>
    <row r="39" spans="1:11" ht="14.25" hidden="1" customHeight="1">
      <c r="A39" s="200"/>
      <c r="B39" s="210" t="s">
        <v>326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6"/>
      <c r="K39" s="286">
        <f t="shared" si="3"/>
        <v>0.2</v>
      </c>
    </row>
    <row r="40" spans="1:11" ht="14.25" hidden="1" customHeight="1">
      <c r="A40" s="200"/>
      <c r="B40" s="210" t="s">
        <v>327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6"/>
      <c r="K40" s="286">
        <f t="shared" si="3"/>
        <v>0</v>
      </c>
    </row>
    <row r="41" spans="1:11" ht="14.25" hidden="1" customHeight="1">
      <c r="A41" s="200"/>
      <c r="B41" s="210" t="s">
        <v>328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6"/>
      <c r="K41" s="286">
        <f t="shared" si="3"/>
        <v>0</v>
      </c>
    </row>
    <row r="42" spans="1:11" ht="14.25" customHeight="1">
      <c r="A42" s="200"/>
      <c r="B42" s="200" t="s">
        <v>329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6"/>
      <c r="K42" s="286">
        <f t="shared" si="3"/>
        <v>0</v>
      </c>
    </row>
    <row r="43" spans="1:11" ht="14.25" hidden="1" customHeight="1">
      <c r="A43" s="200"/>
      <c r="B43" s="200" t="s">
        <v>330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6"/>
      <c r="K43" s="286">
        <f t="shared" si="3"/>
        <v>0</v>
      </c>
    </row>
    <row r="44" spans="1:11" ht="14.25" hidden="1" customHeight="1">
      <c r="A44" s="200"/>
      <c r="B44" s="200" t="s">
        <v>331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6"/>
      <c r="K44" s="286">
        <f t="shared" si="3"/>
        <v>0</v>
      </c>
    </row>
    <row r="45" spans="1:11" ht="14.25" customHeight="1">
      <c r="A45" s="200"/>
      <c r="B45" s="200" t="s">
        <v>332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6"/>
      <c r="K45" s="286">
        <f t="shared" si="3"/>
        <v>-5.7</v>
      </c>
    </row>
    <row r="46" spans="1:11" ht="14.25" hidden="1" customHeight="1">
      <c r="A46" s="200"/>
      <c r="B46" s="200" t="s">
        <v>333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6"/>
      <c r="K46" s="286">
        <f t="shared" si="3"/>
        <v>0</v>
      </c>
    </row>
    <row r="47" spans="1:11" ht="14.25" hidden="1" customHeight="1">
      <c r="A47" s="200"/>
      <c r="B47" s="200" t="s">
        <v>334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6"/>
      <c r="K47" s="286">
        <f t="shared" si="3"/>
        <v>0</v>
      </c>
    </row>
    <row r="48" spans="1:11" ht="14.25" customHeight="1">
      <c r="A48" s="200"/>
      <c r="B48" s="200" t="s">
        <v>335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6"/>
      <c r="K48" s="286">
        <f t="shared" si="3"/>
        <v>-0.3</v>
      </c>
    </row>
    <row r="49" spans="1:11" ht="14.25" hidden="1" customHeight="1">
      <c r="A49" s="200"/>
      <c r="B49" s="200" t="s">
        <v>336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6"/>
      <c r="K49" s="286">
        <f t="shared" si="3"/>
        <v>0</v>
      </c>
    </row>
    <row r="50" spans="1:11" ht="14.25" hidden="1" customHeight="1">
      <c r="A50" s="200"/>
      <c r="B50" s="214" t="s">
        <v>337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6"/>
      <c r="K50" s="286">
        <f t="shared" si="3"/>
        <v>0</v>
      </c>
    </row>
    <row r="51" spans="1:11" ht="14.25" hidden="1" customHeight="1">
      <c r="A51" s="200"/>
      <c r="B51" s="200" t="s">
        <v>542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6"/>
      <c r="K51" s="286">
        <f t="shared" si="3"/>
        <v>0</v>
      </c>
    </row>
    <row r="52" spans="1:11" ht="14.25" customHeight="1">
      <c r="A52" s="200"/>
      <c r="B52" s="200" t="s">
        <v>338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6"/>
      <c r="K52" s="286">
        <f t="shared" si="3"/>
        <v>-1.98</v>
      </c>
    </row>
    <row r="53" spans="1:11" ht="14.25" hidden="1" customHeight="1">
      <c r="A53" s="200"/>
      <c r="B53" s="200" t="s">
        <v>339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6" t="e">
        <f t="shared" si="2"/>
        <v>#DIV/0!</v>
      </c>
      <c r="K53" s="286">
        <f t="shared" si="3"/>
        <v>0</v>
      </c>
    </row>
    <row r="54" spans="1:11" ht="14.25" hidden="1" customHeight="1">
      <c r="A54" s="200"/>
      <c r="B54" s="200" t="s">
        <v>610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6" t="e">
        <f t="shared" si="2"/>
        <v>#DIV/0!</v>
      </c>
      <c r="K54" s="286">
        <f t="shared" si="3"/>
        <v>0</v>
      </c>
    </row>
    <row r="55" spans="1:11" ht="14.25" hidden="1" customHeight="1">
      <c r="A55" s="200"/>
      <c r="B55" s="200" t="s">
        <v>696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6" t="e">
        <f t="shared" si="2"/>
        <v>#DIV/0!</v>
      </c>
      <c r="K55" s="286">
        <f t="shared" si="3"/>
        <v>0</v>
      </c>
    </row>
    <row r="56" spans="1:11" ht="14.25" hidden="1" customHeight="1">
      <c r="A56" s="200"/>
      <c r="B56" s="214" t="s">
        <v>340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6" t="e">
        <f t="shared" si="2"/>
        <v>#DIV/0!</v>
      </c>
      <c r="K56" s="286">
        <f t="shared" si="3"/>
        <v>0</v>
      </c>
    </row>
    <row r="57" spans="1:11" ht="14.25" hidden="1" customHeight="1">
      <c r="A57" s="200"/>
      <c r="B57" s="200" t="s">
        <v>341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6" t="e">
        <f t="shared" si="2"/>
        <v>#DIV/0!</v>
      </c>
      <c r="K57" s="286">
        <f t="shared" si="3"/>
        <v>0</v>
      </c>
    </row>
    <row r="58" spans="1:11" ht="14.25" hidden="1" customHeight="1">
      <c r="A58" s="200"/>
      <c r="B58" s="200" t="s">
        <v>342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6" t="e">
        <f t="shared" si="2"/>
        <v>#DIV/0!</v>
      </c>
      <c r="K58" s="286">
        <f t="shared" si="3"/>
        <v>0</v>
      </c>
    </row>
    <row r="59" spans="1:11" ht="14.25" hidden="1" customHeight="1">
      <c r="A59" s="200"/>
      <c r="B59" s="214" t="s">
        <v>343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6" t="e">
        <f t="shared" si="2"/>
        <v>#DIV/0!</v>
      </c>
      <c r="K59" s="286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6" t="e">
        <f t="shared" si="2"/>
        <v>#DIV/0!</v>
      </c>
      <c r="K60" s="286">
        <f t="shared" si="3"/>
        <v>0</v>
      </c>
    </row>
    <row r="61" spans="1:11" ht="14.25" customHeight="1">
      <c r="A61" s="200"/>
      <c r="B61" s="200" t="s">
        <v>585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6">
        <f t="shared" si="2"/>
        <v>4.8407643312101909</v>
      </c>
      <c r="K61" s="286">
        <f t="shared" si="3"/>
        <v>36.17</v>
      </c>
    </row>
    <row r="62" spans="1:11" ht="14.25" customHeight="1">
      <c r="A62" s="200"/>
      <c r="B62" s="200" t="s">
        <v>586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6">
        <f t="shared" si="2"/>
        <v>21.461224489795917</v>
      </c>
      <c r="K62" s="286">
        <f t="shared" si="3"/>
        <v>262.89999999999998</v>
      </c>
    </row>
    <row r="63" spans="1:11" ht="14.25" hidden="1" customHeight="1">
      <c r="A63" s="200"/>
      <c r="B63" s="200" t="s">
        <v>587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6" t="e">
        <f t="shared" si="2"/>
        <v>#DIV/0!</v>
      </c>
      <c r="K63" s="286">
        <f t="shared" si="3"/>
        <v>0</v>
      </c>
    </row>
    <row r="64" spans="1:11" ht="14.25" customHeight="1">
      <c r="A64" s="200"/>
      <c r="B64" s="200" t="s">
        <v>588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6">
        <f t="shared" si="2"/>
        <v>2.0693222969477496</v>
      </c>
      <c r="K64" s="286">
        <f t="shared" si="3"/>
        <v>20.7</v>
      </c>
    </row>
    <row r="65" spans="1:11" ht="14.25" customHeight="1">
      <c r="A65" s="200"/>
      <c r="B65" s="200" t="s">
        <v>545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6">
        <f t="shared" si="2"/>
        <v>1.1343283582089552</v>
      </c>
      <c r="K65" s="286">
        <f t="shared" si="3"/>
        <v>-0.59999999999999787</v>
      </c>
    </row>
    <row r="66" spans="1:11" ht="14.25" customHeight="1">
      <c r="A66" s="200"/>
      <c r="B66" s="210" t="s">
        <v>589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6">
        <f t="shared" si="2"/>
        <v>7.5263157894736841</v>
      </c>
      <c r="K66" s="286">
        <f t="shared" si="3"/>
        <v>37.17</v>
      </c>
    </row>
    <row r="67" spans="1:11" ht="14.25" customHeight="1">
      <c r="A67" s="200"/>
      <c r="B67" s="210" t="s">
        <v>344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6">
        <f t="shared" si="2"/>
        <v>0.41420118343195272</v>
      </c>
      <c r="K67" s="286">
        <f t="shared" si="3"/>
        <v>-16.93</v>
      </c>
    </row>
    <row r="68" spans="1:11" ht="14.25" customHeight="1">
      <c r="A68" s="200"/>
      <c r="B68" s="210" t="s">
        <v>590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6">
        <f t="shared" si="2"/>
        <v>0</v>
      </c>
      <c r="K68" s="286">
        <f t="shared" si="3"/>
        <v>-4.1500000000000004</v>
      </c>
    </row>
    <row r="69" spans="1:11" ht="14.25" hidden="1" customHeight="1">
      <c r="A69" s="200"/>
      <c r="B69" s="210" t="s">
        <v>591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6" t="e">
        <f t="shared" si="2"/>
        <v>#DIV/0!</v>
      </c>
      <c r="K69" s="286">
        <f t="shared" si="3"/>
        <v>0</v>
      </c>
    </row>
    <row r="70" spans="1:11" ht="14.25" customHeight="1">
      <c r="A70" s="200"/>
      <c r="B70" s="210" t="s">
        <v>345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6" t="e">
        <f t="shared" si="2"/>
        <v>#DIV/0!</v>
      </c>
      <c r="K70" s="286">
        <f t="shared" si="3"/>
        <v>1</v>
      </c>
    </row>
    <row r="71" spans="1:11" ht="14.25" hidden="1" customHeight="1">
      <c r="A71" s="200"/>
      <c r="B71" s="210" t="s">
        <v>548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6" t="e">
        <f t="shared" ref="J71:J134" si="7">H71/F71</f>
        <v>#DIV/0!</v>
      </c>
      <c r="K71" s="286">
        <f t="shared" si="3"/>
        <v>0</v>
      </c>
    </row>
    <row r="72" spans="1:11" ht="14.25" customHeight="1">
      <c r="A72" s="200"/>
      <c r="B72" s="210" t="s">
        <v>389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6">
        <f t="shared" si="7"/>
        <v>0.83439490445859865</v>
      </c>
      <c r="K72" s="286">
        <f t="shared" ref="K72:K135" si="9">H72-G72</f>
        <v>0.39999999999999858</v>
      </c>
    </row>
    <row r="73" spans="1:11" ht="14.25" customHeight="1">
      <c r="A73" s="200"/>
      <c r="B73" s="210" t="s">
        <v>346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6">
        <f t="shared" si="7"/>
        <v>0</v>
      </c>
      <c r="K73" s="286">
        <f t="shared" si="9"/>
        <v>-8.1</v>
      </c>
    </row>
    <row r="74" spans="1:11" ht="14.25" hidden="1" customHeight="1">
      <c r="A74" s="237"/>
      <c r="B74" s="238" t="s">
        <v>347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6" t="e">
        <f t="shared" si="7"/>
        <v>#DIV/0!</v>
      </c>
      <c r="K74" s="286">
        <f t="shared" si="9"/>
        <v>0</v>
      </c>
    </row>
    <row r="75" spans="1:11" ht="14.25" hidden="1" customHeight="1">
      <c r="A75" s="200"/>
      <c r="B75" s="200" t="s">
        <v>348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6" t="e">
        <f t="shared" si="7"/>
        <v>#DIV/0!</v>
      </c>
      <c r="K75" s="286">
        <f t="shared" si="9"/>
        <v>0</v>
      </c>
    </row>
    <row r="76" spans="1:11" ht="14.25" hidden="1" customHeight="1">
      <c r="A76" s="200"/>
      <c r="B76" s="200" t="s">
        <v>592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6" t="e">
        <f t="shared" si="7"/>
        <v>#DIV/0!</v>
      </c>
      <c r="K76" s="286">
        <f t="shared" si="9"/>
        <v>0</v>
      </c>
    </row>
    <row r="77" spans="1:11" ht="14.25" hidden="1" customHeight="1">
      <c r="A77" s="200"/>
      <c r="B77" s="200" t="s">
        <v>349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6" t="e">
        <f t="shared" si="7"/>
        <v>#DIV/0!</v>
      </c>
      <c r="K77" s="286">
        <f t="shared" si="9"/>
        <v>0</v>
      </c>
    </row>
    <row r="78" spans="1:11" ht="14.25" hidden="1" customHeight="1">
      <c r="A78" s="200"/>
      <c r="B78" s="200" t="s">
        <v>350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6" t="e">
        <f t="shared" si="7"/>
        <v>#DIV/0!</v>
      </c>
      <c r="K78" s="286">
        <f t="shared" si="9"/>
        <v>0</v>
      </c>
    </row>
    <row r="79" spans="1:11" ht="14.25" hidden="1" customHeight="1">
      <c r="A79" s="200"/>
      <c r="B79" s="200" t="s">
        <v>351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6" t="e">
        <f t="shared" si="7"/>
        <v>#DIV/0!</v>
      </c>
      <c r="K79" s="286">
        <f t="shared" si="9"/>
        <v>0</v>
      </c>
    </row>
    <row r="80" spans="1:11" ht="14.25" hidden="1" customHeight="1">
      <c r="A80" s="200"/>
      <c r="B80" s="200" t="s">
        <v>352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6" t="e">
        <f t="shared" si="7"/>
        <v>#DIV/0!</v>
      </c>
      <c r="K80" s="286">
        <f t="shared" si="9"/>
        <v>0</v>
      </c>
    </row>
    <row r="81" spans="1:11" ht="14.25" hidden="1" customHeight="1">
      <c r="A81" s="200"/>
      <c r="B81" s="200" t="s">
        <v>353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6" t="e">
        <f t="shared" si="7"/>
        <v>#DIV/0!</v>
      </c>
      <c r="K81" s="286">
        <f t="shared" si="9"/>
        <v>0</v>
      </c>
    </row>
    <row r="82" spans="1:11" ht="14.25" customHeight="1">
      <c r="A82" s="232" t="s">
        <v>354</v>
      </c>
      <c r="B82" s="233" t="s">
        <v>355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6">
        <f t="shared" si="7"/>
        <v>1.4550399815469786</v>
      </c>
      <c r="K82" s="286">
        <f t="shared" si="9"/>
        <v>1152.0500000000002</v>
      </c>
    </row>
    <row r="83" spans="1:11" ht="14.25" hidden="1" customHeight="1">
      <c r="A83" s="200"/>
      <c r="B83" s="200" t="s">
        <v>356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6" t="e">
        <f t="shared" si="7"/>
        <v>#DIV/0!</v>
      </c>
      <c r="K83" s="286">
        <f t="shared" si="9"/>
        <v>0</v>
      </c>
    </row>
    <row r="84" spans="1:11" ht="14.25" hidden="1" customHeight="1">
      <c r="A84" s="200"/>
      <c r="B84" s="200" t="s">
        <v>357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6" t="e">
        <f t="shared" si="7"/>
        <v>#DIV/0!</v>
      </c>
      <c r="K84" s="286">
        <f t="shared" si="9"/>
        <v>0</v>
      </c>
    </row>
    <row r="85" spans="1:11" ht="14.25" customHeight="1">
      <c r="A85" s="200"/>
      <c r="B85" s="200" t="s">
        <v>593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6">
        <f t="shared" si="7"/>
        <v>0.69326365170157611</v>
      </c>
      <c r="K85" s="286">
        <f t="shared" si="9"/>
        <v>-754.3</v>
      </c>
    </row>
    <row r="86" spans="1:11" ht="14.25" hidden="1" customHeight="1">
      <c r="A86" s="200"/>
      <c r="B86" s="210" t="s">
        <v>358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6" t="e">
        <f t="shared" si="7"/>
        <v>#DIV/0!</v>
      </c>
      <c r="K86" s="286">
        <f t="shared" si="9"/>
        <v>0</v>
      </c>
    </row>
    <row r="87" spans="1:11" ht="14.25" customHeight="1">
      <c r="A87" s="200"/>
      <c r="B87" s="210" t="s">
        <v>551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6">
        <f t="shared" si="7"/>
        <v>29.388838060384263</v>
      </c>
      <c r="K87" s="286">
        <f t="shared" si="9"/>
        <v>1551.3999999999999</v>
      </c>
    </row>
    <row r="88" spans="1:11" ht="14.25" customHeight="1">
      <c r="A88" s="200"/>
      <c r="B88" s="210" t="s">
        <v>359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6">
        <f t="shared" si="7"/>
        <v>0.99857819905213263</v>
      </c>
      <c r="K88" s="286">
        <f t="shared" si="9"/>
        <v>0</v>
      </c>
    </row>
    <row r="89" spans="1:11" ht="14.25" hidden="1" customHeight="1">
      <c r="A89" s="200"/>
      <c r="B89" s="200" t="s">
        <v>552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6" t="e">
        <f t="shared" si="7"/>
        <v>#DIV/0!</v>
      </c>
      <c r="K89" s="286">
        <f t="shared" si="9"/>
        <v>0</v>
      </c>
    </row>
    <row r="90" spans="1:11" ht="14.25" customHeight="1">
      <c r="A90" s="200"/>
      <c r="B90" s="200" t="s">
        <v>594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6">
        <f t="shared" si="7"/>
        <v>1.0975741239892183</v>
      </c>
      <c r="K90" s="286">
        <f t="shared" si="9"/>
        <v>-13.350000000000009</v>
      </c>
    </row>
    <row r="91" spans="1:11" ht="14.25" customHeight="1">
      <c r="A91" s="200"/>
      <c r="B91" s="200" t="s">
        <v>360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6">
        <f t="shared" si="7"/>
        <v>142.76153846153846</v>
      </c>
      <c r="K91" s="286">
        <f t="shared" si="9"/>
        <v>368.3</v>
      </c>
    </row>
    <row r="92" spans="1:11" ht="14.25" customHeight="1">
      <c r="A92" s="232" t="s">
        <v>361</v>
      </c>
      <c r="B92" s="233" t="s">
        <v>362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6">
        <f t="shared" si="7"/>
        <v>0.63701389017102694</v>
      </c>
      <c r="K92" s="286">
        <f t="shared" si="9"/>
        <v>-2110.7199999999993</v>
      </c>
    </row>
    <row r="93" spans="1:11" ht="14.25" hidden="1" customHeight="1">
      <c r="A93" s="215"/>
      <c r="B93" s="210" t="s">
        <v>363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6" t="e">
        <f t="shared" si="7"/>
        <v>#DIV/0!</v>
      </c>
      <c r="K93" s="286">
        <f t="shared" si="9"/>
        <v>0</v>
      </c>
    </row>
    <row r="94" spans="1:11" ht="14.25" hidden="1" customHeight="1">
      <c r="A94" s="215"/>
      <c r="B94" s="210" t="s">
        <v>595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6" t="e">
        <f t="shared" si="7"/>
        <v>#DIV/0!</v>
      </c>
      <c r="K94" s="286">
        <f t="shared" si="9"/>
        <v>0</v>
      </c>
    </row>
    <row r="95" spans="1:11" ht="14.25" customHeight="1">
      <c r="A95" s="215"/>
      <c r="B95" s="210" t="s">
        <v>596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6">
        <f t="shared" si="7"/>
        <v>1.005929363237948</v>
      </c>
      <c r="K95" s="286">
        <f t="shared" si="9"/>
        <v>2.2099999999999227</v>
      </c>
    </row>
    <row r="96" spans="1:11" ht="14.25" hidden="1" customHeight="1">
      <c r="A96" s="200"/>
      <c r="B96" s="200" t="s">
        <v>364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6" t="e">
        <f t="shared" si="7"/>
        <v>#DIV/0!</v>
      </c>
      <c r="K96" s="286">
        <f t="shared" si="9"/>
        <v>0</v>
      </c>
    </row>
    <row r="97" spans="1:11" ht="14.25" customHeight="1">
      <c r="A97" s="200"/>
      <c r="B97" s="200" t="s">
        <v>365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6" t="e">
        <f t="shared" si="7"/>
        <v>#DIV/0!</v>
      </c>
      <c r="K97" s="286">
        <f t="shared" si="9"/>
        <v>44.71</v>
      </c>
    </row>
    <row r="98" spans="1:11" ht="14.25" customHeight="1">
      <c r="A98" s="200"/>
      <c r="B98" s="200" t="s">
        <v>366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6">
        <f t="shared" si="7"/>
        <v>1.2486263736263739</v>
      </c>
      <c r="K98" s="286">
        <f t="shared" si="9"/>
        <v>17.840000000000003</v>
      </c>
    </row>
    <row r="99" spans="1:11" ht="14.25" customHeight="1">
      <c r="A99" s="200"/>
      <c r="B99" s="200" t="s">
        <v>367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6">
        <f t="shared" si="7"/>
        <v>0.37793122308060434</v>
      </c>
      <c r="K99" s="286">
        <f t="shared" si="9"/>
        <v>-1819.83</v>
      </c>
    </row>
    <row r="100" spans="1:11" ht="14.25" customHeight="1">
      <c r="A100" s="200"/>
      <c r="B100" s="200" t="s">
        <v>597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6"/>
      <c r="K100" s="286">
        <f t="shared" si="9"/>
        <v>-1.96</v>
      </c>
    </row>
    <row r="101" spans="1:11" ht="14.25" hidden="1" customHeight="1">
      <c r="A101" s="200"/>
      <c r="B101" s="200" t="s">
        <v>711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6" t="e">
        <f t="shared" si="7"/>
        <v>#DIV/0!</v>
      </c>
      <c r="K101" s="286">
        <f t="shared" si="9"/>
        <v>0</v>
      </c>
    </row>
    <row r="102" spans="1:11" ht="14.25" hidden="1" customHeight="1">
      <c r="A102" s="200"/>
      <c r="B102" s="200" t="s">
        <v>368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6" t="e">
        <f t="shared" si="7"/>
        <v>#DIV/0!</v>
      </c>
      <c r="K102" s="286">
        <f t="shared" si="9"/>
        <v>0</v>
      </c>
    </row>
    <row r="103" spans="1:11" ht="14.25" hidden="1" customHeight="1">
      <c r="A103" s="200"/>
      <c r="B103" s="200" t="s">
        <v>369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6" t="e">
        <f t="shared" si="7"/>
        <v>#DIV/0!</v>
      </c>
      <c r="K103" s="286">
        <f t="shared" si="9"/>
        <v>0</v>
      </c>
    </row>
    <row r="104" spans="1:11" ht="14.25" hidden="1" customHeight="1">
      <c r="A104" s="200"/>
      <c r="B104" s="200" t="s">
        <v>370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6" t="e">
        <f t="shared" si="7"/>
        <v>#DIV/0!</v>
      </c>
      <c r="K104" s="286">
        <f t="shared" si="9"/>
        <v>0</v>
      </c>
    </row>
    <row r="105" spans="1:11" ht="14.25" hidden="1" customHeight="1">
      <c r="A105" s="200"/>
      <c r="B105" s="200" t="s">
        <v>371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6" t="e">
        <f t="shared" si="7"/>
        <v>#DIV/0!</v>
      </c>
      <c r="K105" s="286">
        <f t="shared" si="9"/>
        <v>0</v>
      </c>
    </row>
    <row r="106" spans="1:11" ht="14.25" hidden="1" customHeight="1">
      <c r="A106" s="200"/>
      <c r="B106" s="200" t="s">
        <v>372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6" t="e">
        <f t="shared" si="7"/>
        <v>#DIV/0!</v>
      </c>
      <c r="K106" s="286">
        <f t="shared" si="9"/>
        <v>0</v>
      </c>
    </row>
    <row r="107" spans="1:11" ht="14.25" customHeight="1">
      <c r="A107" s="200"/>
      <c r="B107" s="200" t="s">
        <v>598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6">
        <f t="shared" si="7"/>
        <v>1.0623451692815855</v>
      </c>
      <c r="K107" s="286">
        <f t="shared" si="9"/>
        <v>4.9500000000000028</v>
      </c>
    </row>
    <row r="108" spans="1:11" ht="14.25" customHeight="1">
      <c r="A108" s="200"/>
      <c r="B108" s="200" t="s">
        <v>556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6">
        <f t="shared" si="7"/>
        <v>0.99667774086378746</v>
      </c>
      <c r="K108" s="286">
        <f t="shared" si="9"/>
        <v>0</v>
      </c>
    </row>
    <row r="109" spans="1:11" ht="14.25" hidden="1" customHeight="1">
      <c r="A109" s="200"/>
      <c r="B109" s="200" t="s">
        <v>646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6"/>
      <c r="K109" s="286">
        <f t="shared" si="9"/>
        <v>0</v>
      </c>
    </row>
    <row r="110" spans="1:11" ht="14.25" hidden="1" customHeight="1">
      <c r="A110" s="200"/>
      <c r="B110" s="200" t="s">
        <v>373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6"/>
      <c r="K110" s="286">
        <f t="shared" si="9"/>
        <v>0</v>
      </c>
    </row>
    <row r="111" spans="1:11" ht="14.25" customHeight="1">
      <c r="A111" s="200"/>
      <c r="B111" s="200" t="s">
        <v>374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6"/>
      <c r="K111" s="286">
        <f t="shared" si="9"/>
        <v>1.6199999999999999</v>
      </c>
    </row>
    <row r="112" spans="1:11" ht="15.75" hidden="1" customHeight="1">
      <c r="A112" s="200"/>
      <c r="B112" s="200" t="s">
        <v>375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6"/>
      <c r="K112" s="286">
        <f t="shared" si="9"/>
        <v>0</v>
      </c>
    </row>
    <row r="113" spans="1:11" ht="14.25" hidden="1" customHeight="1">
      <c r="A113" s="200"/>
      <c r="B113" s="200" t="s">
        <v>376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6"/>
      <c r="K113" s="286">
        <f t="shared" si="9"/>
        <v>0</v>
      </c>
    </row>
    <row r="114" spans="1:11" ht="14.25" hidden="1" customHeight="1">
      <c r="A114" s="200"/>
      <c r="B114" s="200" t="s">
        <v>643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6"/>
      <c r="K114" s="286">
        <f t="shared" si="9"/>
        <v>0</v>
      </c>
    </row>
    <row r="115" spans="1:11" ht="14.25" hidden="1" customHeight="1">
      <c r="A115" s="200"/>
      <c r="B115" s="200" t="s">
        <v>645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6"/>
      <c r="K115" s="286">
        <f t="shared" si="9"/>
        <v>0</v>
      </c>
    </row>
    <row r="116" spans="1:11" ht="14.25" customHeight="1">
      <c r="A116" s="200"/>
      <c r="B116" s="200" t="s">
        <v>561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6">
        <f t="shared" si="7"/>
        <v>4.9692832764505113</v>
      </c>
      <c r="K116" s="286">
        <f t="shared" si="9"/>
        <v>63.199999999999996</v>
      </c>
    </row>
    <row r="117" spans="1:11" ht="14.25" customHeight="1">
      <c r="A117" s="200"/>
      <c r="B117" s="200" t="s">
        <v>599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6">
        <f t="shared" si="7"/>
        <v>0</v>
      </c>
      <c r="K117" s="286">
        <f t="shared" si="9"/>
        <v>0</v>
      </c>
    </row>
    <row r="118" spans="1:11" ht="14.25" customHeight="1">
      <c r="A118" s="200"/>
      <c r="B118" s="200" t="s">
        <v>560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6" t="e">
        <f t="shared" si="7"/>
        <v>#DIV/0!</v>
      </c>
      <c r="K118" s="286">
        <f t="shared" si="9"/>
        <v>151.9</v>
      </c>
    </row>
    <row r="119" spans="1:11" ht="14.25" customHeight="1">
      <c r="A119" s="200"/>
      <c r="B119" s="200" t="s">
        <v>600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6"/>
      <c r="K119" s="286">
        <f t="shared" si="9"/>
        <v>0</v>
      </c>
    </row>
    <row r="120" spans="1:11" ht="14.25" customHeight="1">
      <c r="A120" s="200"/>
      <c r="B120" s="200" t="s">
        <v>644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6"/>
      <c r="K120" s="286">
        <f t="shared" si="9"/>
        <v>0.12</v>
      </c>
    </row>
    <row r="121" spans="1:11" ht="14.25" customHeight="1">
      <c r="A121" s="200"/>
      <c r="B121" s="200" t="s">
        <v>601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6"/>
      <c r="K121" s="286">
        <f t="shared" si="9"/>
        <v>0</v>
      </c>
    </row>
    <row r="122" spans="1:11" ht="14.25" hidden="1" customHeight="1">
      <c r="A122" s="200"/>
      <c r="B122" s="200" t="s">
        <v>563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6" t="e">
        <f t="shared" si="7"/>
        <v>#DIV/0!</v>
      </c>
      <c r="K122" s="286">
        <f t="shared" si="9"/>
        <v>0</v>
      </c>
    </row>
    <row r="123" spans="1:11" ht="14.25" hidden="1" customHeight="1">
      <c r="A123" s="200"/>
      <c r="B123" s="200" t="s">
        <v>377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6" t="e">
        <f t="shared" si="7"/>
        <v>#DIV/0!</v>
      </c>
      <c r="K123" s="286">
        <f t="shared" si="9"/>
        <v>0</v>
      </c>
    </row>
    <row r="124" spans="1:11" ht="14.25" customHeight="1">
      <c r="A124" s="200"/>
      <c r="B124" s="200" t="s">
        <v>602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6">
        <f t="shared" si="7"/>
        <v>0</v>
      </c>
      <c r="K124" s="286">
        <f t="shared" si="9"/>
        <v>0</v>
      </c>
    </row>
    <row r="125" spans="1:11" ht="14.25" customHeight="1">
      <c r="A125" s="200"/>
      <c r="B125" s="200" t="s">
        <v>713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6" t="e">
        <f t="shared" si="7"/>
        <v>#DIV/0!</v>
      </c>
      <c r="K125" s="286">
        <f t="shared" si="9"/>
        <v>6.44</v>
      </c>
    </row>
    <row r="126" spans="1:11" ht="14.25" hidden="1" customHeight="1">
      <c r="A126" s="200"/>
      <c r="B126" s="200" t="s">
        <v>378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6" t="e">
        <f t="shared" si="7"/>
        <v>#DIV/0!</v>
      </c>
      <c r="K126" s="286">
        <f t="shared" si="9"/>
        <v>0</v>
      </c>
    </row>
    <row r="127" spans="1:11" ht="14.25" customHeight="1">
      <c r="A127" s="200"/>
      <c r="B127" s="200" t="s">
        <v>379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6">
        <f t="shared" si="7"/>
        <v>0.29571832518959335</v>
      </c>
      <c r="K127" s="286">
        <f t="shared" si="9"/>
        <v>-697.34</v>
      </c>
    </row>
    <row r="128" spans="1:11" ht="14.25" hidden="1" customHeight="1">
      <c r="A128" s="200"/>
      <c r="B128" s="14" t="s">
        <v>380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6"/>
      <c r="K128" s="286">
        <f t="shared" si="9"/>
        <v>0</v>
      </c>
    </row>
    <row r="129" spans="1:11" ht="14.25" hidden="1" customHeight="1">
      <c r="A129" s="200"/>
      <c r="B129" s="14" t="s">
        <v>564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6" t="e">
        <f t="shared" si="7"/>
        <v>#DIV/0!</v>
      </c>
      <c r="K129" s="286">
        <f t="shared" si="9"/>
        <v>0</v>
      </c>
    </row>
    <row r="130" spans="1:11" ht="14.25" customHeight="1">
      <c r="A130" s="200"/>
      <c r="B130" s="14" t="s">
        <v>565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6" t="e">
        <f t="shared" si="7"/>
        <v>#DIV/0!</v>
      </c>
      <c r="K130" s="286">
        <f t="shared" si="9"/>
        <v>43.16</v>
      </c>
    </row>
    <row r="131" spans="1:11" ht="14.25" hidden="1" customHeight="1">
      <c r="A131" s="200"/>
      <c r="B131" s="14" t="s">
        <v>381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6" t="e">
        <f t="shared" si="7"/>
        <v>#DIV/0!</v>
      </c>
      <c r="K131" s="286">
        <f t="shared" si="9"/>
        <v>0</v>
      </c>
    </row>
    <row r="132" spans="1:11" ht="14.25" hidden="1" customHeight="1">
      <c r="A132" s="200"/>
      <c r="B132" s="14" t="s">
        <v>566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6" t="e">
        <f t="shared" si="7"/>
        <v>#DIV/0!</v>
      </c>
      <c r="K132" s="286">
        <f t="shared" si="9"/>
        <v>0</v>
      </c>
    </row>
    <row r="133" spans="1:11" ht="14.25" customHeight="1">
      <c r="A133" s="200"/>
      <c r="B133" s="200" t="s">
        <v>603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6" t="e">
        <f t="shared" si="7"/>
        <v>#DIV/0!</v>
      </c>
      <c r="K133" s="286">
        <f t="shared" si="9"/>
        <v>-2.2000000000000002</v>
      </c>
    </row>
    <row r="134" spans="1:11" ht="14.25" hidden="1" customHeight="1">
      <c r="A134" s="200"/>
      <c r="B134" s="200" t="s">
        <v>567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6" t="e">
        <f t="shared" si="7"/>
        <v>#DIV/0!</v>
      </c>
      <c r="K134" s="286">
        <f t="shared" si="9"/>
        <v>0</v>
      </c>
    </row>
    <row r="135" spans="1:11">
      <c r="A135" s="200"/>
      <c r="B135" s="200" t="s">
        <v>712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6" t="e">
        <f t="shared" ref="J135:J143" si="12">H135/F135</f>
        <v>#DIV/0!</v>
      </c>
      <c r="K135" s="286">
        <f t="shared" si="9"/>
        <v>2.5299999999999998</v>
      </c>
    </row>
    <row r="136" spans="1:11" ht="14.25" hidden="1" customHeight="1">
      <c r="A136" s="200"/>
      <c r="B136" s="200" t="s">
        <v>382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6" t="e">
        <f t="shared" si="12"/>
        <v>#DIV/0!</v>
      </c>
      <c r="K136" s="286">
        <f t="shared" ref="K136:K143" si="14">H136-G136</f>
        <v>0</v>
      </c>
    </row>
    <row r="137" spans="1:11" ht="14.25" customHeight="1">
      <c r="A137" s="200"/>
      <c r="B137" s="200" t="s">
        <v>555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6">
        <f t="shared" si="12"/>
        <v>1.3614768562508484</v>
      </c>
      <c r="K137" s="286">
        <f t="shared" si="14"/>
        <v>71.929999999999836</v>
      </c>
    </row>
    <row r="138" spans="1:11" ht="14.25" customHeight="1">
      <c r="A138" s="200"/>
      <c r="B138" s="200" t="s">
        <v>569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6">
        <f t="shared" si="12"/>
        <v>1</v>
      </c>
      <c r="K138" s="286">
        <f t="shared" si="14"/>
        <v>0</v>
      </c>
    </row>
    <row r="139" spans="1:11" ht="14.25" customHeight="1">
      <c r="A139" s="200"/>
      <c r="B139" s="200" t="s">
        <v>409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6"/>
      <c r="K139" s="286">
        <f t="shared" si="14"/>
        <v>0</v>
      </c>
    </row>
    <row r="140" spans="1:11" ht="14.25" customHeight="1">
      <c r="A140" s="237"/>
      <c r="B140" s="238" t="s">
        <v>383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6">
        <f t="shared" si="12"/>
        <v>0.93824671558343253</v>
      </c>
      <c r="K140" s="286">
        <f t="shared" si="14"/>
        <v>-328.93000000000029</v>
      </c>
    </row>
    <row r="141" spans="1:11" ht="14.25" customHeight="1">
      <c r="A141" s="215" t="s">
        <v>384</v>
      </c>
      <c r="B141" s="217" t="s">
        <v>385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6">
        <f t="shared" si="12"/>
        <v>9.423362189208935E-2</v>
      </c>
      <c r="K141" s="286">
        <f t="shared" si="14"/>
        <v>-3673.3</v>
      </c>
    </row>
    <row r="142" spans="1:11" ht="14.25" customHeight="1">
      <c r="A142" s="215" t="s">
        <v>386</v>
      </c>
      <c r="B142" s="217" t="s">
        <v>387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6">
        <f t="shared" si="12"/>
        <v>1.4172606026391927</v>
      </c>
      <c r="K142" s="286">
        <f t="shared" si="14"/>
        <v>344.39999999999964</v>
      </c>
    </row>
    <row r="143" spans="1:11" ht="14.25" customHeight="1">
      <c r="A143" s="232"/>
      <c r="B143" s="233" t="s">
        <v>388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6">
        <f t="shared" si="12"/>
        <v>0.85592448269293619</v>
      </c>
      <c r="K143" s="286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94" customWidth="1"/>
    <col min="2" max="2" width="31" style="314" customWidth="1"/>
    <col min="3" max="3" width="7.7109375" style="315" customWidth="1"/>
    <col min="4" max="5" width="7.42578125" style="316" customWidth="1"/>
    <col min="6" max="6" width="8.85546875" style="294" customWidth="1"/>
    <col min="7" max="7" width="5.85546875" style="294" customWidth="1"/>
    <col min="8" max="8" width="7.140625" style="316" customWidth="1"/>
    <col min="9" max="9" width="6.5703125" style="316" customWidth="1"/>
    <col min="10" max="10" width="6.7109375" style="294" customWidth="1"/>
    <col min="11" max="11" width="4" style="294" customWidth="1"/>
    <col min="12" max="12" width="7.7109375" style="316" customWidth="1"/>
    <col min="13" max="13" width="7.42578125" style="316" customWidth="1"/>
    <col min="14" max="14" width="7.42578125" style="294" customWidth="1"/>
    <col min="15" max="15" width="5.85546875" style="294" customWidth="1"/>
    <col min="16" max="16" width="7.140625" style="316" customWidth="1"/>
    <col min="17" max="17" width="6.7109375" style="316" customWidth="1"/>
    <col min="18" max="18" width="7.42578125" style="294" customWidth="1"/>
    <col min="19" max="19" width="3.85546875" style="294" customWidth="1"/>
    <col min="20" max="20" width="6.7109375" style="316" customWidth="1"/>
    <col min="21" max="21" width="7" style="316" customWidth="1"/>
    <col min="22" max="22" width="6.7109375" style="294" customWidth="1"/>
    <col min="23" max="23" width="5.7109375" style="294" customWidth="1"/>
    <col min="24" max="24" width="4.140625" style="317" hidden="1" customWidth="1"/>
    <col min="25" max="25" width="9.140625" style="317" hidden="1" customWidth="1"/>
    <col min="26" max="27" width="9.140625" style="294" hidden="1" customWidth="1"/>
    <col min="28" max="29" width="9.140625" style="316" hidden="1" customWidth="1"/>
    <col min="30" max="34" width="9.140625" style="294" hidden="1" customWidth="1"/>
    <col min="35" max="35" width="9.140625" style="316" hidden="1" customWidth="1"/>
    <col min="36" max="36" width="6.28515625" style="316" hidden="1" customWidth="1"/>
    <col min="37" max="37" width="5.85546875" style="294" hidden="1" customWidth="1"/>
    <col min="38" max="38" width="5.7109375" style="294" hidden="1" customWidth="1"/>
    <col min="39" max="39" width="5.85546875" style="316" hidden="1" customWidth="1"/>
    <col min="40" max="40" width="6" style="316" hidden="1" customWidth="1"/>
    <col min="41" max="41" width="5.7109375" style="294" hidden="1" customWidth="1"/>
    <col min="42" max="42" width="4" style="294" customWidth="1"/>
    <col min="43" max="43" width="4.140625" style="294" hidden="1" customWidth="1"/>
    <col min="44" max="44" width="5.7109375" style="294" hidden="1" customWidth="1"/>
    <col min="45" max="45" width="5.85546875" style="294" hidden="1" customWidth="1"/>
    <col min="46" max="46" width="4.140625" style="294" hidden="1" customWidth="1"/>
    <col min="47" max="47" width="5.7109375" style="316" customWidth="1"/>
    <col min="48" max="48" width="7" style="316" customWidth="1"/>
    <col min="49" max="49" width="6.5703125" style="294" customWidth="1"/>
    <col min="50" max="50" width="4.140625" style="294" customWidth="1"/>
    <col min="51" max="51" width="4.28515625" style="294" hidden="1" customWidth="1"/>
    <col min="52" max="54" width="9.140625" style="294" hidden="1" customWidth="1"/>
    <col min="55" max="56" width="9.140625" style="316" hidden="1" customWidth="1"/>
    <col min="57" max="58" width="9.140625" style="294" hidden="1" customWidth="1"/>
    <col min="59" max="60" width="9.140625" style="316" hidden="1" customWidth="1"/>
    <col min="61" max="61" width="9.140625" style="294" hidden="1" customWidth="1"/>
    <col min="62" max="62" width="3.85546875" style="294" hidden="1" customWidth="1"/>
    <col min="63" max="64" width="6.42578125" style="294" customWidth="1"/>
    <col min="65" max="65" width="6.7109375" style="294" customWidth="1"/>
    <col min="66" max="66" width="5.140625" style="294" customWidth="1"/>
    <col min="67" max="67" width="5.85546875" style="294" customWidth="1"/>
    <col min="68" max="68" width="5.7109375" style="294" customWidth="1"/>
    <col min="69" max="69" width="5.28515625" style="294" customWidth="1"/>
    <col min="70" max="70" width="5" style="294" customWidth="1"/>
    <col min="71" max="71" width="4.7109375" style="294" hidden="1" customWidth="1"/>
    <col min="72" max="73" width="9.140625" style="294" hidden="1" customWidth="1"/>
    <col min="74" max="74" width="4.42578125" style="294" hidden="1" customWidth="1"/>
    <col min="75" max="75" width="4.28515625" style="316" hidden="1" customWidth="1"/>
    <col min="76" max="76" width="9.140625" style="316" hidden="1" customWidth="1"/>
    <col min="77" max="77" width="9.140625" style="294" hidden="1" customWidth="1"/>
    <col min="78" max="79" width="4.140625" style="294" hidden="1" customWidth="1"/>
    <col min="80" max="81" width="9.140625" style="294" hidden="1" customWidth="1"/>
    <col min="82" max="82" width="4.42578125" style="294" hidden="1" customWidth="1"/>
    <col min="83" max="83" width="6.42578125" style="316" customWidth="1"/>
    <col min="84" max="84" width="7.140625" style="316" customWidth="1"/>
    <col min="85" max="85" width="7.85546875" style="294" customWidth="1"/>
    <col min="86" max="86" width="5.42578125" style="294" customWidth="1"/>
    <col min="87" max="87" width="6.28515625" style="316" customWidth="1"/>
    <col min="88" max="88" width="6.140625" style="316" customWidth="1"/>
    <col min="89" max="89" width="5.42578125" style="294" customWidth="1"/>
    <col min="90" max="90" width="4" style="294" customWidth="1"/>
    <col min="91" max="91" width="6.28515625" style="294" customWidth="1"/>
    <col min="92" max="92" width="5.85546875" style="294" customWidth="1"/>
    <col min="93" max="93" width="6.140625" style="294" customWidth="1"/>
    <col min="94" max="94" width="4.7109375" style="294" customWidth="1"/>
    <col min="95" max="95" width="5.5703125" style="294" hidden="1" customWidth="1"/>
    <col min="96" max="97" width="9.140625" style="294" hidden="1" customWidth="1"/>
    <col min="98" max="98" width="4.7109375" style="294" hidden="1" customWidth="1"/>
    <col min="99" max="99" width="4.28515625" style="316" hidden="1" customWidth="1"/>
    <col min="100" max="100" width="9.140625" style="316" hidden="1" customWidth="1"/>
    <col min="101" max="101" width="9.140625" style="294" hidden="1" customWidth="1"/>
    <col min="102" max="102" width="4.5703125" style="294" hidden="1" customWidth="1"/>
    <col min="103" max="103" width="4.5703125" style="316" hidden="1" customWidth="1"/>
    <col min="104" max="104" width="9.140625" style="316" hidden="1" customWidth="1"/>
    <col min="105" max="105" width="9.140625" style="294" hidden="1" customWidth="1"/>
    <col min="106" max="106" width="4.28515625" style="294" hidden="1" customWidth="1"/>
    <col min="107" max="107" width="4.42578125" style="294" customWidth="1"/>
    <col min="108" max="16384" width="9.140625" style="294"/>
  </cols>
  <sheetData>
    <row r="1" spans="1:106" ht="28.5" customHeight="1">
      <c r="A1" s="187"/>
      <c r="B1" s="187" t="s">
        <v>684</v>
      </c>
      <c r="C1" s="292"/>
      <c r="D1" s="293" t="s">
        <v>758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842" t="s">
        <v>499</v>
      </c>
      <c r="BU1" s="842"/>
      <c r="BV1" s="842"/>
      <c r="BW1" s="842"/>
      <c r="BX1" s="842"/>
      <c r="BY1" s="842"/>
      <c r="BZ1" s="842"/>
      <c r="CA1" s="842"/>
      <c r="CB1" s="842"/>
      <c r="CC1" s="842"/>
      <c r="CD1" s="842"/>
      <c r="CE1" s="842"/>
      <c r="CF1" s="842"/>
      <c r="CG1" s="842"/>
      <c r="CH1" s="842"/>
      <c r="CI1" s="842"/>
      <c r="CJ1" s="842"/>
      <c r="CK1" s="842"/>
      <c r="CL1" s="842"/>
      <c r="CM1" s="842"/>
      <c r="CN1" s="842"/>
      <c r="CO1" s="842"/>
      <c r="CP1" s="842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838" t="s">
        <v>302</v>
      </c>
      <c r="B2" s="844" t="s">
        <v>303</v>
      </c>
      <c r="C2" s="847" t="s">
        <v>304</v>
      </c>
      <c r="D2" s="848"/>
      <c r="E2" s="849"/>
      <c r="F2" s="853" t="s">
        <v>500</v>
      </c>
      <c r="G2" s="853" t="s">
        <v>501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502</v>
      </c>
      <c r="AG2" s="192" t="s">
        <v>502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843"/>
      <c r="B3" s="845"/>
      <c r="C3" s="850"/>
      <c r="D3" s="851"/>
      <c r="E3" s="852"/>
      <c r="F3" s="854"/>
      <c r="G3" s="854"/>
      <c r="H3" s="840" t="s">
        <v>503</v>
      </c>
      <c r="I3" s="841"/>
      <c r="J3" s="838" t="s">
        <v>504</v>
      </c>
      <c r="K3" s="838" t="s">
        <v>501</v>
      </c>
      <c r="L3" s="840" t="s">
        <v>505</v>
      </c>
      <c r="M3" s="841"/>
      <c r="N3" s="838" t="s">
        <v>504</v>
      </c>
      <c r="O3" s="838" t="s">
        <v>501</v>
      </c>
      <c r="P3" s="840" t="s">
        <v>506</v>
      </c>
      <c r="Q3" s="841"/>
      <c r="R3" s="838" t="s">
        <v>504</v>
      </c>
      <c r="S3" s="838" t="s">
        <v>501</v>
      </c>
      <c r="T3" s="840" t="s">
        <v>507</v>
      </c>
      <c r="U3" s="841"/>
      <c r="V3" s="838" t="s">
        <v>508</v>
      </c>
      <c r="W3" s="838" t="s">
        <v>501</v>
      </c>
      <c r="X3" s="840" t="s">
        <v>509</v>
      </c>
      <c r="Y3" s="841"/>
      <c r="Z3" s="838" t="s">
        <v>504</v>
      </c>
      <c r="AA3" s="838" t="s">
        <v>501</v>
      </c>
      <c r="AB3" s="840" t="s">
        <v>510</v>
      </c>
      <c r="AC3" s="841"/>
      <c r="AD3" s="838" t="s">
        <v>511</v>
      </c>
      <c r="AE3" s="838" t="s">
        <v>512</v>
      </c>
      <c r="AF3" s="840" t="s">
        <v>513</v>
      </c>
      <c r="AG3" s="841"/>
      <c r="AH3" s="838" t="s">
        <v>514</v>
      </c>
      <c r="AI3" s="840" t="s">
        <v>515</v>
      </c>
      <c r="AJ3" s="841"/>
      <c r="AK3" s="838" t="s">
        <v>511</v>
      </c>
      <c r="AL3" s="838" t="s">
        <v>501</v>
      </c>
      <c r="AM3" s="840" t="s">
        <v>516</v>
      </c>
      <c r="AN3" s="841"/>
      <c r="AO3" s="838" t="s">
        <v>504</v>
      </c>
      <c r="AP3" s="838" t="s">
        <v>501</v>
      </c>
      <c r="AQ3" s="840" t="s">
        <v>517</v>
      </c>
      <c r="AR3" s="841"/>
      <c r="AS3" s="838" t="s">
        <v>504</v>
      </c>
      <c r="AT3" s="838" t="s">
        <v>501</v>
      </c>
      <c r="AU3" s="840" t="s">
        <v>518</v>
      </c>
      <c r="AV3" s="841"/>
      <c r="AW3" s="838" t="s">
        <v>519</v>
      </c>
      <c r="AX3" s="838" t="s">
        <v>512</v>
      </c>
      <c r="AY3" s="840" t="s">
        <v>520</v>
      </c>
      <c r="AZ3" s="841"/>
      <c r="BA3" s="838" t="s">
        <v>519</v>
      </c>
      <c r="BB3" s="838" t="s">
        <v>512</v>
      </c>
      <c r="BC3" s="840" t="s">
        <v>521</v>
      </c>
      <c r="BD3" s="841"/>
      <c r="BE3" s="838" t="s">
        <v>519</v>
      </c>
      <c r="BF3" s="838" t="s">
        <v>512</v>
      </c>
      <c r="BG3" s="840" t="s">
        <v>522</v>
      </c>
      <c r="BH3" s="841"/>
      <c r="BI3" s="838" t="s">
        <v>519</v>
      </c>
      <c r="BJ3" s="838" t="s">
        <v>512</v>
      </c>
      <c r="BK3" s="840" t="s">
        <v>685</v>
      </c>
      <c r="BL3" s="841"/>
      <c r="BM3" s="838" t="s">
        <v>519</v>
      </c>
      <c r="BN3" s="838" t="s">
        <v>512</v>
      </c>
      <c r="BO3" s="840" t="s">
        <v>686</v>
      </c>
      <c r="BP3" s="841"/>
      <c r="BQ3" s="838" t="s">
        <v>519</v>
      </c>
      <c r="BR3" s="838" t="s">
        <v>512</v>
      </c>
      <c r="BS3" s="840" t="s">
        <v>523</v>
      </c>
      <c r="BT3" s="841"/>
      <c r="BU3" s="838" t="s">
        <v>519</v>
      </c>
      <c r="BV3" s="838" t="s">
        <v>512</v>
      </c>
      <c r="BW3" s="840" t="s">
        <v>524</v>
      </c>
      <c r="BX3" s="841"/>
      <c r="BY3" s="838" t="s">
        <v>519</v>
      </c>
      <c r="BZ3" s="838" t="s">
        <v>512</v>
      </c>
      <c r="CA3" s="840" t="s">
        <v>525</v>
      </c>
      <c r="CB3" s="841"/>
      <c r="CC3" s="838" t="s">
        <v>519</v>
      </c>
      <c r="CD3" s="838" t="s">
        <v>512</v>
      </c>
      <c r="CE3" s="840" t="s">
        <v>526</v>
      </c>
      <c r="CF3" s="841"/>
      <c r="CG3" s="838" t="s">
        <v>519</v>
      </c>
      <c r="CH3" s="838" t="s">
        <v>512</v>
      </c>
      <c r="CI3" s="840" t="s">
        <v>527</v>
      </c>
      <c r="CJ3" s="841"/>
      <c r="CK3" s="838" t="s">
        <v>519</v>
      </c>
      <c r="CL3" s="838" t="s">
        <v>512</v>
      </c>
      <c r="CM3" s="840" t="s">
        <v>528</v>
      </c>
      <c r="CN3" s="841"/>
      <c r="CO3" s="838" t="s">
        <v>519</v>
      </c>
      <c r="CP3" s="838" t="s">
        <v>512</v>
      </c>
      <c r="CQ3" s="856" t="s">
        <v>611</v>
      </c>
      <c r="CR3" s="857"/>
      <c r="CS3" s="858" t="s">
        <v>519</v>
      </c>
      <c r="CT3" s="858" t="s">
        <v>512</v>
      </c>
      <c r="CU3" s="856" t="s">
        <v>612</v>
      </c>
      <c r="CV3" s="857"/>
      <c r="CW3" s="858" t="s">
        <v>519</v>
      </c>
      <c r="CX3" s="858" t="s">
        <v>512</v>
      </c>
      <c r="CY3" s="856" t="s">
        <v>613</v>
      </c>
      <c r="CZ3" s="857"/>
      <c r="DA3" s="858" t="s">
        <v>519</v>
      </c>
      <c r="DB3" s="858" t="s">
        <v>512</v>
      </c>
    </row>
    <row r="4" spans="1:106" ht="25.5" customHeight="1">
      <c r="A4" s="839"/>
      <c r="B4" s="846"/>
      <c r="C4" s="194" t="s">
        <v>529</v>
      </c>
      <c r="D4" s="194" t="s">
        <v>687</v>
      </c>
      <c r="E4" s="195" t="s">
        <v>759</v>
      </c>
      <c r="F4" s="855"/>
      <c r="G4" s="855"/>
      <c r="H4" s="194" t="s">
        <v>687</v>
      </c>
      <c r="I4" s="195" t="s">
        <v>759</v>
      </c>
      <c r="J4" s="839"/>
      <c r="K4" s="839"/>
      <c r="L4" s="194" t="s">
        <v>687</v>
      </c>
      <c r="M4" s="195" t="s">
        <v>759</v>
      </c>
      <c r="N4" s="839"/>
      <c r="O4" s="839"/>
      <c r="P4" s="194" t="s">
        <v>687</v>
      </c>
      <c r="Q4" s="195" t="s">
        <v>759</v>
      </c>
      <c r="R4" s="839"/>
      <c r="S4" s="839"/>
      <c r="T4" s="194" t="s">
        <v>687</v>
      </c>
      <c r="U4" s="195" t="s">
        <v>759</v>
      </c>
      <c r="V4" s="839"/>
      <c r="W4" s="839"/>
      <c r="X4" s="194" t="s">
        <v>530</v>
      </c>
      <c r="Y4" s="194" t="s">
        <v>531</v>
      </c>
      <c r="Z4" s="839"/>
      <c r="AA4" s="839"/>
      <c r="AB4" s="194" t="s">
        <v>532</v>
      </c>
      <c r="AC4" s="194" t="s">
        <v>531</v>
      </c>
      <c r="AD4" s="839"/>
      <c r="AE4" s="839"/>
      <c r="AF4" s="194" t="s">
        <v>530</v>
      </c>
      <c r="AG4" s="194" t="s">
        <v>531</v>
      </c>
      <c r="AH4" s="839"/>
      <c r="AI4" s="194" t="s">
        <v>687</v>
      </c>
      <c r="AJ4" s="195" t="s">
        <v>759</v>
      </c>
      <c r="AK4" s="839"/>
      <c r="AL4" s="839"/>
      <c r="AM4" s="194" t="s">
        <v>687</v>
      </c>
      <c r="AN4" s="195" t="s">
        <v>759</v>
      </c>
      <c r="AO4" s="839"/>
      <c r="AP4" s="839"/>
      <c r="AQ4" s="194" t="s">
        <v>498</v>
      </c>
      <c r="AR4" s="195" t="s">
        <v>688</v>
      </c>
      <c r="AS4" s="839"/>
      <c r="AT4" s="839"/>
      <c r="AU4" s="194" t="s">
        <v>687</v>
      </c>
      <c r="AV4" s="195" t="s">
        <v>759</v>
      </c>
      <c r="AW4" s="839"/>
      <c r="AX4" s="839"/>
      <c r="AY4" s="194" t="s">
        <v>689</v>
      </c>
      <c r="AZ4" s="194" t="s">
        <v>690</v>
      </c>
      <c r="BA4" s="839"/>
      <c r="BB4" s="839"/>
      <c r="BC4" s="194" t="s">
        <v>530</v>
      </c>
      <c r="BD4" s="194" t="s">
        <v>531</v>
      </c>
      <c r="BE4" s="839"/>
      <c r="BF4" s="839"/>
      <c r="BG4" s="194" t="s">
        <v>530</v>
      </c>
      <c r="BH4" s="194" t="s">
        <v>531</v>
      </c>
      <c r="BI4" s="839"/>
      <c r="BJ4" s="839"/>
      <c r="BK4" s="194" t="s">
        <v>687</v>
      </c>
      <c r="BL4" s="195" t="s">
        <v>759</v>
      </c>
      <c r="BM4" s="839"/>
      <c r="BN4" s="839"/>
      <c r="BO4" s="194" t="s">
        <v>687</v>
      </c>
      <c r="BP4" s="195" t="s">
        <v>759</v>
      </c>
      <c r="BQ4" s="839"/>
      <c r="BR4" s="839"/>
      <c r="BS4" s="194" t="s">
        <v>687</v>
      </c>
      <c r="BT4" s="195" t="s">
        <v>691</v>
      </c>
      <c r="BU4" s="839"/>
      <c r="BV4" s="839"/>
      <c r="BW4" s="194" t="s">
        <v>530</v>
      </c>
      <c r="BX4" s="194" t="s">
        <v>531</v>
      </c>
      <c r="BY4" s="839"/>
      <c r="BZ4" s="839"/>
      <c r="CA4" s="194" t="s">
        <v>530</v>
      </c>
      <c r="CB4" s="194" t="s">
        <v>533</v>
      </c>
      <c r="CC4" s="839"/>
      <c r="CD4" s="839"/>
      <c r="CE4" s="194" t="s">
        <v>687</v>
      </c>
      <c r="CF4" s="195" t="s">
        <v>759</v>
      </c>
      <c r="CG4" s="839"/>
      <c r="CH4" s="839"/>
      <c r="CI4" s="194" t="s">
        <v>687</v>
      </c>
      <c r="CJ4" s="195" t="s">
        <v>759</v>
      </c>
      <c r="CK4" s="839"/>
      <c r="CL4" s="839"/>
      <c r="CM4" s="194" t="s">
        <v>687</v>
      </c>
      <c r="CN4" s="195" t="s">
        <v>759</v>
      </c>
      <c r="CO4" s="839"/>
      <c r="CP4" s="839"/>
      <c r="CQ4" s="334" t="s">
        <v>530</v>
      </c>
      <c r="CR4" s="334" t="s">
        <v>531</v>
      </c>
      <c r="CS4" s="859"/>
      <c r="CT4" s="859"/>
      <c r="CU4" s="334" t="s">
        <v>530</v>
      </c>
      <c r="CV4" s="334" t="s">
        <v>614</v>
      </c>
      <c r="CW4" s="859"/>
      <c r="CX4" s="859"/>
      <c r="CY4" s="334" t="s">
        <v>530</v>
      </c>
      <c r="CZ4" s="334" t="s">
        <v>531</v>
      </c>
      <c r="DA4" s="859"/>
      <c r="DB4" s="859"/>
    </row>
    <row r="5" spans="1:106" s="295" customFormat="1" ht="24.75" customHeight="1">
      <c r="A5" s="335" t="s">
        <v>305</v>
      </c>
      <c r="B5" s="299" t="s">
        <v>306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03"/>
      <c r="B6" s="303" t="s">
        <v>307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303"/>
      <c r="B7" s="303" t="s">
        <v>308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303"/>
      <c r="B8" s="302" t="s">
        <v>534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303"/>
      <c r="B9" s="302" t="s">
        <v>309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303"/>
      <c r="B10" s="302" t="s">
        <v>535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303"/>
      <c r="B11" s="302" t="s">
        <v>536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303"/>
      <c r="B12" s="302" t="s">
        <v>310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303"/>
      <c r="B13" s="302" t="s">
        <v>692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303"/>
      <c r="B14" s="302" t="s">
        <v>311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303"/>
      <c r="B15" s="302" t="s">
        <v>693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303"/>
      <c r="B16" s="302" t="s">
        <v>312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303"/>
      <c r="B17" s="302" t="s">
        <v>537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5" customFormat="1" ht="14.25" customHeight="1">
      <c r="A18" s="335" t="s">
        <v>313</v>
      </c>
      <c r="B18" s="299" t="s">
        <v>314</v>
      </c>
      <c r="C18" s="296">
        <f>SUM(C19:C33)</f>
        <v>7.6</v>
      </c>
      <c r="D18" s="179">
        <f>SUM(D19:D33)</f>
        <v>0</v>
      </c>
      <c r="E18" s="179">
        <f>SUM(E19:E33)</f>
        <v>1.165</v>
      </c>
      <c r="F18" s="297">
        <f>E18-D18</f>
        <v>1.165</v>
      </c>
      <c r="G18" s="297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303"/>
      <c r="B19" s="303" t="s">
        <v>315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303"/>
      <c r="B20" s="302" t="s">
        <v>316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303"/>
      <c r="B21" s="302" t="s">
        <v>581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303"/>
      <c r="B22" s="303" t="s">
        <v>317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303"/>
      <c r="B23" s="303" t="s">
        <v>694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303"/>
      <c r="B24" s="302" t="s">
        <v>538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303"/>
      <c r="B25" s="302" t="s">
        <v>539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303"/>
      <c r="B26" s="302" t="s">
        <v>695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303"/>
      <c r="B27" s="302" t="s">
        <v>318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303"/>
      <c r="B28" s="302" t="s">
        <v>319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303"/>
      <c r="B29" s="302" t="s">
        <v>320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303"/>
      <c r="B30" s="302" t="s">
        <v>321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303"/>
      <c r="B31" s="303" t="s">
        <v>540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303"/>
      <c r="B32" s="303" t="s">
        <v>322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303"/>
      <c r="B33" s="303" t="s">
        <v>541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5" customFormat="1" ht="14.25" customHeight="1">
      <c r="A34" s="335" t="s">
        <v>323</v>
      </c>
      <c r="B34" s="299" t="s">
        <v>324</v>
      </c>
      <c r="C34" s="298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7">
        <f>E34-D34</f>
        <v>57.469699999999989</v>
      </c>
      <c r="G34" s="297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01" customFormat="1" ht="13.5" customHeight="1">
      <c r="A35" s="335"/>
      <c r="B35" s="299" t="s">
        <v>325</v>
      </c>
      <c r="C35" s="296">
        <f>SUM(C36:C57)</f>
        <v>0</v>
      </c>
      <c r="D35" s="179">
        <f>SUM(D36:D57)</f>
        <v>7.9660000000000011</v>
      </c>
      <c r="E35" s="179">
        <f>SUM(E36:E57)</f>
        <v>0.28299999999999997</v>
      </c>
      <c r="F35" s="300">
        <f>SUM(F36:F57)</f>
        <v>-7.6829999999999998</v>
      </c>
      <c r="G35" s="300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303"/>
      <c r="B36" s="302" t="s">
        <v>326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303"/>
      <c r="B37" s="302" t="s">
        <v>327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303"/>
      <c r="B38" s="302" t="s">
        <v>328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303"/>
      <c r="B39" s="303" t="s">
        <v>329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303"/>
      <c r="B40" s="303" t="s">
        <v>330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303"/>
      <c r="B41" s="303" t="s">
        <v>331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303"/>
      <c r="B42" s="303" t="s">
        <v>332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303"/>
      <c r="B43" s="303" t="s">
        <v>333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303"/>
      <c r="B44" s="303" t="s">
        <v>334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303"/>
      <c r="B45" s="303" t="s">
        <v>335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303"/>
      <c r="B46" s="303" t="s">
        <v>336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303"/>
      <c r="B47" s="304" t="s">
        <v>337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303"/>
      <c r="B48" s="303" t="s">
        <v>542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303"/>
      <c r="B49" s="303" t="s">
        <v>338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303"/>
      <c r="B50" s="303" t="s">
        <v>339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303"/>
      <c r="B51" s="303" t="s">
        <v>696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303"/>
      <c r="B52" s="303" t="s">
        <v>697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303"/>
      <c r="B53" s="304" t="s">
        <v>340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303"/>
      <c r="B54" s="303" t="s">
        <v>341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303"/>
      <c r="B55" s="303" t="s">
        <v>342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303"/>
      <c r="B56" s="304" t="s">
        <v>343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303"/>
      <c r="B57" s="303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303"/>
      <c r="B58" s="303" t="s">
        <v>543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303"/>
      <c r="B59" s="303" t="s">
        <v>544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303"/>
      <c r="B60" s="302" t="s">
        <v>698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303"/>
      <c r="B61" s="303" t="s">
        <v>545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303"/>
      <c r="B62" s="302" t="s">
        <v>699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303"/>
      <c r="B63" s="302" t="s">
        <v>546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303"/>
      <c r="B64" s="302" t="s">
        <v>700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303"/>
      <c r="B65" s="302" t="s">
        <v>344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303"/>
      <c r="B66" s="302" t="s">
        <v>547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303"/>
      <c r="B67" s="302" t="s">
        <v>345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303"/>
      <c r="B68" s="302" t="s">
        <v>548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303"/>
      <c r="B69" s="302" t="s">
        <v>389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303"/>
      <c r="B70" s="302" t="s">
        <v>346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5" customFormat="1" ht="14.25" hidden="1" customHeight="1">
      <c r="A71" s="336"/>
      <c r="B71" s="305" t="s">
        <v>347</v>
      </c>
      <c r="C71" s="306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7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303"/>
      <c r="B72" s="303" t="s">
        <v>348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303"/>
      <c r="B73" s="303" t="s">
        <v>549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303"/>
      <c r="B74" s="303" t="s">
        <v>349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303"/>
      <c r="B75" s="303" t="s">
        <v>350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303"/>
      <c r="B76" s="303" t="s">
        <v>351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303"/>
      <c r="B77" s="303" t="s">
        <v>352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303"/>
      <c r="B78" s="303" t="s">
        <v>353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5" customFormat="1" ht="14.25" customHeight="1">
      <c r="A79" s="335" t="s">
        <v>354</v>
      </c>
      <c r="B79" s="299" t="s">
        <v>355</v>
      </c>
      <c r="C79" s="307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7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303"/>
      <c r="B80" s="303" t="s">
        <v>356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303"/>
      <c r="B81" s="303" t="s">
        <v>357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303"/>
      <c r="B82" s="303" t="s">
        <v>550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303"/>
      <c r="B83" s="302" t="s">
        <v>358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303"/>
      <c r="B84" s="302" t="s">
        <v>551</v>
      </c>
      <c r="C84" s="308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303"/>
      <c r="B85" s="302" t="s">
        <v>359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37"/>
      <c r="B86" s="302" t="s">
        <v>701</v>
      </c>
      <c r="C86" s="308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303"/>
      <c r="B87" s="303" t="s">
        <v>552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303"/>
      <c r="B88" s="303" t="s">
        <v>360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5" customFormat="1" ht="14.25" customHeight="1">
      <c r="A89" s="335" t="s">
        <v>361</v>
      </c>
      <c r="B89" s="299" t="s">
        <v>362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300">
        <f>SUM(F91:F136)</f>
        <v>-2110.7230799999998</v>
      </c>
      <c r="G89" s="300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37"/>
      <c r="B90" s="302" t="s">
        <v>363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37"/>
      <c r="B91" s="302" t="s">
        <v>553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303"/>
      <c r="B92" s="303" t="s">
        <v>364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303"/>
      <c r="B93" s="303" t="s">
        <v>365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303"/>
      <c r="B94" s="303" t="s">
        <v>366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303"/>
      <c r="B95" s="303" t="s">
        <v>367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303"/>
      <c r="B96" s="303" t="s">
        <v>554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303"/>
      <c r="B97" s="303" t="s">
        <v>555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303"/>
      <c r="B98" s="303" t="s">
        <v>368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303"/>
      <c r="B99" s="303" t="s">
        <v>369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303"/>
      <c r="B100" s="303" t="s">
        <v>702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303"/>
      <c r="B101" s="303" t="s">
        <v>703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303"/>
      <c r="B102" s="303" t="s">
        <v>371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303"/>
      <c r="B103" s="303" t="s">
        <v>372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303"/>
      <c r="B104" s="303" t="s">
        <v>598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303"/>
      <c r="B105" s="303" t="s">
        <v>556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303"/>
      <c r="B106" s="303" t="s">
        <v>557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303"/>
      <c r="B107" s="303" t="s">
        <v>373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303"/>
      <c r="B108" s="303" t="s">
        <v>644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303"/>
      <c r="B109" s="303" t="s">
        <v>603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303"/>
      <c r="B110" s="303" t="s">
        <v>374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303"/>
      <c r="B111" s="303" t="s">
        <v>704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303"/>
      <c r="B112" s="303" t="s">
        <v>568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303"/>
      <c r="B113" s="303" t="s">
        <v>705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303"/>
      <c r="B114" s="303" t="s">
        <v>643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303"/>
      <c r="B115" s="303" t="s">
        <v>558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303"/>
      <c r="B116" s="303" t="s">
        <v>559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303"/>
      <c r="B117" s="303" t="s">
        <v>560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303"/>
      <c r="B118" s="303" t="s">
        <v>561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303"/>
      <c r="B119" s="303" t="s">
        <v>706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303"/>
      <c r="B120" s="303" t="s">
        <v>707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303"/>
      <c r="B121" s="303" t="s">
        <v>562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303"/>
      <c r="B122" s="303" t="s">
        <v>563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303"/>
      <c r="B123" s="303" t="s">
        <v>377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303"/>
      <c r="B124" s="303" t="s">
        <v>708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303"/>
      <c r="B125" s="303" t="s">
        <v>378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303"/>
      <c r="B126" s="303" t="s">
        <v>379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303"/>
      <c r="B127" s="309" t="s">
        <v>380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303"/>
      <c r="B128" s="309" t="s">
        <v>565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303"/>
      <c r="B129" s="309" t="s">
        <v>381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303"/>
      <c r="B130" s="309" t="s">
        <v>566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303"/>
      <c r="B131" s="303" t="s">
        <v>567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303"/>
      <c r="B132" s="303" t="s">
        <v>604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303"/>
      <c r="B133" s="303" t="s">
        <v>382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303"/>
      <c r="B134" s="303" t="s">
        <v>709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303"/>
      <c r="B135" s="303" t="s">
        <v>569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409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12" customFormat="1" ht="14.25" customHeight="1">
      <c r="A137" s="310"/>
      <c r="B137" s="311" t="s">
        <v>383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384</v>
      </c>
      <c r="B138" s="217" t="s">
        <v>385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386</v>
      </c>
      <c r="B139" s="217" t="s">
        <v>387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12" customFormat="1">
      <c r="A140" s="218"/>
      <c r="B140" s="313" t="s">
        <v>388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8"/>
    </row>
    <row r="142" spans="1:106" ht="11.25" customHeight="1">
      <c r="D142" s="319"/>
      <c r="E142" s="320"/>
      <c r="AH142" s="318"/>
    </row>
    <row r="143" spans="1:106" s="316" customFormat="1">
      <c r="B143" s="314"/>
      <c r="C143" s="315"/>
      <c r="E143" s="321"/>
      <c r="F143" s="294"/>
      <c r="G143" s="294"/>
      <c r="J143" s="294"/>
      <c r="K143" s="294"/>
      <c r="N143" s="294"/>
      <c r="O143" s="294"/>
      <c r="R143" s="294"/>
      <c r="S143" s="294"/>
      <c r="V143" s="294"/>
      <c r="W143" s="294"/>
      <c r="X143" s="317"/>
      <c r="Y143" s="317"/>
      <c r="Z143" s="294"/>
      <c r="AA143" s="294"/>
      <c r="AD143" s="294"/>
      <c r="AE143" s="294"/>
      <c r="AF143" s="294"/>
      <c r="AG143" s="294"/>
      <c r="AH143" s="318"/>
      <c r="AK143" s="294"/>
      <c r="AL143" s="294"/>
      <c r="AO143" s="294"/>
      <c r="AP143" s="294"/>
      <c r="AQ143" s="294"/>
      <c r="AR143" s="294"/>
      <c r="AS143" s="294"/>
      <c r="AT143" s="294"/>
      <c r="AW143" s="294"/>
      <c r="AX143" s="294"/>
      <c r="AY143" s="294"/>
      <c r="AZ143" s="294"/>
      <c r="BA143" s="294"/>
      <c r="BB143" s="294"/>
      <c r="BE143" s="294"/>
      <c r="BF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Y143" s="294"/>
      <c r="BZ143" s="294"/>
      <c r="CA143" s="294"/>
      <c r="CB143" s="294"/>
      <c r="CC143" s="294"/>
      <c r="CD143" s="294"/>
      <c r="CG143" s="294"/>
      <c r="CH143" s="294"/>
      <c r="CK143" s="294"/>
      <c r="CL143" s="294"/>
      <c r="CM143" s="294"/>
      <c r="CN143" s="294"/>
      <c r="CO143" s="294"/>
      <c r="CP143" s="294"/>
      <c r="CQ143" s="294"/>
      <c r="CR143" s="294"/>
      <c r="CS143" s="294"/>
      <c r="CT143" s="294"/>
      <c r="CW143" s="294"/>
      <c r="CX143" s="294"/>
    </row>
    <row r="144" spans="1:106" s="316" customFormat="1">
      <c r="B144" s="314"/>
      <c r="C144" s="315"/>
      <c r="E144" s="320"/>
      <c r="F144" s="294"/>
      <c r="G144" s="294"/>
      <c r="J144" s="294"/>
      <c r="K144" s="294"/>
      <c r="N144" s="294"/>
      <c r="O144" s="294"/>
      <c r="R144" s="294"/>
      <c r="S144" s="294"/>
      <c r="V144" s="294"/>
      <c r="W144" s="294"/>
      <c r="X144" s="317"/>
      <c r="Y144" s="317"/>
      <c r="Z144" s="294"/>
      <c r="AA144" s="294"/>
      <c r="AD144" s="294"/>
      <c r="AE144" s="294"/>
      <c r="AF144" s="294"/>
      <c r="AG144" s="294"/>
      <c r="AH144" s="318"/>
      <c r="AK144" s="294"/>
      <c r="AL144" s="294"/>
      <c r="AO144" s="294"/>
      <c r="AP144" s="294"/>
      <c r="AQ144" s="294"/>
      <c r="AR144" s="294"/>
      <c r="AS144" s="294"/>
      <c r="AT144" s="294"/>
      <c r="AW144" s="294"/>
      <c r="AX144" s="294"/>
      <c r="AY144" s="294"/>
      <c r="AZ144" s="294"/>
      <c r="BA144" s="294"/>
      <c r="BB144" s="294"/>
      <c r="BE144" s="294"/>
      <c r="BF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Y144" s="294"/>
      <c r="BZ144" s="294"/>
      <c r="CA144" s="294"/>
      <c r="CB144" s="294"/>
      <c r="CC144" s="294"/>
      <c r="CD144" s="294"/>
      <c r="CG144" s="294"/>
      <c r="CH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W144" s="294"/>
      <c r="CX144" s="294"/>
    </row>
    <row r="145" spans="2:102" s="316" customFormat="1">
      <c r="B145" s="314"/>
      <c r="C145" s="315"/>
      <c r="F145" s="294"/>
      <c r="G145" s="294"/>
      <c r="J145" s="294"/>
      <c r="K145" s="294"/>
      <c r="N145" s="294"/>
      <c r="O145" s="294"/>
      <c r="R145" s="294"/>
      <c r="S145" s="294"/>
      <c r="V145" s="294"/>
      <c r="W145" s="294"/>
      <c r="X145" s="317"/>
      <c r="Y145" s="317"/>
      <c r="Z145" s="294"/>
      <c r="AA145" s="294"/>
      <c r="AD145" s="294"/>
      <c r="AE145" s="294"/>
      <c r="AF145" s="294"/>
      <c r="AG145" s="294"/>
      <c r="AH145" s="318"/>
      <c r="AK145" s="294"/>
      <c r="AL145" s="294"/>
      <c r="AO145" s="294"/>
      <c r="AP145" s="294"/>
      <c r="AQ145" s="294"/>
      <c r="AR145" s="294"/>
      <c r="AS145" s="294"/>
      <c r="AT145" s="294"/>
      <c r="AW145" s="294"/>
      <c r="AX145" s="294"/>
      <c r="AY145" s="294"/>
      <c r="AZ145" s="294"/>
      <c r="BA145" s="294"/>
      <c r="BB145" s="294"/>
      <c r="BE145" s="294"/>
      <c r="BF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Y145" s="294"/>
      <c r="BZ145" s="294"/>
      <c r="CA145" s="294"/>
      <c r="CB145" s="294"/>
      <c r="CC145" s="294"/>
      <c r="CD145" s="294"/>
      <c r="CG145" s="294"/>
      <c r="CH145" s="294"/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W145" s="294"/>
      <c r="CX145" s="294"/>
    </row>
    <row r="146" spans="2:102" s="316" customFormat="1">
      <c r="B146" s="314"/>
      <c r="C146" s="315"/>
      <c r="F146" s="294"/>
      <c r="G146" s="294"/>
      <c r="J146" s="294"/>
      <c r="K146" s="294"/>
      <c r="N146" s="294"/>
      <c r="O146" s="294"/>
      <c r="R146" s="294"/>
      <c r="S146" s="294"/>
      <c r="V146" s="294"/>
      <c r="W146" s="294"/>
      <c r="X146" s="317"/>
      <c r="Y146" s="317"/>
      <c r="Z146" s="294"/>
      <c r="AA146" s="294"/>
      <c r="AD146" s="294"/>
      <c r="AE146" s="294"/>
      <c r="AF146" s="294"/>
      <c r="AG146" s="294"/>
      <c r="AH146" s="318"/>
      <c r="AK146" s="294"/>
      <c r="AL146" s="294"/>
      <c r="AO146" s="294"/>
      <c r="AP146" s="294"/>
      <c r="AQ146" s="294"/>
      <c r="AR146" s="294"/>
      <c r="AS146" s="294"/>
      <c r="AT146" s="294"/>
      <c r="AW146" s="294"/>
      <c r="AX146" s="294"/>
      <c r="AY146" s="294"/>
      <c r="AZ146" s="294"/>
      <c r="BA146" s="294"/>
      <c r="BB146" s="294"/>
      <c r="BE146" s="294"/>
      <c r="BF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Y146" s="294"/>
      <c r="BZ146" s="294"/>
      <c r="CA146" s="294"/>
      <c r="CB146" s="294"/>
      <c r="CC146" s="294"/>
      <c r="CD146" s="294"/>
      <c r="CG146" s="294"/>
      <c r="CH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W146" s="294"/>
      <c r="CX146" s="294"/>
    </row>
    <row r="147" spans="2:102" s="316" customFormat="1">
      <c r="B147" s="314"/>
      <c r="C147" s="315"/>
      <c r="F147" s="294"/>
      <c r="G147" s="294"/>
      <c r="J147" s="294"/>
      <c r="K147" s="294"/>
      <c r="N147" s="294"/>
      <c r="O147" s="294"/>
      <c r="R147" s="294"/>
      <c r="S147" s="294"/>
      <c r="V147" s="294"/>
      <c r="W147" s="294"/>
      <c r="X147" s="317"/>
      <c r="Y147" s="317"/>
      <c r="Z147" s="294"/>
      <c r="AA147" s="294"/>
      <c r="AD147" s="294"/>
      <c r="AE147" s="294"/>
      <c r="AF147" s="294"/>
      <c r="AG147" s="294"/>
      <c r="AH147" s="318"/>
      <c r="AK147" s="294"/>
      <c r="AL147" s="294"/>
      <c r="AO147" s="294"/>
      <c r="AP147" s="294"/>
      <c r="AQ147" s="294"/>
      <c r="AR147" s="294"/>
      <c r="AS147" s="294"/>
      <c r="AT147" s="294"/>
      <c r="AW147" s="294"/>
      <c r="AX147" s="294"/>
      <c r="AY147" s="294"/>
      <c r="AZ147" s="294"/>
      <c r="BA147" s="294"/>
      <c r="BB147" s="294"/>
      <c r="BE147" s="294"/>
      <c r="BF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Y147" s="294"/>
      <c r="BZ147" s="294"/>
      <c r="CA147" s="294"/>
      <c r="CB147" s="294"/>
      <c r="CC147" s="294"/>
      <c r="CD147" s="294"/>
      <c r="CG147" s="294"/>
      <c r="CH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W147" s="294"/>
      <c r="CX147" s="294"/>
    </row>
    <row r="148" spans="2:102" s="316" customFormat="1">
      <c r="B148" s="314"/>
      <c r="C148" s="315"/>
      <c r="F148" s="294"/>
      <c r="G148" s="294"/>
      <c r="J148" s="294"/>
      <c r="K148" s="294"/>
      <c r="N148" s="294"/>
      <c r="O148" s="294"/>
      <c r="R148" s="294"/>
      <c r="S148" s="294"/>
      <c r="V148" s="294"/>
      <c r="W148" s="294"/>
      <c r="X148" s="317"/>
      <c r="Y148" s="317"/>
      <c r="Z148" s="294"/>
      <c r="AA148" s="294"/>
      <c r="AD148" s="294"/>
      <c r="AE148" s="294"/>
      <c r="AF148" s="294"/>
      <c r="AG148" s="294"/>
      <c r="AH148" s="318"/>
      <c r="AK148" s="294"/>
      <c r="AL148" s="294"/>
      <c r="AO148" s="294"/>
      <c r="AP148" s="294"/>
      <c r="AQ148" s="294"/>
      <c r="AR148" s="294"/>
      <c r="AS148" s="294"/>
      <c r="AT148" s="294"/>
      <c r="AW148" s="294"/>
      <c r="AX148" s="294"/>
      <c r="AY148" s="294"/>
      <c r="AZ148" s="294"/>
      <c r="BA148" s="294"/>
      <c r="BB148" s="294"/>
      <c r="BE148" s="294"/>
      <c r="BF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Y148" s="294"/>
      <c r="BZ148" s="294"/>
      <c r="CA148" s="294"/>
      <c r="CB148" s="294"/>
      <c r="CC148" s="294"/>
      <c r="CD148" s="294"/>
      <c r="CG148" s="294"/>
      <c r="CH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W148" s="294"/>
      <c r="CX148" s="294"/>
    </row>
    <row r="149" spans="2:102" s="316" customFormat="1">
      <c r="B149" s="314"/>
      <c r="C149" s="315"/>
      <c r="F149" s="294"/>
      <c r="G149" s="294"/>
      <c r="J149" s="294"/>
      <c r="K149" s="294"/>
      <c r="N149" s="294"/>
      <c r="O149" s="294"/>
      <c r="R149" s="294"/>
      <c r="S149" s="294"/>
      <c r="V149" s="294"/>
      <c r="W149" s="294"/>
      <c r="X149" s="317"/>
      <c r="Y149" s="317"/>
      <c r="Z149" s="294"/>
      <c r="AA149" s="294"/>
      <c r="AD149" s="294"/>
      <c r="AE149" s="294"/>
      <c r="AF149" s="294"/>
      <c r="AG149" s="294"/>
      <c r="AH149" s="322"/>
      <c r="AK149" s="294"/>
      <c r="AL149" s="294"/>
      <c r="AO149" s="294"/>
      <c r="AP149" s="294"/>
      <c r="AQ149" s="294"/>
      <c r="AR149" s="294"/>
      <c r="AS149" s="294"/>
      <c r="AT149" s="294"/>
      <c r="AW149" s="294"/>
      <c r="AX149" s="294"/>
      <c r="AY149" s="294"/>
      <c r="AZ149" s="294"/>
      <c r="BA149" s="294"/>
      <c r="BB149" s="294"/>
      <c r="BE149" s="294"/>
      <c r="BF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Y149" s="294"/>
      <c r="BZ149" s="294"/>
      <c r="CA149" s="294"/>
      <c r="CB149" s="294"/>
      <c r="CC149" s="294"/>
      <c r="CD149" s="294"/>
      <c r="CG149" s="294"/>
      <c r="CH149" s="294"/>
      <c r="CK149" s="294"/>
      <c r="CL149" s="294"/>
      <c r="CM149" s="294"/>
      <c r="CN149" s="294"/>
      <c r="CO149" s="294"/>
      <c r="CP149" s="294"/>
      <c r="CQ149" s="294"/>
      <c r="CR149" s="294"/>
      <c r="CS149" s="294"/>
      <c r="CT149" s="294"/>
      <c r="CW149" s="294"/>
      <c r="CX149" s="294"/>
    </row>
    <row r="150" spans="2:102" s="316" customFormat="1">
      <c r="B150" s="314"/>
      <c r="C150" s="315"/>
      <c r="F150" s="294"/>
      <c r="G150" s="294"/>
      <c r="J150" s="294"/>
      <c r="K150" s="294"/>
      <c r="N150" s="294"/>
      <c r="O150" s="294"/>
      <c r="R150" s="294"/>
      <c r="S150" s="294"/>
      <c r="V150" s="294"/>
      <c r="W150" s="294"/>
      <c r="X150" s="317"/>
      <c r="Y150" s="317"/>
      <c r="Z150" s="294"/>
      <c r="AA150" s="294"/>
      <c r="AD150" s="294"/>
      <c r="AE150" s="294"/>
      <c r="AF150" s="294"/>
      <c r="AG150" s="294"/>
      <c r="AH150" s="318"/>
      <c r="AK150" s="294"/>
      <c r="AL150" s="294"/>
      <c r="AO150" s="294"/>
      <c r="AP150" s="294"/>
      <c r="AQ150" s="294"/>
      <c r="AR150" s="294"/>
      <c r="AS150" s="294"/>
      <c r="AT150" s="294"/>
      <c r="AW150" s="294"/>
      <c r="AX150" s="294"/>
      <c r="AY150" s="294"/>
      <c r="AZ150" s="294"/>
      <c r="BA150" s="294"/>
      <c r="BB150" s="294"/>
      <c r="BE150" s="294"/>
      <c r="BF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Y150" s="294"/>
      <c r="BZ150" s="294"/>
      <c r="CA150" s="294"/>
      <c r="CB150" s="294"/>
      <c r="CC150" s="294"/>
      <c r="CD150" s="294"/>
      <c r="CG150" s="294"/>
      <c r="CH150" s="294"/>
      <c r="CK150" s="294"/>
      <c r="CL150" s="294"/>
      <c r="CM150" s="294"/>
      <c r="CN150" s="294"/>
      <c r="CO150" s="294"/>
      <c r="CP150" s="294"/>
      <c r="CQ150" s="294"/>
      <c r="CR150" s="294"/>
      <c r="CS150" s="294"/>
      <c r="CT150" s="294"/>
      <c r="CW150" s="294"/>
      <c r="CX150" s="294"/>
    </row>
    <row r="151" spans="2:102" s="316" customFormat="1">
      <c r="B151" s="314"/>
      <c r="C151" s="315"/>
      <c r="F151" s="294"/>
      <c r="G151" s="294"/>
      <c r="J151" s="294"/>
      <c r="K151" s="294"/>
      <c r="N151" s="294"/>
      <c r="O151" s="294"/>
      <c r="R151" s="294"/>
      <c r="S151" s="294"/>
      <c r="V151" s="294"/>
      <c r="W151" s="294"/>
      <c r="X151" s="317"/>
      <c r="Y151" s="317"/>
      <c r="Z151" s="294"/>
      <c r="AA151" s="294"/>
      <c r="AD151" s="294"/>
      <c r="AE151" s="294"/>
      <c r="AF151" s="294"/>
      <c r="AG151" s="294"/>
      <c r="AH151" s="318"/>
      <c r="AK151" s="294"/>
      <c r="AL151" s="294"/>
      <c r="AO151" s="294"/>
      <c r="AP151" s="294"/>
      <c r="AQ151" s="294"/>
      <c r="AR151" s="294"/>
      <c r="AS151" s="294"/>
      <c r="AT151" s="294"/>
      <c r="AW151" s="294"/>
      <c r="AX151" s="294"/>
      <c r="AY151" s="294"/>
      <c r="AZ151" s="294"/>
      <c r="BA151" s="294"/>
      <c r="BB151" s="294"/>
      <c r="BE151" s="294"/>
      <c r="BF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Y151" s="294"/>
      <c r="BZ151" s="294"/>
      <c r="CA151" s="294"/>
      <c r="CB151" s="294"/>
      <c r="CC151" s="294"/>
      <c r="CD151" s="294"/>
      <c r="CG151" s="294"/>
      <c r="CH151" s="294"/>
      <c r="CK151" s="294"/>
      <c r="CL151" s="294"/>
      <c r="CM151" s="294"/>
      <c r="CN151" s="294"/>
      <c r="CO151" s="294"/>
      <c r="CP151" s="294"/>
      <c r="CQ151" s="294"/>
      <c r="CR151" s="294"/>
      <c r="CS151" s="294"/>
      <c r="CT151" s="294"/>
      <c r="CW151" s="294"/>
      <c r="CX151" s="294"/>
    </row>
    <row r="152" spans="2:102" s="316" customFormat="1">
      <c r="B152" s="314"/>
      <c r="C152" s="315"/>
      <c r="F152" s="294"/>
      <c r="G152" s="294"/>
      <c r="J152" s="294"/>
      <c r="K152" s="294"/>
      <c r="N152" s="294"/>
      <c r="O152" s="294"/>
      <c r="R152" s="294"/>
      <c r="S152" s="294"/>
      <c r="V152" s="294"/>
      <c r="W152" s="294"/>
      <c r="X152" s="317"/>
      <c r="Y152" s="317"/>
      <c r="Z152" s="294"/>
      <c r="AA152" s="294"/>
      <c r="AD152" s="294"/>
      <c r="AE152" s="294"/>
      <c r="AF152" s="294"/>
      <c r="AG152" s="294"/>
      <c r="AH152" s="322"/>
      <c r="AK152" s="294"/>
      <c r="AL152" s="294"/>
      <c r="AO152" s="294"/>
      <c r="AP152" s="294"/>
      <c r="AQ152" s="294"/>
      <c r="AR152" s="294"/>
      <c r="AS152" s="294"/>
      <c r="AT152" s="294"/>
      <c r="AW152" s="294"/>
      <c r="AX152" s="294"/>
      <c r="AY152" s="294"/>
      <c r="AZ152" s="294"/>
      <c r="BA152" s="294"/>
      <c r="BB152" s="294"/>
      <c r="BE152" s="294"/>
      <c r="BF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Y152" s="294"/>
      <c r="BZ152" s="294"/>
      <c r="CA152" s="294"/>
      <c r="CB152" s="294"/>
      <c r="CC152" s="294"/>
      <c r="CD152" s="294"/>
      <c r="CG152" s="294"/>
      <c r="CH152" s="294"/>
      <c r="CK152" s="294"/>
      <c r="CL152" s="294"/>
      <c r="CM152" s="294"/>
      <c r="CN152" s="294"/>
      <c r="CO152" s="294"/>
      <c r="CP152" s="294"/>
      <c r="CQ152" s="294"/>
      <c r="CR152" s="294"/>
      <c r="CS152" s="294"/>
      <c r="CT152" s="294"/>
      <c r="CW152" s="294"/>
      <c r="CX152" s="294"/>
    </row>
    <row r="153" spans="2:102" s="316" customFormat="1">
      <c r="B153" s="314"/>
      <c r="C153" s="315"/>
      <c r="F153" s="294"/>
      <c r="G153" s="294"/>
      <c r="J153" s="294"/>
      <c r="K153" s="294"/>
      <c r="N153" s="294"/>
      <c r="O153" s="294"/>
      <c r="R153" s="294"/>
      <c r="S153" s="294"/>
      <c r="V153" s="294"/>
      <c r="W153" s="294"/>
      <c r="X153" s="317"/>
      <c r="Y153" s="317"/>
      <c r="Z153" s="294"/>
      <c r="AA153" s="294"/>
      <c r="AD153" s="294"/>
      <c r="AE153" s="294"/>
      <c r="AF153" s="294"/>
      <c r="AG153" s="294"/>
      <c r="AH153" s="318"/>
      <c r="AK153" s="294"/>
      <c r="AL153" s="294"/>
      <c r="AO153" s="294"/>
      <c r="AP153" s="294"/>
      <c r="AQ153" s="294"/>
      <c r="AR153" s="294"/>
      <c r="AS153" s="294"/>
      <c r="AT153" s="294"/>
      <c r="AW153" s="294"/>
      <c r="AX153" s="294"/>
      <c r="AY153" s="294"/>
      <c r="AZ153" s="294"/>
      <c r="BA153" s="294"/>
      <c r="BB153" s="294"/>
      <c r="BE153" s="294"/>
      <c r="BF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Y153" s="294"/>
      <c r="BZ153" s="294"/>
      <c r="CA153" s="294"/>
      <c r="CB153" s="294"/>
      <c r="CC153" s="294"/>
      <c r="CD153" s="294"/>
      <c r="CG153" s="294"/>
      <c r="CH153" s="294"/>
      <c r="CK153" s="294"/>
      <c r="CL153" s="294"/>
      <c r="CM153" s="294"/>
      <c r="CN153" s="294"/>
      <c r="CO153" s="294"/>
      <c r="CP153" s="294"/>
      <c r="CQ153" s="294"/>
      <c r="CR153" s="294"/>
      <c r="CS153" s="294"/>
      <c r="CT153" s="294"/>
      <c r="CW153" s="294"/>
      <c r="CX153" s="294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37" t="s">
        <v>417</v>
      </c>
    </row>
    <row r="2" spans="1:22" ht="12.75" customHeight="1" thickBot="1">
      <c r="A2" s="871" t="s">
        <v>489</v>
      </c>
      <c r="B2" s="871"/>
      <c r="C2" s="871"/>
      <c r="D2" s="871"/>
      <c r="E2" s="871"/>
      <c r="F2" s="871"/>
      <c r="G2" s="871"/>
      <c r="H2" s="871"/>
      <c r="I2" s="43"/>
      <c r="J2" s="43"/>
      <c r="K2" s="872" t="s">
        <v>255</v>
      </c>
      <c r="L2" s="872"/>
      <c r="M2" s="872"/>
      <c r="N2" s="873">
        <v>224950.67</v>
      </c>
      <c r="O2" s="873"/>
      <c r="P2" s="181"/>
      <c r="Q2" s="874" t="s">
        <v>272</v>
      </c>
      <c r="R2" s="874"/>
      <c r="S2" s="182">
        <v>9570953.3300000001</v>
      </c>
    </row>
    <row r="3" spans="1:22" s="66" customFormat="1" ht="12.75" customHeight="1">
      <c r="A3" s="860" t="s">
        <v>89</v>
      </c>
      <c r="B3" s="860" t="s">
        <v>90</v>
      </c>
      <c r="C3" s="860" t="s">
        <v>248</v>
      </c>
      <c r="D3" s="869" t="s">
        <v>91</v>
      </c>
      <c r="E3" s="870"/>
      <c r="F3" s="860" t="s">
        <v>131</v>
      </c>
      <c r="G3" s="860" t="s">
        <v>273</v>
      </c>
      <c r="H3" s="860" t="s">
        <v>274</v>
      </c>
      <c r="I3" s="860" t="s">
        <v>92</v>
      </c>
      <c r="J3" s="860" t="s">
        <v>167</v>
      </c>
      <c r="K3" s="860" t="s">
        <v>93</v>
      </c>
      <c r="L3" s="860" t="s">
        <v>490</v>
      </c>
      <c r="M3" s="860" t="s">
        <v>71</v>
      </c>
      <c r="N3" s="860" t="s">
        <v>95</v>
      </c>
      <c r="O3" s="860" t="s">
        <v>72</v>
      </c>
      <c r="P3" s="176"/>
      <c r="Q3" s="875" t="s">
        <v>249</v>
      </c>
      <c r="R3" s="860" t="s">
        <v>96</v>
      </c>
      <c r="S3" s="860" t="s">
        <v>97</v>
      </c>
    </row>
    <row r="4" spans="1:22" s="66" customFormat="1" ht="51">
      <c r="A4" s="861"/>
      <c r="B4" s="861"/>
      <c r="C4" s="861"/>
      <c r="D4" s="56" t="s">
        <v>98</v>
      </c>
      <c r="E4" s="56" t="s">
        <v>250</v>
      </c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175"/>
      <c r="Q4" s="861"/>
      <c r="R4" s="861"/>
      <c r="S4" s="861"/>
    </row>
    <row r="5" spans="1:22" s="66" customFormat="1">
      <c r="A5" s="58" t="s">
        <v>99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[2]март!G5+[2]фев!G5+[2]янв!G5</f>
        <v>2300</v>
      </c>
      <c r="H5" s="59">
        <f>[2]март!H5+[2]фев!H5+[2]янв!H5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100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[2]март!G6+[2]фев!G6+[2]янв!G6</f>
        <v>0</v>
      </c>
      <c r="H6" s="59">
        <f>[2]март!H6+[2]фев!H6+[2]янв!H6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[3]март!S6+[3]фев!S6+[3]янв!S6</f>
        <v>1617916</v>
      </c>
    </row>
    <row r="7" spans="1:22">
      <c r="A7" s="42" t="s">
        <v>101</v>
      </c>
      <c r="B7" s="3">
        <v>211</v>
      </c>
      <c r="C7" s="3">
        <f t="shared" si="0"/>
        <v>500</v>
      </c>
      <c r="D7" s="61">
        <f>[2]март!D7+[2]фев!D7+[2]янв!D7</f>
        <v>500</v>
      </c>
      <c r="E7" s="61">
        <f>[2]март!E7+[2]фев!E7+[2]янв!E7</f>
        <v>0</v>
      </c>
      <c r="F7" s="61">
        <f>[2]март!F7+[2]фев!F7+[2]янв!F7</f>
        <v>0</v>
      </c>
      <c r="G7" s="61">
        <f>[2]март!G7+[2]фев!G7+[2]янв!G7</f>
        <v>2300</v>
      </c>
      <c r="H7" s="61">
        <f>[2]март!H7+[2]фев!H7+[2]янв!H7</f>
        <v>0</v>
      </c>
      <c r="I7" s="61">
        <f>[2]март!J7+[2]фев!J7+[2]янв!J7</f>
        <v>0</v>
      </c>
      <c r="J7" s="61">
        <f>[2]март!K7+[2]фев!K7+[2]янв!K7</f>
        <v>0</v>
      </c>
      <c r="K7" s="61">
        <f>[2]март!L7+[2]фев!L7+[2]янв!L7</f>
        <v>0</v>
      </c>
      <c r="L7" s="61">
        <f>[2]март!M7+[2]фев!M7+[2]янв!M7</f>
        <v>0</v>
      </c>
      <c r="M7" s="61">
        <f>[2]март!N7+[2]фев!N7+[2]янв!N7</f>
        <v>10200</v>
      </c>
      <c r="N7" s="61">
        <f>[2]март!O7+[2]фев!O7+[2]янв!O7</f>
        <v>10200</v>
      </c>
      <c r="O7" s="61">
        <f>[2]март!P7+[2]фев!P7+[2]янв!P7</f>
        <v>0</v>
      </c>
      <c r="P7" s="61"/>
      <c r="Q7" s="61">
        <f>[2]март!Q7+[2]фев!Q7+[2]янв!Q7</f>
        <v>0</v>
      </c>
      <c r="R7" s="61">
        <f>[2]март!R7+[2]фев!R7+[2]янв!R7</f>
        <v>0</v>
      </c>
      <c r="S7" s="59">
        <f>C7+F7+G7+I7+J7+K7+N7+O7++R7+Q7</f>
        <v>13000</v>
      </c>
      <c r="T7" s="68">
        <f>[3]март!S6+[3]фев!S6</f>
        <v>1617916</v>
      </c>
      <c r="U7" s="68">
        <f>T7-S129</f>
        <v>0</v>
      </c>
      <c r="V7" s="69"/>
    </row>
    <row r="8" spans="1:22" s="66" customFormat="1">
      <c r="A8" s="60" t="s">
        <v>102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103</v>
      </c>
      <c r="B9" s="3">
        <v>212</v>
      </c>
      <c r="C9" s="3">
        <f t="shared" si="0"/>
        <v>0</v>
      </c>
      <c r="D9" s="61">
        <f>[2]март!D9+[2]фев!D9+[2]янв!D9</f>
        <v>0</v>
      </c>
      <c r="E9" s="61">
        <f>[2]март!E9+[2]фев!E9+[2]янв!E9</f>
        <v>0</v>
      </c>
      <c r="F9" s="61">
        <f>[2]март!F9+[2]фев!F9+[2]янв!F9</f>
        <v>0</v>
      </c>
      <c r="G9" s="61">
        <f>[2]март!G9+[2]фев!G9+[2]янв!G9</f>
        <v>0</v>
      </c>
      <c r="H9" s="61"/>
      <c r="I9" s="61">
        <f>[2]март!J9+[2]фев!J9+[2]янв!J9</f>
        <v>0</v>
      </c>
      <c r="J9" s="61">
        <f>[2]март!K9+[2]фев!K9+[2]янв!K9</f>
        <v>0</v>
      </c>
      <c r="K9" s="61">
        <f>[2]март!L9+[2]фев!L9+[2]янв!L9</f>
        <v>0</v>
      </c>
      <c r="L9" s="61">
        <f>[2]март!M9+[2]фев!M9+[2]янв!M9</f>
        <v>0</v>
      </c>
      <c r="M9" s="61">
        <f>[2]март!N9+[2]фев!N9+[2]янв!N9</f>
        <v>0</v>
      </c>
      <c r="N9" s="61">
        <f>[2]март!O9+[2]фев!O9+[2]янв!O9</f>
        <v>0</v>
      </c>
      <c r="O9" s="61">
        <f>[2]март!P9+[2]фев!P9+[2]янв!P9</f>
        <v>0</v>
      </c>
      <c r="P9" s="61"/>
      <c r="Q9" s="61">
        <f>[2]март!Q9+[2]фев!Q9+[2]янв!Q9</f>
        <v>0</v>
      </c>
      <c r="R9" s="61">
        <f>[2]март!R9+[2]фев!R9+[2]янв!R9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104</v>
      </c>
      <c r="B10" s="3">
        <v>212</v>
      </c>
      <c r="C10" s="3">
        <f t="shared" si="0"/>
        <v>0</v>
      </c>
      <c r="D10" s="61">
        <f>[2]март!D10+[2]фев!D10+[2]янв!D10</f>
        <v>0</v>
      </c>
      <c r="E10" s="61">
        <f>[2]март!E10+[2]фев!E10+[2]янв!E10</f>
        <v>0</v>
      </c>
      <c r="F10" s="61">
        <f>[2]март!F10+[2]фев!F10+[2]янв!F10</f>
        <v>0</v>
      </c>
      <c r="G10" s="61">
        <f>[2]март!G10+[2]фев!G10+[2]янв!G10</f>
        <v>0</v>
      </c>
      <c r="H10" s="61"/>
      <c r="I10" s="61">
        <f>[2]март!J10+[2]фев!J10+[2]янв!J10</f>
        <v>0</v>
      </c>
      <c r="J10" s="61">
        <f>[2]март!K10+[2]фев!K10+[2]янв!K10</f>
        <v>0</v>
      </c>
      <c r="K10" s="61">
        <f>[2]март!L10+[2]фев!L10+[2]янв!L10</f>
        <v>0</v>
      </c>
      <c r="L10" s="61">
        <f>[2]март!M10+[2]фев!M10+[2]янв!M10</f>
        <v>0</v>
      </c>
      <c r="M10" s="61">
        <f>[2]март!N10+[2]фев!N10+[2]янв!N10</f>
        <v>0</v>
      </c>
      <c r="N10" s="61">
        <f>[2]март!O10+[2]фев!O10+[2]янв!O10</f>
        <v>0</v>
      </c>
      <c r="O10" s="61">
        <f>[2]март!P10+[2]фев!P10+[2]янв!P10</f>
        <v>0</v>
      </c>
      <c r="P10" s="61"/>
      <c r="Q10" s="61">
        <f>[2]март!Q10+[2]фев!Q10+[2]янв!Q10</f>
        <v>0</v>
      </c>
      <c r="R10" s="61">
        <f>[2]март!R10+[2]фев!R10+[2]янв!R10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105</v>
      </c>
      <c r="B11" s="2">
        <v>213</v>
      </c>
      <c r="C11" s="2">
        <f t="shared" si="0"/>
        <v>770025.48</v>
      </c>
      <c r="D11" s="61">
        <f>[2]март!D11+[2]фев!D11+[2]янв!D11</f>
        <v>770025.48</v>
      </c>
      <c r="E11" s="61">
        <f>[2]март!E11+[2]фев!E11+[2]янв!E11</f>
        <v>0</v>
      </c>
      <c r="F11" s="61">
        <f>[2]март!F11+[2]фев!F11+[2]янв!F11</f>
        <v>0</v>
      </c>
      <c r="G11" s="61">
        <f>[2]март!G11+[2]фев!G11+[2]янв!G11</f>
        <v>80002.45</v>
      </c>
      <c r="H11" s="61"/>
      <c r="I11" s="61">
        <f>[2]март!J11+[2]фев!J11+[2]янв!J11</f>
        <v>0</v>
      </c>
      <c r="J11" s="61">
        <f>[2]март!K11+[2]фев!K11+[2]янв!K11</f>
        <v>99266.1</v>
      </c>
      <c r="K11" s="61">
        <f>[2]март!L11+[2]фев!L11+[2]янв!L11</f>
        <v>84000</v>
      </c>
      <c r="L11" s="61">
        <f>[2]март!M11+[2]фев!M11+[2]янв!M11</f>
        <v>2294498.6800000002</v>
      </c>
      <c r="M11" s="61">
        <f>[2]март!N11+[2]фев!N11+[2]янв!N11</f>
        <v>45480.04</v>
      </c>
      <c r="N11" s="61">
        <f>[2]март!O11+[2]фев!O11+[2]янв!O11</f>
        <v>2339978.7200000002</v>
      </c>
      <c r="O11" s="61">
        <f>[2]март!P11+[2]фев!P11+[2]янв!P11</f>
        <v>1528696</v>
      </c>
      <c r="P11" s="61"/>
      <c r="Q11" s="61">
        <f>[2]март!Q11+[2]фев!Q11+[2]янв!Q11</f>
        <v>0</v>
      </c>
      <c r="R11" s="61">
        <f>[2]март!R11+[2]фев!R11+[2]янв!R11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106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107</v>
      </c>
      <c r="B13" s="3">
        <v>221</v>
      </c>
      <c r="C13" s="3">
        <f t="shared" si="0"/>
        <v>0</v>
      </c>
      <c r="D13" s="61">
        <f>[2]янв!D13+[2]март!D13</f>
        <v>0</v>
      </c>
      <c r="E13" s="61">
        <f>[2]март!E13+[2]фев!E13+[2]янв!E13</f>
        <v>0</v>
      </c>
      <c r="F13" s="61">
        <f>[2]март!F13+[2]фев!F13+[2]янв!F13</f>
        <v>0</v>
      </c>
      <c r="G13" s="61">
        <f>[2]март!G13+[2]фев!G13+[2]янв!G13</f>
        <v>0</v>
      </c>
      <c r="H13" s="61">
        <f>[2]март!H13+[2]фев!H13+[2]янв!H13</f>
        <v>0</v>
      </c>
      <c r="I13" s="61">
        <f>[2]март!J13+[2]фев!J13+[2]янв!J13</f>
        <v>0</v>
      </c>
      <c r="J13" s="61">
        <f>[2]март!K13+[2]фев!K13+[2]янв!K13</f>
        <v>0</v>
      </c>
      <c r="K13" s="61">
        <f>[2]март!L13+[2]фев!L13+[2]янв!L13</f>
        <v>0</v>
      </c>
      <c r="L13" s="61">
        <f>[2]март!M13+[2]фев!M13+[2]янв!M13</f>
        <v>10500</v>
      </c>
      <c r="M13" s="61">
        <f>[2]март!N13+[2]фев!N13+[2]янв!N13</f>
        <v>20000</v>
      </c>
      <c r="N13" s="61">
        <f>[2]март!O13+[2]фев!O13+[2]янв!O13</f>
        <v>30500</v>
      </c>
      <c r="O13" s="61">
        <f>[2]март!P13+[2]фев!P13+[2]янв!P13</f>
        <v>0</v>
      </c>
      <c r="P13" s="61"/>
      <c r="Q13" s="61">
        <f>[2]март!Q13+[2]фев!Q13+[2]янв!Q13</f>
        <v>0</v>
      </c>
      <c r="R13" s="61">
        <f>[2]март!R13+[2]фев!R13+[2]янв!R13</f>
        <v>0</v>
      </c>
      <c r="S13" s="59">
        <f>C13+F13+G13+I13+J13+K13+N13+O13++R13+Q13+H13</f>
        <v>30500</v>
      </c>
      <c r="T13" s="69">
        <f>[3]март!S12+[3]фев!S12+[3]янв!S12</f>
        <v>153740.75</v>
      </c>
      <c r="U13" s="69"/>
      <c r="V13" s="69"/>
    </row>
    <row r="14" spans="1:22" hidden="1">
      <c r="A14" s="183" t="s">
        <v>390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[2]фев!M14+[2]янв!M14</f>
        <v>0</v>
      </c>
      <c r="M14" s="61">
        <f>[2]фев!N14+[2]янв!N14</f>
        <v>0</v>
      </c>
      <c r="N14" s="61">
        <f>[2]фев!O14+[2]янв!O14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108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[3]март!S13+[3]фев!S14+[3]янв!S14</f>
        <v>10900</v>
      </c>
    </row>
    <row r="16" spans="1:22">
      <c r="A16" s="42" t="s">
        <v>109</v>
      </c>
      <c r="B16" s="3">
        <v>222</v>
      </c>
      <c r="C16" s="3">
        <f t="shared" si="0"/>
        <v>0</v>
      </c>
      <c r="D16" s="61">
        <f>[2]март!D15+[2]фев!D16+[2]янв!D16</f>
        <v>0</v>
      </c>
      <c r="E16" s="61">
        <f>[2]март!E15+[2]фев!E16+[2]янв!E16</f>
        <v>0</v>
      </c>
      <c r="F16" s="61">
        <f>[2]март!F15+[2]фев!F16+[2]янв!F16</f>
        <v>0</v>
      </c>
      <c r="G16" s="61">
        <f>[2]март!G15+[2]фев!G16+[2]янв!G16</f>
        <v>0</v>
      </c>
      <c r="H16" s="61"/>
      <c r="I16" s="61">
        <f>[2]март!J15+[2]фев!J16+[2]янв!J16</f>
        <v>0</v>
      </c>
      <c r="J16" s="61">
        <f>[2]март!K15+[2]фев!K16+[2]янв!K16</f>
        <v>0</v>
      </c>
      <c r="K16" s="61">
        <f>[2]март!L15+[2]фев!L16+[2]янв!L16</f>
        <v>0</v>
      </c>
      <c r="L16" s="61">
        <f>[2]март!M15+[2]фев!M16+[2]янв!M16</f>
        <v>0</v>
      </c>
      <c r="M16" s="61">
        <f>[2]март!N15+[2]фев!N16+[2]янв!N16</f>
        <v>20000</v>
      </c>
      <c r="N16" s="61">
        <f>[2]март!O15+[2]фев!O16+[2]янв!O16</f>
        <v>20000</v>
      </c>
      <c r="O16" s="61">
        <f>[2]март!P15+[2]фев!P16+[2]янв!P16</f>
        <v>0</v>
      </c>
      <c r="P16" s="61"/>
      <c r="Q16" s="61">
        <f>[2]март!Q15+[2]фев!Q16+[2]янв!Q16</f>
        <v>0</v>
      </c>
      <c r="R16" s="61">
        <f>[2]март!R15+[2]фев!R16+[2]янв!R16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110</v>
      </c>
      <c r="B17" s="3">
        <v>222</v>
      </c>
      <c r="C17" s="3">
        <f t="shared" si="0"/>
        <v>443089</v>
      </c>
      <c r="D17" s="61">
        <f>[2]март!D16+[2]фев!D17+[2]янв!D17</f>
        <v>443089</v>
      </c>
      <c r="E17" s="61">
        <f>[2]март!E16+[2]фев!E17+[2]янв!E17</f>
        <v>0</v>
      </c>
      <c r="F17" s="61">
        <f>[2]март!F16+[2]фев!F17+[2]янв!F17</f>
        <v>0</v>
      </c>
      <c r="G17" s="61">
        <f>[2]март!G16+[2]фев!G17+[2]янв!G17</f>
        <v>0</v>
      </c>
      <c r="H17" s="61"/>
      <c r="I17" s="61">
        <f>[2]март!J16+[2]фев!J17+[2]янв!J17</f>
        <v>0</v>
      </c>
      <c r="J17" s="61">
        <f>[2]март!K16+[2]фев!K17+[2]янв!K17</f>
        <v>0</v>
      </c>
      <c r="K17" s="61">
        <f>[2]март!L16+[2]фев!L17+[2]янв!L17</f>
        <v>0</v>
      </c>
      <c r="L17" s="61">
        <f>[2]март!M16+[2]фев!M17+[2]янв!M17</f>
        <v>1749071.88</v>
      </c>
      <c r="M17" s="61">
        <f>[2]март!N16+[2]фев!N17+[2]янв!N17</f>
        <v>0</v>
      </c>
      <c r="N17" s="61">
        <f>[2]март!O16+[2]фев!O17+[2]янв!O17</f>
        <v>1749071.88</v>
      </c>
      <c r="O17" s="61">
        <f>[2]март!P16+[2]фев!P17+[2]янв!P17</f>
        <v>1517281</v>
      </c>
      <c r="P17" s="61"/>
      <c r="Q17" s="61">
        <f>[2]март!Q16+[2]фев!Q17+[2]янв!Q17</f>
        <v>0</v>
      </c>
      <c r="R17" s="61">
        <f>[2]март!R16+[2]фев!R17+[2]янв!R17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111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[3]март!S16+[3]фев!S17+[3]янв!S17</f>
        <v>2949543.2199999997</v>
      </c>
    </row>
    <row r="19" spans="1:22">
      <c r="A19" s="42" t="s">
        <v>112</v>
      </c>
      <c r="B19" s="3">
        <v>223</v>
      </c>
      <c r="C19" s="3">
        <f t="shared" si="0"/>
        <v>194967</v>
      </c>
      <c r="D19" s="61">
        <f>[2]март!D18+[2]фев!D19+[2]янв!D19</f>
        <v>194967</v>
      </c>
      <c r="E19" s="61">
        <f>[2]март!E18+[2]фев!E19+[2]янв!E19</f>
        <v>0</v>
      </c>
      <c r="F19" s="61">
        <f>[2]март!F18+[2]фев!F19+[2]янв!F19</f>
        <v>0</v>
      </c>
      <c r="G19" s="61">
        <f>[2]март!G18+[2]фев!G19+[2]янв!G19</f>
        <v>0</v>
      </c>
      <c r="H19" s="61"/>
      <c r="I19" s="61">
        <f>[2]март!J18+[2]фев!J19+[2]янв!J19</f>
        <v>0</v>
      </c>
      <c r="J19" s="61">
        <f>[2]март!K18+[2]фев!K19+[2]янв!K19</f>
        <v>0</v>
      </c>
      <c r="K19" s="61">
        <f>[2]март!L18+[2]фев!L19+[2]янв!L19</f>
        <v>0</v>
      </c>
      <c r="L19" s="61">
        <f>[2]март!M18+[2]фев!M19+[2]янв!M19</f>
        <v>1489084.88</v>
      </c>
      <c r="M19" s="61">
        <f>[2]март!N18+[2]фев!N19+[2]янв!N19</f>
        <v>0</v>
      </c>
      <c r="N19" s="61">
        <f>[2]март!O18+[2]фев!O19+[2]янв!O19</f>
        <v>1489084.88</v>
      </c>
      <c r="O19" s="61">
        <f>[2]март!P18+[2]фев!P19+[2]янв!P19</f>
        <v>121211</v>
      </c>
      <c r="P19" s="61"/>
      <c r="Q19" s="61">
        <f>[2]март!Q18+[2]фев!Q19+[2]янв!Q19</f>
        <v>0</v>
      </c>
      <c r="R19" s="61">
        <f>[2]март!R18+[2]фев!R19+[2]янв!R19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113</v>
      </c>
      <c r="B20" s="3">
        <v>223</v>
      </c>
      <c r="C20" s="3">
        <f t="shared" si="0"/>
        <v>8370</v>
      </c>
      <c r="D20" s="61">
        <f>[2]март!D19+[2]фев!D20+[2]янв!D20</f>
        <v>8370</v>
      </c>
      <c r="E20" s="61">
        <f>[2]март!E19+[2]фев!E20+[2]янв!E20</f>
        <v>0</v>
      </c>
      <c r="F20" s="61">
        <f>[2]март!F19+[2]фев!F20+[2]янв!F20</f>
        <v>0</v>
      </c>
      <c r="G20" s="61">
        <f>[2]март!G19+[2]фев!G20+[2]янв!G20</f>
        <v>0</v>
      </c>
      <c r="H20" s="61"/>
      <c r="I20" s="61">
        <f>[2]март!J19+[2]фев!J20+[2]янв!J20</f>
        <v>0</v>
      </c>
      <c r="J20" s="61">
        <f>[2]март!K19+[2]фев!K20+[2]янв!K20</f>
        <v>0</v>
      </c>
      <c r="K20" s="61">
        <f>[2]март!L19+[2]фев!L20+[2]янв!L20</f>
        <v>0</v>
      </c>
      <c r="L20" s="61">
        <f>[2]март!M19+[2]фев!M20+[2]янв!M20</f>
        <v>259987</v>
      </c>
      <c r="M20" s="61">
        <f>[2]март!N19+[2]фев!N20+[2]янв!N20</f>
        <v>0</v>
      </c>
      <c r="N20" s="61">
        <f>[2]март!O19+[2]фев!O20+[2]янв!O20</f>
        <v>259987</v>
      </c>
      <c r="O20" s="61">
        <f>[2]март!P19+[2]фев!P20+[2]янв!P20</f>
        <v>16828</v>
      </c>
      <c r="P20" s="61"/>
      <c r="Q20" s="61">
        <f>[2]март!Q19+[2]фев!Q20+[2]янв!Q20</f>
        <v>0</v>
      </c>
      <c r="R20" s="61">
        <f>[2]март!R19+[2]фев!R20+[2]янв!R20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114</v>
      </c>
      <c r="B21" s="3">
        <v>223</v>
      </c>
      <c r="C21" s="3">
        <f t="shared" si="0"/>
        <v>0</v>
      </c>
      <c r="D21" s="61">
        <f>[2]март!D20+[2]фев!D21+[2]янв!D21</f>
        <v>0</v>
      </c>
      <c r="E21" s="61">
        <f>[2]март!E20+[2]фев!E21+[2]янв!E21</f>
        <v>0</v>
      </c>
      <c r="F21" s="61">
        <f>[2]март!F20+[2]фев!F21+[2]янв!F21</f>
        <v>0</v>
      </c>
      <c r="G21" s="61">
        <f>[2]март!G20+[2]фев!G21+[2]янв!G21</f>
        <v>0</v>
      </c>
      <c r="H21" s="61"/>
      <c r="I21" s="61">
        <f>[2]март!J20+[2]фев!J21+[2]янв!J21</f>
        <v>0</v>
      </c>
      <c r="J21" s="61">
        <f>[2]март!K20+[2]фев!K21+[2]янв!K21</f>
        <v>0</v>
      </c>
      <c r="K21" s="61">
        <f>[2]март!L20+[2]фев!L21+[2]янв!L21</f>
        <v>0</v>
      </c>
      <c r="L21" s="61">
        <f>[2]март!M20+[2]фев!M21+[2]янв!M21</f>
        <v>0</v>
      </c>
      <c r="M21" s="61">
        <f>[2]март!N20+[2]фев!N21+[2]янв!N21</f>
        <v>0</v>
      </c>
      <c r="N21" s="61">
        <f>[2]март!O20+[2]фев!O21+[2]янв!O21</f>
        <v>0</v>
      </c>
      <c r="O21" s="61">
        <f>[2]март!P20+[2]фев!P21+[2]янв!P21</f>
        <v>0</v>
      </c>
      <c r="P21" s="61"/>
      <c r="Q21" s="61">
        <f>[2]март!Q20+[2]фев!Q21+[2]янв!Q21</f>
        <v>0</v>
      </c>
      <c r="R21" s="61">
        <f>[2]март!R20+[2]фев!R21+[2]янв!R21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168</v>
      </c>
      <c r="B22" s="3">
        <v>224</v>
      </c>
      <c r="C22" s="3">
        <f t="shared" si="0"/>
        <v>1896</v>
      </c>
      <c r="D22" s="61">
        <f>[2]март!D21+[2]фев!D22+[2]янв!D22</f>
        <v>1896</v>
      </c>
      <c r="E22" s="61">
        <f>[2]март!E21+[2]фев!E22+[2]янв!E22</f>
        <v>0</v>
      </c>
      <c r="F22" s="61">
        <f>[2]март!F21+[2]фев!F22+[2]янв!F22</f>
        <v>0</v>
      </c>
      <c r="G22" s="61">
        <f>[2]март!G21+[2]фев!G22+[2]янв!G22</f>
        <v>700</v>
      </c>
      <c r="H22" s="61"/>
      <c r="I22" s="61">
        <f>[2]март!J21+[2]фев!J22+[2]янв!J22</f>
        <v>0</v>
      </c>
      <c r="J22" s="61">
        <f>[2]март!K21+[2]фев!K22+[2]янв!K22</f>
        <v>1200</v>
      </c>
      <c r="K22" s="61">
        <f>[2]март!L21+[2]фев!L22+[2]янв!L22</f>
        <v>0</v>
      </c>
      <c r="L22" s="61">
        <f>[2]март!M21+[2]фев!M22+[2]янв!M22</f>
        <v>151839</v>
      </c>
      <c r="M22" s="61">
        <f>[2]март!N21+[2]фев!N22+[2]янв!N22</f>
        <v>0</v>
      </c>
      <c r="N22" s="61">
        <f>[2]март!O21+[2]фев!O22+[2]янв!O22</f>
        <v>151839</v>
      </c>
      <c r="O22" s="61">
        <f>[2]март!P21+[2]фев!P22+[2]янв!P22</f>
        <v>11415</v>
      </c>
      <c r="P22" s="61"/>
      <c r="Q22" s="61">
        <f>[2]март!Q21+[2]фев!Q22+[2]янв!Q22</f>
        <v>0</v>
      </c>
      <c r="R22" s="61">
        <f>[2]март!R21+[2]фев!R22+[2]янв!R22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115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[3]март!S21+[3]фев!S22+[3]янв!S22</f>
        <v>159672.85999999999</v>
      </c>
      <c r="U23" s="66">
        <f>T23-S145</f>
        <v>400</v>
      </c>
    </row>
    <row r="24" spans="1:22" hidden="1">
      <c r="A24" s="44" t="s">
        <v>116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56">
        <f t="shared" si="3"/>
        <v>9140</v>
      </c>
    </row>
    <row r="25" spans="1:22" ht="12" customHeight="1">
      <c r="A25" s="44" t="s">
        <v>117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56">
        <f t="shared" si="3"/>
        <v>700</v>
      </c>
    </row>
    <row r="26" spans="1:22">
      <c r="A26" s="184" t="s">
        <v>275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56">
        <f t="shared" si="3"/>
        <v>0</v>
      </c>
    </row>
    <row r="27" spans="1:22" hidden="1">
      <c r="A27" s="184" t="s">
        <v>290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56">
        <f t="shared" si="3"/>
        <v>0</v>
      </c>
    </row>
    <row r="28" spans="1:22" hidden="1">
      <c r="A28" s="50" t="s">
        <v>172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275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56">
        <f t="shared" si="3"/>
        <v>0</v>
      </c>
    </row>
    <row r="30" spans="1:22" ht="15">
      <c r="A30" s="51" t="s">
        <v>391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56">
        <f t="shared" si="3"/>
        <v>53600</v>
      </c>
    </row>
    <row r="31" spans="1:22" ht="14.25" customHeight="1">
      <c r="A31" s="42" t="s">
        <v>276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392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229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56">
        <f>C33+F33+G33+I33+J33+K33+N33+O33++R33+Q33+H33</f>
        <v>946715.28</v>
      </c>
    </row>
    <row r="34" spans="1:21" s="66" customFormat="1">
      <c r="A34" s="60" t="s">
        <v>118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[3]март!S29+[3]фев!S31+[3]янв!S30</f>
        <v>996288.31</v>
      </c>
      <c r="U34" s="67">
        <f>T34-S156</f>
        <v>3056.7199999999721</v>
      </c>
    </row>
    <row r="35" spans="1:21" ht="14.25" customHeight="1">
      <c r="A35" s="42" t="s">
        <v>119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56">
        <f t="shared" si="3"/>
        <v>127345</v>
      </c>
    </row>
    <row r="36" spans="1:21">
      <c r="A36" s="42" t="s">
        <v>169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56">
        <f t="shared" si="3"/>
        <v>0</v>
      </c>
    </row>
    <row r="37" spans="1:21" hidden="1">
      <c r="A37" s="42" t="s">
        <v>277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56">
        <f t="shared" si="3"/>
        <v>34500</v>
      </c>
    </row>
    <row r="38" spans="1:21" hidden="1">
      <c r="A38" s="42" t="s">
        <v>278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56">
        <f t="shared" si="3"/>
        <v>0</v>
      </c>
    </row>
    <row r="39" spans="1:21" hidden="1">
      <c r="A39" s="42" t="s">
        <v>120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56">
        <f t="shared" si="3"/>
        <v>0</v>
      </c>
    </row>
    <row r="40" spans="1:21" hidden="1">
      <c r="A40" s="42" t="s">
        <v>121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56">
        <f t="shared" si="3"/>
        <v>14000</v>
      </c>
    </row>
    <row r="41" spans="1:21">
      <c r="A41" s="42" t="s">
        <v>230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56">
        <f t="shared" si="3"/>
        <v>0</v>
      </c>
    </row>
    <row r="42" spans="1:21" hidden="1">
      <c r="A42" s="183" t="s">
        <v>291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56">
        <f t="shared" si="3"/>
        <v>0</v>
      </c>
    </row>
    <row r="43" spans="1:21">
      <c r="A43" s="183" t="s">
        <v>412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56">
        <f t="shared" si="3"/>
        <v>323368</v>
      </c>
    </row>
    <row r="44" spans="1:21">
      <c r="A44" s="42" t="s">
        <v>123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56">
        <f>C44+F44+G44+I44+J44+K44+N44+O44++R44+Q44+H44</f>
        <v>0</v>
      </c>
      <c r="T44" s="1">
        <f>[3]март!S54+[3]фев!S56+[3]янв!S55</f>
        <v>259040</v>
      </c>
    </row>
    <row r="45" spans="1:21">
      <c r="A45" s="42" t="s">
        <v>413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56">
        <f t="shared" si="3"/>
        <v>0</v>
      </c>
    </row>
    <row r="46" spans="1:21">
      <c r="A46" s="42" t="s">
        <v>122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3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56">
        <f t="shared" si="3"/>
        <v>0</v>
      </c>
    </row>
    <row r="47" spans="1:21" hidden="1">
      <c r="A47" s="183" t="s">
        <v>393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56">
        <f t="shared" si="3"/>
        <v>0</v>
      </c>
    </row>
    <row r="48" spans="1:21">
      <c r="A48" s="42" t="s">
        <v>394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56">
        <f t="shared" si="3"/>
        <v>900</v>
      </c>
    </row>
    <row r="49" spans="1:19" hidden="1">
      <c r="A49" s="183" t="s">
        <v>292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56">
        <f t="shared" si="3"/>
        <v>0</v>
      </c>
    </row>
    <row r="50" spans="1:19">
      <c r="A50" s="42" t="s">
        <v>124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56">
        <f t="shared" si="3"/>
        <v>84000</v>
      </c>
    </row>
    <row r="51" spans="1:19" hidden="1">
      <c r="A51" s="42" t="s">
        <v>279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56">
        <f t="shared" si="3"/>
        <v>0</v>
      </c>
    </row>
    <row r="52" spans="1:19" hidden="1">
      <c r="A52" s="42" t="s">
        <v>280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56">
        <f t="shared" si="3"/>
        <v>0</v>
      </c>
    </row>
    <row r="53" spans="1:19" hidden="1">
      <c r="A53" s="42" t="s">
        <v>170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56">
        <f t="shared" si="3"/>
        <v>0</v>
      </c>
    </row>
    <row r="54" spans="1:19" hidden="1">
      <c r="A54" s="42" t="s">
        <v>231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56">
        <f t="shared" si="3"/>
        <v>0</v>
      </c>
    </row>
    <row r="55" spans="1:19" hidden="1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491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172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56">
        <f t="shared" si="3"/>
        <v>0</v>
      </c>
    </row>
    <row r="58" spans="1:19" hidden="1">
      <c r="A58" s="42" t="s">
        <v>126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395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56">
        <f t="shared" si="3"/>
        <v>0</v>
      </c>
    </row>
    <row r="60" spans="1:19" hidden="1">
      <c r="A60" s="42" t="s">
        <v>173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56">
        <f t="shared" si="3"/>
        <v>0</v>
      </c>
    </row>
    <row r="61" spans="1:19" hidden="1">
      <c r="A61" s="42" t="s">
        <v>232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56">
        <f t="shared" si="3"/>
        <v>0</v>
      </c>
    </row>
    <row r="62" spans="1:19">
      <c r="A62" s="183" t="s">
        <v>396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56">
        <f t="shared" si="3"/>
        <v>0</v>
      </c>
    </row>
    <row r="63" spans="1:19" hidden="1">
      <c r="A63" s="183" t="s">
        <v>293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56">
        <f t="shared" si="3"/>
        <v>0</v>
      </c>
    </row>
    <row r="64" spans="1:19" hidden="1">
      <c r="A64" s="42" t="s">
        <v>233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56">
        <f t="shared" si="3"/>
        <v>0</v>
      </c>
    </row>
    <row r="65" spans="1:20">
      <c r="A65" s="42" t="s">
        <v>281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56">
        <f t="shared" si="3"/>
        <v>0</v>
      </c>
    </row>
    <row r="66" spans="1:20" hidden="1">
      <c r="A66" s="42" t="s">
        <v>234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56">
        <f t="shared" si="3"/>
        <v>0</v>
      </c>
    </row>
    <row r="67" spans="1:20" hidden="1">
      <c r="A67" s="14" t="s">
        <v>251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56">
        <f t="shared" si="3"/>
        <v>0</v>
      </c>
    </row>
    <row r="68" spans="1:20" hidden="1">
      <c r="A68" s="42" t="s">
        <v>235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56">
        <f t="shared" si="3"/>
        <v>0</v>
      </c>
    </row>
    <row r="69" spans="1:20" hidden="1">
      <c r="A69" s="185" t="s">
        <v>294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56">
        <f>C70+F70+G70+I70+J70+K70+N70+O70++R70+Q70</f>
        <v>13100</v>
      </c>
    </row>
    <row r="71" spans="1:20" s="66" customFormat="1">
      <c r="A71" s="60" t="s">
        <v>127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128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129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56">
        <f t="shared" si="9"/>
        <v>61850</v>
      </c>
    </row>
    <row r="75" spans="1:20" ht="15.75" customHeight="1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414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[3]март!S85+[3]фев!S86+[3]янв!S83</f>
        <v>0</v>
      </c>
    </row>
    <row r="80" spans="1:20" hidden="1">
      <c r="A80" s="44" t="s">
        <v>134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59">
        <f t="shared" si="9"/>
        <v>0</v>
      </c>
    </row>
    <row r="81" spans="1:21" hidden="1">
      <c r="A81" s="7" t="s">
        <v>282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56">
        <f t="shared" si="9"/>
        <v>0</v>
      </c>
    </row>
    <row r="82" spans="1:21" hidden="1">
      <c r="A82" s="44" t="s">
        <v>283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56">
        <f t="shared" si="9"/>
        <v>0</v>
      </c>
    </row>
    <row r="83" spans="1:21" hidden="1">
      <c r="A83" s="44" t="s">
        <v>135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[3]март!S91+[3]фев!S92+[3]янв!S88</f>
        <v>523926</v>
      </c>
      <c r="U84" s="66">
        <f>T84-S206</f>
        <v>34000</v>
      </c>
    </row>
    <row r="85" spans="1:21">
      <c r="A85" s="42" t="s">
        <v>136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56">
        <f t="shared" si="9"/>
        <v>18244</v>
      </c>
    </row>
    <row r="86" spans="1:21">
      <c r="A86" s="42" t="s">
        <v>137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56">
        <f t="shared" si="9"/>
        <v>0</v>
      </c>
    </row>
    <row r="87" spans="1:21">
      <c r="A87" s="42" t="s">
        <v>138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56">
        <f t="shared" si="9"/>
        <v>0</v>
      </c>
    </row>
    <row r="88" spans="1:21">
      <c r="A88" s="42" t="s">
        <v>284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56">
        <f t="shared" si="9"/>
        <v>0</v>
      </c>
    </row>
    <row r="89" spans="1:21" hidden="1">
      <c r="A89" s="42" t="s">
        <v>252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56">
        <f t="shared" si="9"/>
        <v>0</v>
      </c>
    </row>
    <row r="90" spans="1:21" hidden="1">
      <c r="A90" s="42" t="s">
        <v>236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56">
        <f t="shared" si="9"/>
        <v>0</v>
      </c>
    </row>
    <row r="91" spans="1:21" hidden="1">
      <c r="A91" s="42" t="s">
        <v>240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56">
        <f t="shared" si="9"/>
        <v>0</v>
      </c>
    </row>
    <row r="92" spans="1:21" ht="13.5" hidden="1" customHeight="1">
      <c r="A92" s="42" t="s">
        <v>253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56">
        <f t="shared" si="9"/>
        <v>0</v>
      </c>
    </row>
    <row r="93" spans="1:21" hidden="1">
      <c r="A93" s="42" t="s">
        <v>139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56">
        <f t="shared" si="9"/>
        <v>0</v>
      </c>
    </row>
    <row r="94" spans="1:21">
      <c r="A94" s="42" t="s">
        <v>140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56">
        <f t="shared" si="9"/>
        <v>0</v>
      </c>
    </row>
    <row r="95" spans="1:21">
      <c r="A95" s="42" t="s">
        <v>415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56">
        <f>C95+F95+G95+I95+J95+K95+N95+O95++R95+Q95</f>
        <v>213000</v>
      </c>
    </row>
    <row r="96" spans="1:21" hidden="1">
      <c r="A96" s="53" t="s">
        <v>295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56">
        <f t="shared" si="9"/>
        <v>0</v>
      </c>
    </row>
    <row r="97" spans="1:21">
      <c r="A97" s="41" t="s">
        <v>492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56">
        <f t="shared" si="9"/>
        <v>17200</v>
      </c>
    </row>
    <row r="98" spans="1:21" hidden="1">
      <c r="A98" s="41" t="s">
        <v>237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56">
        <f>C98+F98+G98+I98+J98+K98+N98+O98++R98+Q98+H98</f>
        <v>0</v>
      </c>
    </row>
    <row r="99" spans="1:21">
      <c r="A99" s="42" t="s">
        <v>175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56">
        <f>C99+F99+G99+I99+J99+K99+N99+O99++R99+Q99</f>
        <v>0</v>
      </c>
    </row>
    <row r="100" spans="1:21">
      <c r="A100" s="53" t="s">
        <v>397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141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[3]март!S106+[3]фев!S109+[3]янв!S102</f>
        <v>734610</v>
      </c>
      <c r="U101" s="66">
        <f>T101-S223</f>
        <v>0</v>
      </c>
    </row>
    <row r="102" spans="1:21">
      <c r="A102" s="42" t="s">
        <v>142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143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56">
        <f t="shared" si="13"/>
        <v>41500</v>
      </c>
    </row>
    <row r="104" spans="1:21">
      <c r="A104" s="42" t="s">
        <v>144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56">
        <f t="shared" si="13"/>
        <v>93000</v>
      </c>
    </row>
    <row r="105" spans="1:21">
      <c r="A105" s="42" t="s">
        <v>145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56">
        <f t="shared" si="13"/>
        <v>5140</v>
      </c>
    </row>
    <row r="106" spans="1:21">
      <c r="A106" s="42" t="s">
        <v>297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56">
        <f t="shared" si="13"/>
        <v>16361</v>
      </c>
    </row>
    <row r="107" spans="1:21">
      <c r="A107" s="42" t="s">
        <v>146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56">
        <f t="shared" si="13"/>
        <v>0</v>
      </c>
    </row>
    <row r="108" spans="1:21" hidden="1">
      <c r="A108" s="42" t="s">
        <v>285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147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56">
        <f t="shared" si="15"/>
        <v>0</v>
      </c>
    </row>
    <row r="110" spans="1:21">
      <c r="A110" s="42" t="s">
        <v>148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56">
        <f t="shared" si="15"/>
        <v>0</v>
      </c>
    </row>
    <row r="111" spans="1:21" hidden="1">
      <c r="A111" s="42" t="s">
        <v>175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56">
        <f t="shared" si="15"/>
        <v>0</v>
      </c>
    </row>
    <row r="112" spans="1:21" hidden="1">
      <c r="A112" s="183" t="s">
        <v>398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56">
        <f t="shared" si="15"/>
        <v>0</v>
      </c>
    </row>
    <row r="113" spans="1:21" hidden="1">
      <c r="A113" s="183" t="s">
        <v>493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56">
        <f t="shared" si="15"/>
        <v>0</v>
      </c>
    </row>
    <row r="114" spans="1:21">
      <c r="A114" s="42" t="s">
        <v>149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56">
        <f t="shared" si="15"/>
        <v>0</v>
      </c>
    </row>
    <row r="115" spans="1:21" hidden="1">
      <c r="A115" s="42" t="s">
        <v>176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59">
        <f t="shared" si="15"/>
        <v>0</v>
      </c>
    </row>
    <row r="116" spans="1:21" hidden="1">
      <c r="A116" s="42" t="s">
        <v>150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59">
        <f t="shared" si="15"/>
        <v>0</v>
      </c>
    </row>
    <row r="117" spans="1:21" hidden="1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152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[3]март!S129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46"/>
      <c r="L122" s="19"/>
      <c r="O122" s="863" t="s">
        <v>286</v>
      </c>
      <c r="P122" s="864"/>
      <c r="Q122" s="864"/>
      <c r="R122" s="865"/>
      <c r="S122" s="12" t="e">
        <f>S118</f>
        <v>#REF!</v>
      </c>
    </row>
    <row r="123" spans="1:21" ht="13.5" thickBot="1">
      <c r="A123" s="11"/>
      <c r="O123" s="863" t="s">
        <v>494</v>
      </c>
      <c r="P123" s="864"/>
      <c r="Q123" s="864"/>
      <c r="R123" s="865"/>
      <c r="S123" s="12" t="e">
        <f>N2+S2-S118</f>
        <v>#REF!</v>
      </c>
    </row>
    <row r="124" spans="1:21" ht="15">
      <c r="A124" s="866" t="s">
        <v>411</v>
      </c>
      <c r="B124" s="866"/>
      <c r="C124" s="866"/>
      <c r="D124" s="866"/>
      <c r="E124" s="866"/>
      <c r="F124" s="866"/>
      <c r="G124" s="866"/>
      <c r="H124" s="866"/>
      <c r="I124" s="43"/>
      <c r="J124" s="43"/>
      <c r="K124" s="867" t="s">
        <v>255</v>
      </c>
      <c r="L124" s="867"/>
      <c r="M124" s="867"/>
      <c r="N124" s="868">
        <v>69654.48</v>
      </c>
      <c r="O124" s="868"/>
      <c r="P124" s="135"/>
      <c r="Q124" s="867" t="s">
        <v>272</v>
      </c>
      <c r="R124" s="867"/>
      <c r="S124" s="136">
        <v>8066595.2999999998</v>
      </c>
    </row>
    <row r="125" spans="1:21">
      <c r="A125" s="860" t="s">
        <v>89</v>
      </c>
      <c r="B125" s="860" t="s">
        <v>90</v>
      </c>
      <c r="C125" s="860" t="s">
        <v>248</v>
      </c>
      <c r="D125" s="869" t="s">
        <v>91</v>
      </c>
      <c r="E125" s="870"/>
      <c r="F125" s="860" t="s">
        <v>131</v>
      </c>
      <c r="G125" s="860" t="s">
        <v>273</v>
      </c>
      <c r="H125" s="860" t="s">
        <v>274</v>
      </c>
      <c r="I125" s="860" t="s">
        <v>92</v>
      </c>
      <c r="J125" s="860" t="s">
        <v>167</v>
      </c>
      <c r="K125" s="862" t="s">
        <v>93</v>
      </c>
      <c r="L125" s="862" t="s">
        <v>94</v>
      </c>
      <c r="M125" s="862" t="s">
        <v>71</v>
      </c>
      <c r="N125" s="862" t="s">
        <v>95</v>
      </c>
      <c r="O125" s="862" t="s">
        <v>72</v>
      </c>
      <c r="P125" s="55"/>
      <c r="Q125" s="862" t="s">
        <v>249</v>
      </c>
      <c r="R125" s="862" t="s">
        <v>96</v>
      </c>
      <c r="S125" s="862" t="s">
        <v>97</v>
      </c>
    </row>
    <row r="126" spans="1:21" ht="51">
      <c r="A126" s="861"/>
      <c r="B126" s="861"/>
      <c r="C126" s="861"/>
      <c r="D126" s="56" t="s">
        <v>98</v>
      </c>
      <c r="E126" s="56" t="s">
        <v>250</v>
      </c>
      <c r="F126" s="861"/>
      <c r="G126" s="861"/>
      <c r="H126" s="861"/>
      <c r="I126" s="861"/>
      <c r="J126" s="861"/>
      <c r="K126" s="861"/>
      <c r="L126" s="861"/>
      <c r="M126" s="861"/>
      <c r="N126" s="861"/>
      <c r="O126" s="861"/>
      <c r="P126" s="57"/>
      <c r="Q126" s="861"/>
      <c r="R126" s="861"/>
      <c r="S126" s="861"/>
    </row>
    <row r="127" spans="1:21">
      <c r="A127" s="58" t="s">
        <v>99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[3]март!G4+[3]фев!G4+[3]янв!G4</f>
        <v>262580.02</v>
      </c>
      <c r="H127" s="59">
        <f>[3]март!H4+[3]фев!H4+[3]янв!H4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100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[3]март!G5+[3]фев!G5+[3]янв!G5</f>
        <v>146397</v>
      </c>
      <c r="H128" s="59">
        <f>[3]март!H5+[3]фев!H5+[3]янв!H5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101</v>
      </c>
      <c r="B129" s="3">
        <v>211</v>
      </c>
      <c r="C129" s="3">
        <f t="shared" si="18"/>
        <v>1219764</v>
      </c>
      <c r="D129" s="61">
        <f>[3]март!D6+[3]фев!D6+[3]янв!D6</f>
        <v>1219764</v>
      </c>
      <c r="E129" s="61">
        <f>[3]март!E6+[3]фев!E6+[3]янв!E6</f>
        <v>0</v>
      </c>
      <c r="F129" s="61">
        <f>[3]март!F6+[3]фев!F6+[3]янв!F6</f>
        <v>0</v>
      </c>
      <c r="G129" s="61">
        <f>[3]март!G6+[3]фев!G6+[3]янв!G6</f>
        <v>144397</v>
      </c>
      <c r="H129" s="61">
        <f>[3]март!H6+[3]фев!H6+[3]янв!H6</f>
        <v>0</v>
      </c>
      <c r="I129" s="61">
        <f>[3]март!J6+[3]фев!J6+[3]янв!J6</f>
        <v>0</v>
      </c>
      <c r="J129" s="61">
        <f>[3]март!K6+[3]фев!K6+[3]янв!K6</f>
        <v>159948</v>
      </c>
      <c r="K129" s="61">
        <f>[3]март!L6+[3]фев!L6+[3]янв!L6</f>
        <v>0</v>
      </c>
      <c r="L129" s="61">
        <f>[3]март!M6+[3]фев!M6+[3]янв!M6</f>
        <v>0</v>
      </c>
      <c r="M129" s="61">
        <f>[3]март!N6+[3]фев!N6+[3]янв!N6</f>
        <v>0</v>
      </c>
      <c r="N129" s="61">
        <f>[3]март!O6+[3]фев!O6+[3]янв!O6</f>
        <v>0</v>
      </c>
      <c r="O129" s="61">
        <f>[3]март!P6+[3]фев!P6+[3]янв!P6</f>
        <v>0</v>
      </c>
      <c r="P129" s="61"/>
      <c r="Q129" s="61">
        <f>[3]март!Q6+[3]фев!Q6+[3]янв!Q6</f>
        <v>0</v>
      </c>
      <c r="R129" s="61">
        <f>[3]март!R6+[3]фев!R6+[3]янв!R6</f>
        <v>93807</v>
      </c>
      <c r="S129" s="59">
        <f>C129+F129+G129+I129+J129+K129+N129+O129++R129+Q129</f>
        <v>1617916</v>
      </c>
    </row>
    <row r="130" spans="1:19">
      <c r="A130" s="60" t="s">
        <v>102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103</v>
      </c>
      <c r="B131" s="3">
        <v>212</v>
      </c>
      <c r="C131" s="3">
        <f t="shared" si="18"/>
        <v>0</v>
      </c>
      <c r="D131" s="61">
        <f>[3]март!D8+[3]фев!D8+[3]янв!D8</f>
        <v>0</v>
      </c>
      <c r="E131" s="61">
        <f>[3]март!E8+[3]фев!E8+[3]янв!E8</f>
        <v>0</v>
      </c>
      <c r="F131" s="61">
        <f>[3]март!F8+[3]фев!F8+[3]янв!F8</f>
        <v>0</v>
      </c>
      <c r="G131" s="61">
        <f>[3]март!G8+[3]фев!G8+[3]янв!G8</f>
        <v>2000</v>
      </c>
      <c r="H131" s="61"/>
      <c r="I131" s="61">
        <f>[3]март!J8+[3]фев!J8+[3]янв!J8</f>
        <v>0</v>
      </c>
      <c r="J131" s="61">
        <f>[3]март!K8+[3]фев!K8+[3]янв!K8</f>
        <v>0</v>
      </c>
      <c r="K131" s="61">
        <f>[3]март!L8+[3]фев!L8+[3]янв!L8</f>
        <v>0</v>
      </c>
      <c r="L131" s="61">
        <f>[3]март!M8+[3]фев!M8+[3]янв!M8</f>
        <v>0</v>
      </c>
      <c r="M131" s="61">
        <f>[3]март!N8+[3]фев!N8+[3]янв!N8</f>
        <v>14400</v>
      </c>
      <c r="N131" s="61">
        <f>[3]март!O8+[3]фев!O8+[3]янв!O8</f>
        <v>14400</v>
      </c>
      <c r="O131" s="61">
        <f>[3]март!P8+[3]фев!P8+[3]янв!P8</f>
        <v>0</v>
      </c>
      <c r="P131" s="61"/>
      <c r="Q131" s="61">
        <f>[3]март!Q8+[3]фев!Q8+[3]янв!Q8</f>
        <v>0</v>
      </c>
      <c r="R131" s="61">
        <f>[3]март!R8+[3]фев!R8+[3]янв!R8</f>
        <v>0</v>
      </c>
      <c r="S131" s="56">
        <f t="shared" si="21"/>
        <v>16400</v>
      </c>
    </row>
    <row r="132" spans="1:19">
      <c r="A132" s="42" t="s">
        <v>104</v>
      </c>
      <c r="B132" s="3">
        <v>212</v>
      </c>
      <c r="C132" s="3">
        <f t="shared" si="18"/>
        <v>0</v>
      </c>
      <c r="D132" s="61">
        <f>[3]март!D9+[3]фев!D9+[3]янв!D9</f>
        <v>0</v>
      </c>
      <c r="E132" s="61">
        <f>[3]март!E9+[3]фев!E9+[3]янв!E9</f>
        <v>0</v>
      </c>
      <c r="F132" s="61">
        <f>[3]март!F9+[3]фев!F9+[3]янв!F9</f>
        <v>0</v>
      </c>
      <c r="G132" s="61">
        <f>[3]март!G9+[3]фев!G9+[3]янв!G9</f>
        <v>0</v>
      </c>
      <c r="H132" s="61"/>
      <c r="I132" s="61">
        <f>[3]март!J9+[3]фев!J9+[3]янв!J9</f>
        <v>0</v>
      </c>
      <c r="J132" s="61">
        <f>[3]март!K9+[3]фев!K9+[3]янв!K9</f>
        <v>0</v>
      </c>
      <c r="K132" s="61">
        <f>[3]март!L9+[3]фев!L9+[3]янв!L9</f>
        <v>0</v>
      </c>
      <c r="L132" s="61">
        <f>[3]март!M9+[3]фев!M9+[3]янв!M9</f>
        <v>0</v>
      </c>
      <c r="M132" s="61">
        <f>[3]март!N9+[3]фев!N9+[3]янв!N9</f>
        <v>0</v>
      </c>
      <c r="N132" s="61">
        <f>[3]март!O9+[3]фев!O9+[3]янв!O9</f>
        <v>0</v>
      </c>
      <c r="O132" s="61">
        <f>[3]март!P9+[3]фев!P9+[3]янв!P9</f>
        <v>0</v>
      </c>
      <c r="P132" s="61"/>
      <c r="Q132" s="61">
        <f>[3]март!Q9+[3]фев!Q9+[3]янв!Q9</f>
        <v>0</v>
      </c>
      <c r="R132" s="61">
        <f>[3]март!R9+[3]фев!R9+[3]янв!R9</f>
        <v>0</v>
      </c>
      <c r="S132" s="59">
        <f t="shared" si="21"/>
        <v>0</v>
      </c>
    </row>
    <row r="133" spans="1:19">
      <c r="A133" s="41" t="s">
        <v>105</v>
      </c>
      <c r="B133" s="2">
        <v>213</v>
      </c>
      <c r="C133" s="2">
        <f t="shared" si="18"/>
        <v>0</v>
      </c>
      <c r="D133" s="61">
        <f>[3]март!D10+[3]фев!D10+[3]янв!D10</f>
        <v>0</v>
      </c>
      <c r="E133" s="61">
        <f>[3]март!E10+[3]фев!E10+[3]янв!E10</f>
        <v>0</v>
      </c>
      <c r="F133" s="61">
        <f>[3]март!F10+[3]фев!F10+[3]янв!F10</f>
        <v>0</v>
      </c>
      <c r="G133" s="61">
        <f>[3]март!G10+[3]фев!G10+[3]янв!G10</f>
        <v>0</v>
      </c>
      <c r="H133" s="61"/>
      <c r="I133" s="61">
        <f>[3]март!J10+[3]фев!J10+[3]янв!J10</f>
        <v>0</v>
      </c>
      <c r="J133" s="61">
        <f>[3]март!K10+[3]фев!K10+[3]янв!K10</f>
        <v>0</v>
      </c>
      <c r="K133" s="61">
        <f>[3]март!L10+[3]фев!L10+[3]янв!L10</f>
        <v>0</v>
      </c>
      <c r="L133" s="61">
        <f>[3]март!M10+[3]фев!M10+[3]янв!M10</f>
        <v>0</v>
      </c>
      <c r="M133" s="61">
        <f>[3]март!N10+[3]фев!N10+[3]янв!N10</f>
        <v>0</v>
      </c>
      <c r="N133" s="61">
        <f>[3]март!O10+[3]фев!O10+[3]янв!O10</f>
        <v>0</v>
      </c>
      <c r="O133" s="61">
        <f>[3]март!P10+[3]фев!P10+[3]янв!P10</f>
        <v>0</v>
      </c>
      <c r="P133" s="61"/>
      <c r="Q133" s="61">
        <f>[3]март!Q10+[3]фев!Q10+[3]янв!Q10</f>
        <v>0</v>
      </c>
      <c r="R133" s="61">
        <f>[3]март!R10+[3]фев!R10+[3]янв!R10</f>
        <v>0</v>
      </c>
      <c r="S133" s="59">
        <f t="shared" si="21"/>
        <v>0</v>
      </c>
    </row>
    <row r="134" spans="1:19">
      <c r="A134" s="60" t="s">
        <v>106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107</v>
      </c>
      <c r="B135" s="3">
        <v>221</v>
      </c>
      <c r="C135" s="3">
        <f t="shared" si="18"/>
        <v>49095.47</v>
      </c>
      <c r="D135" s="61">
        <f>[3]янв!D12+[3]март!D12</f>
        <v>49095.47</v>
      </c>
      <c r="E135" s="61">
        <f>[3]март!E12+[3]фев!E12+[3]янв!E12</f>
        <v>0</v>
      </c>
      <c r="F135" s="61">
        <f>[3]март!F12+[3]фев!F12+[3]янв!F12</f>
        <v>0</v>
      </c>
      <c r="G135" s="61">
        <f>[3]март!G12+[3]фев!G12+[3]янв!G12</f>
        <v>42124.3</v>
      </c>
      <c r="H135" s="61">
        <f>[3]март!H12+[3]фев!H12+[3]янв!H12</f>
        <v>0</v>
      </c>
      <c r="I135" s="61">
        <f>[3]март!J12+[3]фев!J12+[3]янв!J12</f>
        <v>0</v>
      </c>
      <c r="J135" s="61">
        <f>[3]март!K12+[3]фев!K12+[3]янв!K12</f>
        <v>7149.97</v>
      </c>
      <c r="K135" s="61">
        <f>[3]март!L12+[3]фев!L12+[3]янв!L12</f>
        <v>0</v>
      </c>
      <c r="L135" s="61">
        <f>[3]март!M12+[3]фев!M12+[3]янв!M12</f>
        <v>38459.64</v>
      </c>
      <c r="M135" s="61">
        <f>[3]март!N12+[3]фев!N12+[3]янв!N12</f>
        <v>2780</v>
      </c>
      <c r="N135" s="61">
        <f>[3]март!O12+[3]фев!O12+[3]янв!O12</f>
        <v>41239.64</v>
      </c>
      <c r="O135" s="61">
        <f>[3]март!P12+[3]фев!P12+[3]янв!P12</f>
        <v>0</v>
      </c>
      <c r="P135" s="61"/>
      <c r="Q135" s="61">
        <f>[3]март!Q12+[3]фев!Q12+[3]янв!Q12</f>
        <v>0</v>
      </c>
      <c r="R135" s="61">
        <f>[3]март!R12+[3]фев!R12+[3]янв!R12</f>
        <v>14131.37</v>
      </c>
      <c r="S135" s="59">
        <f>C135+F135+G135+I135+J135+K135+N135+O135++R135+Q135+H135</f>
        <v>153740.75</v>
      </c>
    </row>
    <row r="136" spans="1:19">
      <c r="A136" s="47" t="s">
        <v>390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[3]фев!M13+[3]янв!M13</f>
        <v>0</v>
      </c>
      <c r="M136" s="61">
        <f>[3]фев!N13+[3]янв!N13</f>
        <v>0</v>
      </c>
      <c r="N136" s="61">
        <f>[3]фев!O13+[3]янв!O13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108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109</v>
      </c>
      <c r="B138" s="3">
        <v>222</v>
      </c>
      <c r="C138" s="3">
        <f t="shared" si="18"/>
        <v>0</v>
      </c>
      <c r="D138" s="61">
        <f>[3]март!D14+[3]фев!D15+[3]янв!D15</f>
        <v>0</v>
      </c>
      <c r="E138" s="61">
        <f>[3]март!E14+[3]фев!E15+[3]янв!E15</f>
        <v>0</v>
      </c>
      <c r="F138" s="61">
        <f>[3]март!F14+[3]фев!F15+[3]янв!F15</f>
        <v>0</v>
      </c>
      <c r="G138" s="61">
        <f>[3]март!G14+[3]фев!G15+[3]янв!G15</f>
        <v>0</v>
      </c>
      <c r="H138" s="61"/>
      <c r="I138" s="61">
        <f>[3]март!J14+[3]фев!J15+[3]янв!J15</f>
        <v>0</v>
      </c>
      <c r="J138" s="61">
        <f>[3]март!K14+[3]фев!K15+[3]янв!K15</f>
        <v>0</v>
      </c>
      <c r="K138" s="61">
        <f>[3]март!L14+[3]фев!L15+[3]янв!L15</f>
        <v>0</v>
      </c>
      <c r="L138" s="61">
        <f>[3]март!M14+[3]фев!M15+[3]янв!M15</f>
        <v>10000</v>
      </c>
      <c r="M138" s="61">
        <f>[3]март!N14+[3]фев!N15+[3]янв!N15</f>
        <v>0</v>
      </c>
      <c r="N138" s="61">
        <f>[3]март!O14+[3]фев!O15+[3]янв!O15</f>
        <v>10000</v>
      </c>
      <c r="O138" s="61">
        <f>[3]март!P14+[3]фев!P15+[3]янв!P15</f>
        <v>0</v>
      </c>
      <c r="P138" s="61"/>
      <c r="Q138" s="61">
        <f>[3]март!Q14+[3]фев!Q15+[3]янв!Q15</f>
        <v>0</v>
      </c>
      <c r="R138" s="61">
        <f>[3]март!R14+[3]фев!R15+[3]янв!R15</f>
        <v>0</v>
      </c>
      <c r="S138" s="56">
        <f t="shared" si="21"/>
        <v>10000</v>
      </c>
    </row>
    <row r="139" spans="1:19">
      <c r="A139" s="42" t="s">
        <v>110</v>
      </c>
      <c r="B139" s="3">
        <v>222</v>
      </c>
      <c r="C139" s="3">
        <f t="shared" si="18"/>
        <v>0</v>
      </c>
      <c r="D139" s="61">
        <f>[3]март!D15+[3]фев!D16+[3]янв!D16</f>
        <v>0</v>
      </c>
      <c r="E139" s="61">
        <f>[3]март!E15+[3]фев!E16+[3]янв!E16</f>
        <v>0</v>
      </c>
      <c r="F139" s="61">
        <f>[3]март!F15+[3]фев!F16+[3]янв!F16</f>
        <v>0</v>
      </c>
      <c r="G139" s="61">
        <f>[3]март!G15+[3]фев!G16+[3]янв!G16</f>
        <v>0</v>
      </c>
      <c r="H139" s="61"/>
      <c r="I139" s="61">
        <f>[3]март!J15+[3]фев!J16+[3]янв!J16</f>
        <v>0</v>
      </c>
      <c r="J139" s="61">
        <f>[3]март!K15+[3]фев!K16+[3]янв!K16</f>
        <v>0</v>
      </c>
      <c r="K139" s="61">
        <f>[3]март!L15+[3]фев!L16+[3]янв!L16</f>
        <v>0</v>
      </c>
      <c r="L139" s="61">
        <f>[3]март!M15+[3]фев!M16+[3]янв!M16</f>
        <v>900</v>
      </c>
      <c r="M139" s="61">
        <f>[3]март!N15+[3]фев!N16+[3]янв!N16</f>
        <v>0</v>
      </c>
      <c r="N139" s="61">
        <f>[3]март!O15+[3]фев!O16+[3]янв!O16</f>
        <v>900</v>
      </c>
      <c r="O139" s="61">
        <f>[3]март!P15+[3]фев!P16+[3]янв!P16</f>
        <v>0</v>
      </c>
      <c r="P139" s="61"/>
      <c r="Q139" s="61">
        <f>[3]март!Q15+[3]фев!Q16+[3]янв!Q16</f>
        <v>0</v>
      </c>
      <c r="R139" s="61">
        <f>[3]март!R15+[3]фев!R16+[3]янв!R16</f>
        <v>0</v>
      </c>
      <c r="S139" s="56">
        <f t="shared" si="21"/>
        <v>900</v>
      </c>
    </row>
    <row r="140" spans="1:19">
      <c r="A140" s="60" t="s">
        <v>111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112</v>
      </c>
      <c r="B141" s="3">
        <v>223</v>
      </c>
      <c r="C141" s="3">
        <f t="shared" si="18"/>
        <v>141479</v>
      </c>
      <c r="D141" s="61">
        <f>[3]март!D17+[3]фев!D18+[3]янв!D18</f>
        <v>141479</v>
      </c>
      <c r="E141" s="61">
        <f>[3]март!E17+[3]фев!E18+[3]янв!E18</f>
        <v>0</v>
      </c>
      <c r="F141" s="61">
        <f>[3]март!F17+[3]фев!F18+[3]янв!F18</f>
        <v>0</v>
      </c>
      <c r="G141" s="61">
        <f>[3]март!G17+[3]фев!G18+[3]янв!G18</f>
        <v>0</v>
      </c>
      <c r="H141" s="61"/>
      <c r="I141" s="61">
        <f>[3]март!J17+[3]фев!J18+[3]янв!J18</f>
        <v>0</v>
      </c>
      <c r="J141" s="61">
        <f>[3]март!K17+[3]фев!K18+[3]янв!K18</f>
        <v>0</v>
      </c>
      <c r="K141" s="61">
        <f>[3]март!L17+[3]фев!L18+[3]янв!L18</f>
        <v>0</v>
      </c>
      <c r="L141" s="61">
        <f>[3]март!M17+[3]фев!M18+[3]янв!M18</f>
        <v>270000</v>
      </c>
      <c r="M141" s="61">
        <f>[3]март!N17+[3]фев!N18+[3]янв!N18</f>
        <v>0</v>
      </c>
      <c r="N141" s="61">
        <f>[3]март!O17+[3]фев!O18+[3]янв!O18</f>
        <v>270000</v>
      </c>
      <c r="O141" s="61">
        <f>[3]март!P17+[3]фев!P18+[3]янв!P18</f>
        <v>752532.31</v>
      </c>
      <c r="P141" s="61"/>
      <c r="Q141" s="61">
        <f>[3]март!Q17+[3]фев!Q18+[3]янв!Q18</f>
        <v>0</v>
      </c>
      <c r="R141" s="61">
        <f>[3]март!R17+[3]фев!R18+[3]янв!R18</f>
        <v>0</v>
      </c>
      <c r="S141" s="56">
        <f t="shared" si="21"/>
        <v>1164011.31</v>
      </c>
    </row>
    <row r="142" spans="1:19">
      <c r="A142" s="42" t="s">
        <v>113</v>
      </c>
      <c r="B142" s="3">
        <v>223</v>
      </c>
      <c r="C142" s="3">
        <f t="shared" si="18"/>
        <v>158624</v>
      </c>
      <c r="D142" s="61">
        <f>[3]март!D18+[3]фев!D19+[3]янв!D19</f>
        <v>158624</v>
      </c>
      <c r="E142" s="61">
        <f>[3]март!E18+[3]фев!E19+[3]янв!E19</f>
        <v>0</v>
      </c>
      <c r="F142" s="61">
        <f>[3]март!F18+[3]фев!F19+[3]янв!F19</f>
        <v>0</v>
      </c>
      <c r="G142" s="61">
        <f>[3]март!G18+[3]фев!G19+[3]янв!G19</f>
        <v>0</v>
      </c>
      <c r="H142" s="61"/>
      <c r="I142" s="61">
        <f>[3]март!J18+[3]фев!J19+[3]янв!J19</f>
        <v>0</v>
      </c>
      <c r="J142" s="61">
        <f>[3]март!K18+[3]фев!K19+[3]янв!K19</f>
        <v>0</v>
      </c>
      <c r="K142" s="61">
        <f>[3]март!L18+[3]фев!L19+[3]янв!L19</f>
        <v>0</v>
      </c>
      <c r="L142" s="61">
        <f>[3]март!M18+[3]фев!M19+[3]янв!M19</f>
        <v>1124886</v>
      </c>
      <c r="M142" s="61">
        <f>[3]март!N18+[3]фев!N19+[3]янв!N19</f>
        <v>0</v>
      </c>
      <c r="N142" s="61">
        <f>[3]март!O18+[3]фев!O19+[3]янв!O19</f>
        <v>1124886</v>
      </c>
      <c r="O142" s="61">
        <f>[3]март!P18+[3]фев!P19+[3]янв!P19</f>
        <v>96107</v>
      </c>
      <c r="P142" s="61"/>
      <c r="Q142" s="61">
        <f>[3]март!Q18+[3]фев!Q19+[3]янв!Q19</f>
        <v>0</v>
      </c>
      <c r="R142" s="61">
        <f>[3]март!R18+[3]фев!R19+[3]янв!R19</f>
        <v>0</v>
      </c>
      <c r="S142" s="56">
        <f t="shared" si="21"/>
        <v>1379617</v>
      </c>
    </row>
    <row r="143" spans="1:19">
      <c r="A143" s="14" t="s">
        <v>114</v>
      </c>
      <c r="B143" s="3">
        <v>223</v>
      </c>
      <c r="C143" s="3">
        <f t="shared" si="18"/>
        <v>12479.2</v>
      </c>
      <c r="D143" s="61">
        <f>[3]март!D19+[3]фев!D20+[3]янв!D20</f>
        <v>12479.2</v>
      </c>
      <c r="E143" s="61">
        <f>[3]март!E19+[3]фев!E20+[3]янв!E20</f>
        <v>0</v>
      </c>
      <c r="F143" s="61">
        <f>[3]март!F19+[3]фев!F20+[3]янв!F20</f>
        <v>0</v>
      </c>
      <c r="G143" s="61">
        <f>[3]март!G19+[3]фев!G20+[3]янв!G20</f>
        <v>0</v>
      </c>
      <c r="H143" s="61"/>
      <c r="I143" s="61">
        <f>[3]март!J19+[3]фев!J20+[3]янв!J20</f>
        <v>0</v>
      </c>
      <c r="J143" s="61">
        <f>[3]март!K19+[3]фев!K20+[3]янв!K20</f>
        <v>0</v>
      </c>
      <c r="K143" s="61">
        <f>[3]март!L19+[3]фев!L20+[3]янв!L20</f>
        <v>0</v>
      </c>
      <c r="L143" s="61">
        <f>[3]март!M19+[3]фев!M20+[3]янв!M20</f>
        <v>371222.32</v>
      </c>
      <c r="M143" s="61">
        <f>[3]март!N19+[3]фев!N20+[3]янв!N20</f>
        <v>0</v>
      </c>
      <c r="N143" s="61">
        <f>[3]март!O19+[3]фев!O20+[3]янв!O20</f>
        <v>371222.32</v>
      </c>
      <c r="O143" s="61">
        <f>[3]март!P19+[3]фев!P20+[3]янв!P20</f>
        <v>22213.39</v>
      </c>
      <c r="P143" s="61"/>
      <c r="Q143" s="61">
        <f>[3]март!Q19+[3]фев!Q20+[3]янв!Q20</f>
        <v>0</v>
      </c>
      <c r="R143" s="61">
        <f>[3]март!R19+[3]фев!R20+[3]янв!R20</f>
        <v>0</v>
      </c>
      <c r="S143" s="56">
        <f t="shared" si="21"/>
        <v>405914.91000000003</v>
      </c>
    </row>
    <row r="144" spans="1:19">
      <c r="A144" s="44" t="s">
        <v>168</v>
      </c>
      <c r="B144" s="3">
        <v>224</v>
      </c>
      <c r="C144" s="3">
        <f t="shared" si="18"/>
        <v>0</v>
      </c>
      <c r="D144" s="61">
        <f>[3]март!D20+[3]фев!D21+[3]янв!D21</f>
        <v>0</v>
      </c>
      <c r="E144" s="61">
        <f>[3]март!E20+[3]фев!E21+[3]янв!E21</f>
        <v>0</v>
      </c>
      <c r="F144" s="61">
        <f>[3]март!F20+[3]фев!F21+[3]янв!F21</f>
        <v>0</v>
      </c>
      <c r="G144" s="61">
        <f>[3]март!G20+[3]фев!G21+[3]янв!G21</f>
        <v>0</v>
      </c>
      <c r="H144" s="61"/>
      <c r="I144" s="61">
        <f>[3]март!J20+[3]фев!J21+[3]янв!J21</f>
        <v>0</v>
      </c>
      <c r="J144" s="61">
        <f>[3]март!K20+[3]фев!K21+[3]янв!K21</f>
        <v>0</v>
      </c>
      <c r="K144" s="61">
        <f>[3]март!L20+[3]фев!L21+[3]янв!L21</f>
        <v>0</v>
      </c>
      <c r="L144" s="61">
        <f>[3]март!M20+[3]фев!M21+[3]янв!M21</f>
        <v>0</v>
      </c>
      <c r="M144" s="61">
        <f>[3]март!N20+[3]фев!N21+[3]янв!N21</f>
        <v>0</v>
      </c>
      <c r="N144" s="61">
        <f>[3]март!O20+[3]фев!O21+[3]янв!O21</f>
        <v>0</v>
      </c>
      <c r="O144" s="61">
        <f>[3]март!P20+[3]фев!P21+[3]янв!P21</f>
        <v>0</v>
      </c>
      <c r="P144" s="61"/>
      <c r="Q144" s="61">
        <f>[3]март!Q20+[3]фев!Q21+[3]янв!Q21</f>
        <v>0</v>
      </c>
      <c r="R144" s="61">
        <f>[3]март!R20+[3]фев!R21+[3]янв!R21</f>
        <v>0</v>
      </c>
      <c r="S144" s="59">
        <f t="shared" si="21"/>
        <v>0</v>
      </c>
    </row>
    <row r="145" spans="1:19">
      <c r="A145" s="62" t="s">
        <v>115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116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56">
        <f t="shared" si="21"/>
        <v>0</v>
      </c>
    </row>
    <row r="147" spans="1:19">
      <c r="A147" s="44" t="s">
        <v>117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56">
        <f t="shared" si="21"/>
        <v>146922.86000000002</v>
      </c>
    </row>
    <row r="148" spans="1:19">
      <c r="A148" s="49" t="s">
        <v>275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56">
        <f t="shared" si="21"/>
        <v>400</v>
      </c>
    </row>
    <row r="149" spans="1:19">
      <c r="A149" s="49" t="s">
        <v>290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56">
        <f t="shared" si="21"/>
        <v>0</v>
      </c>
    </row>
    <row r="150" spans="1:19">
      <c r="A150" s="50" t="s">
        <v>172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275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56">
        <f t="shared" si="21"/>
        <v>4300</v>
      </c>
    </row>
    <row r="152" spans="1:19" ht="15">
      <c r="A152" s="51" t="s">
        <v>391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56">
        <f t="shared" si="21"/>
        <v>1300</v>
      </c>
    </row>
    <row r="153" spans="1:19">
      <c r="A153" s="42" t="s">
        <v>276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56">
        <f>C153+F153+G153+I153+J153+K153+N153+O153++R153+Q153+H153</f>
        <v>0</v>
      </c>
    </row>
    <row r="154" spans="1:19">
      <c r="A154" s="49" t="s">
        <v>392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229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56">
        <f>C155+F155+G155+I155+J155+K155+N155+O155++R155+Q155+H155</f>
        <v>6350</v>
      </c>
    </row>
    <row r="156" spans="1:19">
      <c r="A156" s="60" t="s">
        <v>118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119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56">
        <f t="shared" si="21"/>
        <v>8084</v>
      </c>
    </row>
    <row r="158" spans="1:19">
      <c r="A158" s="42" t="s">
        <v>169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56">
        <f t="shared" si="21"/>
        <v>54529</v>
      </c>
    </row>
    <row r="159" spans="1:19">
      <c r="A159" s="42" t="s">
        <v>277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56">
        <f t="shared" si="21"/>
        <v>0</v>
      </c>
    </row>
    <row r="160" spans="1:19">
      <c r="A160" s="42" t="s">
        <v>278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56">
        <f t="shared" si="21"/>
        <v>0</v>
      </c>
    </row>
    <row r="161" spans="1:19">
      <c r="A161" s="42" t="s">
        <v>120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56">
        <f t="shared" si="21"/>
        <v>0</v>
      </c>
    </row>
    <row r="162" spans="1:19">
      <c r="A162" s="42" t="s">
        <v>121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56">
        <f t="shared" si="21"/>
        <v>0</v>
      </c>
    </row>
    <row r="163" spans="1:19">
      <c r="A163" s="42" t="s">
        <v>230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56">
        <f t="shared" si="21"/>
        <v>16030</v>
      </c>
    </row>
    <row r="164" spans="1:19">
      <c r="A164" s="47" t="s">
        <v>291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56">
        <f t="shared" si="21"/>
        <v>0</v>
      </c>
    </row>
    <row r="165" spans="1:19">
      <c r="A165" s="47" t="s">
        <v>412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56">
        <f t="shared" si="21"/>
        <v>85400</v>
      </c>
    </row>
    <row r="166" spans="1:19">
      <c r="A166" s="42" t="s">
        <v>123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56">
        <f>C166+F166+G166+I166+J166+K166+N166+O166++R166+Q166+H166</f>
        <v>259040</v>
      </c>
    </row>
    <row r="167" spans="1:19">
      <c r="A167" s="42" t="s">
        <v>413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56">
        <f t="shared" si="21"/>
        <v>7000</v>
      </c>
    </row>
    <row r="168" spans="1:19">
      <c r="A168" s="42" t="s">
        <v>122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3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56">
        <f t="shared" si="21"/>
        <v>10653.82</v>
      </c>
    </row>
    <row r="169" spans="1:19">
      <c r="A169" s="47" t="s">
        <v>393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56">
        <f t="shared" si="21"/>
        <v>0</v>
      </c>
    </row>
    <row r="170" spans="1:19">
      <c r="A170" s="42" t="s">
        <v>394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56">
        <f t="shared" si="21"/>
        <v>26902.07</v>
      </c>
    </row>
    <row r="171" spans="1:19">
      <c r="A171" s="47" t="s">
        <v>292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56">
        <f t="shared" si="21"/>
        <v>0</v>
      </c>
    </row>
    <row r="172" spans="1:19">
      <c r="A172" s="42" t="s">
        <v>124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56">
        <f t="shared" si="21"/>
        <v>308012.70000000007</v>
      </c>
    </row>
    <row r="173" spans="1:19">
      <c r="A173" s="42" t="s">
        <v>279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56">
        <f t="shared" si="21"/>
        <v>0</v>
      </c>
    </row>
    <row r="174" spans="1:19">
      <c r="A174" s="42" t="s">
        <v>280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56">
        <f t="shared" si="21"/>
        <v>0</v>
      </c>
    </row>
    <row r="175" spans="1:19">
      <c r="A175" s="42" t="s">
        <v>170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56">
        <f t="shared" si="21"/>
        <v>0</v>
      </c>
    </row>
    <row r="176" spans="1:19">
      <c r="A176" s="42" t="s">
        <v>231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56">
        <f t="shared" si="21"/>
        <v>0</v>
      </c>
    </row>
    <row r="177" spans="1:19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172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56">
        <f t="shared" si="21"/>
        <v>0</v>
      </c>
    </row>
    <row r="180" spans="1:19">
      <c r="A180" s="42" t="s">
        <v>126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395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56">
        <f t="shared" si="21"/>
        <v>0</v>
      </c>
    </row>
    <row r="182" spans="1:19">
      <c r="A182" s="42" t="s">
        <v>173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56">
        <f t="shared" si="21"/>
        <v>0</v>
      </c>
    </row>
    <row r="183" spans="1:19">
      <c r="A183" s="42" t="s">
        <v>232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56">
        <f t="shared" si="21"/>
        <v>0</v>
      </c>
    </row>
    <row r="184" spans="1:19">
      <c r="A184" s="47" t="s">
        <v>396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56">
        <f t="shared" si="21"/>
        <v>79000</v>
      </c>
    </row>
    <row r="185" spans="1:19">
      <c r="A185" s="47" t="s">
        <v>293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56">
        <f t="shared" si="21"/>
        <v>0</v>
      </c>
    </row>
    <row r="186" spans="1:19">
      <c r="A186" s="42" t="s">
        <v>233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56">
        <f t="shared" si="21"/>
        <v>0</v>
      </c>
    </row>
    <row r="187" spans="1:19">
      <c r="A187" s="42" t="s">
        <v>281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56">
        <f t="shared" si="21"/>
        <v>138580</v>
      </c>
    </row>
    <row r="188" spans="1:19">
      <c r="A188" s="42" t="s">
        <v>234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56">
        <f t="shared" si="21"/>
        <v>0</v>
      </c>
    </row>
    <row r="189" spans="1:19">
      <c r="A189" s="14" t="s">
        <v>251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56">
        <f t="shared" si="21"/>
        <v>0</v>
      </c>
    </row>
    <row r="190" spans="1:19">
      <c r="A190" s="42" t="s">
        <v>235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56">
        <f t="shared" si="21"/>
        <v>0</v>
      </c>
    </row>
    <row r="191" spans="1:19">
      <c r="A191" s="52" t="s">
        <v>294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56">
        <f t="shared" si="21"/>
        <v>0</v>
      </c>
    </row>
    <row r="193" spans="1:19">
      <c r="A193" s="60" t="s">
        <v>127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128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129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56">
        <f t="shared" si="27"/>
        <v>150627</v>
      </c>
    </row>
    <row r="197" spans="1:19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414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134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59">
        <f t="shared" si="27"/>
        <v>0</v>
      </c>
    </row>
    <row r="203" spans="1:19">
      <c r="A203" s="7" t="s">
        <v>282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56">
        <f t="shared" si="27"/>
        <v>0</v>
      </c>
    </row>
    <row r="204" spans="1:19">
      <c r="A204" s="44" t="s">
        <v>283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56">
        <f t="shared" si="27"/>
        <v>0</v>
      </c>
    </row>
    <row r="205" spans="1:19">
      <c r="A205" s="44" t="s">
        <v>135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136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56">
        <f t="shared" si="27"/>
        <v>149526</v>
      </c>
    </row>
    <row r="208" spans="1:19">
      <c r="A208" s="42" t="s">
        <v>137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56">
        <f t="shared" si="27"/>
        <v>8500</v>
      </c>
    </row>
    <row r="209" spans="1:19">
      <c r="A209" s="42" t="s">
        <v>138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56">
        <f t="shared" si="27"/>
        <v>32000</v>
      </c>
    </row>
    <row r="210" spans="1:19">
      <c r="A210" s="42" t="s">
        <v>284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56">
        <f t="shared" si="27"/>
        <v>400</v>
      </c>
    </row>
    <row r="211" spans="1:19">
      <c r="A211" s="42" t="s">
        <v>252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56">
        <f t="shared" si="27"/>
        <v>0</v>
      </c>
    </row>
    <row r="212" spans="1:19">
      <c r="A212" s="42" t="s">
        <v>236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56">
        <f t="shared" si="27"/>
        <v>0</v>
      </c>
    </row>
    <row r="213" spans="1:19">
      <c r="A213" s="42" t="s">
        <v>240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56">
        <f t="shared" si="27"/>
        <v>0</v>
      </c>
    </row>
    <row r="214" spans="1:19">
      <c r="A214" s="42" t="s">
        <v>253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56">
        <f t="shared" si="27"/>
        <v>0</v>
      </c>
    </row>
    <row r="215" spans="1:19">
      <c r="A215" s="42" t="s">
        <v>139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56">
        <f t="shared" si="27"/>
        <v>0</v>
      </c>
    </row>
    <row r="216" spans="1:19">
      <c r="A216" s="42" t="s">
        <v>140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56">
        <f t="shared" si="27"/>
        <v>103500</v>
      </c>
    </row>
    <row r="217" spans="1:19">
      <c r="A217" s="42" t="s">
        <v>415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56">
        <f>C217+F217+G217+I217+J217+K217+N217+O217++R217+Q217</f>
        <v>196000</v>
      </c>
    </row>
    <row r="218" spans="1:19">
      <c r="A218" s="53" t="s">
        <v>295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56">
        <f t="shared" si="27"/>
        <v>0</v>
      </c>
    </row>
    <row r="219" spans="1:19">
      <c r="A219" s="41" t="s">
        <v>296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56">
        <f t="shared" si="27"/>
        <v>94015</v>
      </c>
    </row>
    <row r="220" spans="1:19">
      <c r="A220" s="41" t="s">
        <v>237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56">
        <f>C220+F220+G220+I220+J220+K220+N220+O220++R220+Q220+H220</f>
        <v>0</v>
      </c>
    </row>
    <row r="221" spans="1:19">
      <c r="A221" s="42" t="s">
        <v>175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56">
        <f>C221+F221+G221+I221+J221+K221+N221+O221++R221+Q221</f>
        <v>100100</v>
      </c>
    </row>
    <row r="222" spans="1:19">
      <c r="A222" s="53" t="s">
        <v>397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59">
        <f>C222+F222+G222+I222+J222+K222+N222+O222++R222+Q222</f>
        <v>15000</v>
      </c>
    </row>
    <row r="223" spans="1:19">
      <c r="A223" s="60" t="s">
        <v>141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142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143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56">
        <f t="shared" si="31"/>
        <v>300000</v>
      </c>
    </row>
    <row r="226" spans="1:19">
      <c r="A226" s="42" t="s">
        <v>144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56">
        <f t="shared" si="31"/>
        <v>36500</v>
      </c>
    </row>
    <row r="227" spans="1:19">
      <c r="A227" s="42" t="s">
        <v>145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56">
        <f t="shared" si="31"/>
        <v>133600</v>
      </c>
    </row>
    <row r="228" spans="1:19">
      <c r="A228" s="42" t="s">
        <v>297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56">
        <f t="shared" si="31"/>
        <v>12000</v>
      </c>
    </row>
    <row r="229" spans="1:19">
      <c r="A229" s="42" t="s">
        <v>146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56">
        <f t="shared" si="31"/>
        <v>46385</v>
      </c>
    </row>
    <row r="230" spans="1:19">
      <c r="A230" s="42" t="s">
        <v>285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147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56">
        <f t="shared" si="33"/>
        <v>52325</v>
      </c>
    </row>
    <row r="232" spans="1:19">
      <c r="A232" s="42" t="s">
        <v>148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56">
        <f t="shared" si="33"/>
        <v>36300</v>
      </c>
    </row>
    <row r="233" spans="1:19">
      <c r="A233" s="42" t="s">
        <v>175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56">
        <f t="shared" si="33"/>
        <v>0</v>
      </c>
    </row>
    <row r="234" spans="1:19">
      <c r="A234" s="47" t="s">
        <v>398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56">
        <f t="shared" si="33"/>
        <v>0</v>
      </c>
    </row>
    <row r="235" spans="1:19">
      <c r="A235" s="47" t="s">
        <v>298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56">
        <f t="shared" si="33"/>
        <v>0</v>
      </c>
    </row>
    <row r="236" spans="1:19">
      <c r="A236" s="42" t="s">
        <v>149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56">
        <f t="shared" si="33"/>
        <v>107500</v>
      </c>
    </row>
    <row r="237" spans="1:19">
      <c r="A237" s="42" t="s">
        <v>176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59">
        <f t="shared" si="33"/>
        <v>0</v>
      </c>
    </row>
    <row r="238" spans="1:19">
      <c r="A238" s="42" t="s">
        <v>150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59">
        <f t="shared" si="33"/>
        <v>0</v>
      </c>
    </row>
    <row r="239" spans="1:19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152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46"/>
      <c r="L244" s="19"/>
      <c r="O244" s="863" t="s">
        <v>286</v>
      </c>
      <c r="P244" s="864"/>
      <c r="Q244" s="864"/>
      <c r="R244" s="865"/>
      <c r="S244" s="12">
        <f>S240</f>
        <v>7587339.1399999997</v>
      </c>
    </row>
    <row r="245" spans="1:19" ht="13.5" thickBot="1">
      <c r="A245" s="11"/>
      <c r="O245" s="863" t="s">
        <v>416</v>
      </c>
      <c r="P245" s="864"/>
      <c r="Q245" s="864"/>
      <c r="R245" s="865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767" t="s">
        <v>636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6" ht="15" customHeight="1">
      <c r="A2" s="767" t="s">
        <v>422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6" ht="15" customHeight="1">
      <c r="A3" s="767" t="s">
        <v>763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6" ht="14.25" customHeight="1" thickBot="1">
      <c r="A4" s="72"/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9" t="s">
        <v>423</v>
      </c>
      <c r="N4" s="769"/>
    </row>
    <row r="5" spans="1:16" ht="15.75" customHeight="1">
      <c r="A5" s="761" t="s">
        <v>625</v>
      </c>
      <c r="B5" s="754" t="s">
        <v>714</v>
      </c>
      <c r="C5" s="754" t="s">
        <v>626</v>
      </c>
      <c r="D5" s="764" t="s">
        <v>715</v>
      </c>
      <c r="E5" s="764"/>
      <c r="F5" s="764"/>
      <c r="G5" s="764"/>
      <c r="H5" s="765" t="s">
        <v>627</v>
      </c>
      <c r="I5" s="754" t="s">
        <v>717</v>
      </c>
      <c r="J5" s="754" t="s">
        <v>718</v>
      </c>
      <c r="K5" s="754"/>
      <c r="L5" s="754"/>
      <c r="M5" s="754"/>
      <c r="N5" s="876" t="s">
        <v>455</v>
      </c>
      <c r="O5" s="880" t="s">
        <v>456</v>
      </c>
      <c r="P5" s="878" t="s">
        <v>650</v>
      </c>
    </row>
    <row r="6" spans="1:16" ht="55.5" customHeight="1">
      <c r="A6" s="762"/>
      <c r="B6" s="763"/>
      <c r="C6" s="763"/>
      <c r="D6" s="323" t="s">
        <v>424</v>
      </c>
      <c r="E6" s="239" t="s">
        <v>425</v>
      </c>
      <c r="F6" s="239" t="s">
        <v>606</v>
      </c>
      <c r="G6" s="323" t="s">
        <v>605</v>
      </c>
      <c r="H6" s="766"/>
      <c r="I6" s="763"/>
      <c r="J6" s="323" t="s">
        <v>424</v>
      </c>
      <c r="K6" s="239" t="s">
        <v>299</v>
      </c>
      <c r="L6" s="239" t="s">
        <v>628</v>
      </c>
      <c r="M6" s="323" t="s">
        <v>629</v>
      </c>
      <c r="N6" s="877"/>
      <c r="O6" s="881"/>
      <c r="P6" s="879"/>
    </row>
    <row r="7" spans="1:16" ht="15">
      <c r="A7" s="73" t="s">
        <v>426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9" t="s">
        <v>427</v>
      </c>
      <c r="B8" s="280">
        <f>SUM(B9+B11+B12+B16+B21)</f>
        <v>21038.957719999999</v>
      </c>
      <c r="C8" s="280">
        <f>SUM(C9+C11+C12+C16+C21)</f>
        <v>32923</v>
      </c>
      <c r="D8" s="280">
        <f t="shared" ref="D8:J8" si="0">SUM(D9+D11+D12+D16+D21)</f>
        <v>21044</v>
      </c>
      <c r="E8" s="324">
        <f t="shared" si="0"/>
        <v>21835.960769999998</v>
      </c>
      <c r="F8" s="280">
        <f t="shared" si="0"/>
        <v>791.96076999999855</v>
      </c>
      <c r="G8" s="280">
        <f t="shared" si="0"/>
        <v>505.08415152017653</v>
      </c>
      <c r="H8" s="280">
        <f t="shared" si="0"/>
        <v>4.8370748175302598</v>
      </c>
      <c r="I8" s="280">
        <f t="shared" si="0"/>
        <v>1880.6383699999997</v>
      </c>
      <c r="J8" s="280">
        <f t="shared" si="0"/>
        <v>1957</v>
      </c>
      <c r="K8" s="280">
        <f>SUM(K9+K11+K12+K16+K21)</f>
        <v>2159.9407699999997</v>
      </c>
      <c r="L8" s="280">
        <f t="shared" ref="L8:L38" si="1">+K8-J8</f>
        <v>202.9407699999997</v>
      </c>
      <c r="M8" s="280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428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5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429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7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430</v>
      </c>
      <c r="B11" s="86">
        <f>698.64476+2.13661+0.0679+5.63087+100.845</f>
        <v>807.32514000000003</v>
      </c>
      <c r="C11" s="79">
        <v>1253</v>
      </c>
      <c r="D11" s="80">
        <v>940</v>
      </c>
      <c r="E11" s="326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431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5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432</v>
      </c>
      <c r="B13" s="85">
        <f>538.25+10+6.62</f>
        <v>554.87</v>
      </c>
      <c r="C13" s="83">
        <v>680</v>
      </c>
      <c r="D13" s="84">
        <v>460</v>
      </c>
      <c r="E13" s="287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433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7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247</v>
      </c>
      <c r="B15" s="85">
        <f>18.917+1</f>
        <v>19.917000000000002</v>
      </c>
      <c r="C15" s="83">
        <v>22</v>
      </c>
      <c r="D15" s="84">
        <v>1</v>
      </c>
      <c r="E15" s="287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434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5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7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7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630</v>
      </c>
      <c r="B18" s="80">
        <f>B19+B20</f>
        <v>961.8</v>
      </c>
      <c r="C18" s="80">
        <f>C19+C20</f>
        <v>1690</v>
      </c>
      <c r="D18" s="80">
        <f>D19+D20</f>
        <v>983</v>
      </c>
      <c r="E18" s="325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631</v>
      </c>
      <c r="B19" s="85">
        <v>365.32</v>
      </c>
      <c r="C19" s="83">
        <v>850</v>
      </c>
      <c r="D19" s="84">
        <v>360</v>
      </c>
      <c r="E19" s="288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8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632</v>
      </c>
      <c r="B20" s="84">
        <v>596.48</v>
      </c>
      <c r="C20" s="83">
        <v>840</v>
      </c>
      <c r="D20" s="84">
        <v>623</v>
      </c>
      <c r="E20" s="288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435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6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2" t="s">
        <v>26</v>
      </c>
      <c r="B22" s="280">
        <f>SUM(B23+B26+B28+B31+B34+B35+B37)</f>
        <v>3479.8981699999995</v>
      </c>
      <c r="C22" s="280">
        <f>SUM(C23+C26+C28+C31+C34+C35+C37)</f>
        <v>4905</v>
      </c>
      <c r="D22" s="280">
        <f>SUM(D23+D26+D28+D31+D34+D35+D37)</f>
        <v>3539</v>
      </c>
      <c r="E22" s="324">
        <f>SUM(E23+E26+E28+E31+E34+E35+E37)</f>
        <v>3306.8470000000002</v>
      </c>
      <c r="F22" s="280">
        <f t="shared" si="4"/>
        <v>-232.15299999999979</v>
      </c>
      <c r="G22" s="280">
        <f t="shared" si="5"/>
        <v>93.440152585476127</v>
      </c>
      <c r="H22" s="280">
        <f t="shared" si="6"/>
        <v>0.95027119715977226</v>
      </c>
      <c r="I22" s="280">
        <f>SUM(I23+I26+I28+I31+I34+I35+I37)</f>
        <v>857.11315999999999</v>
      </c>
      <c r="J22" s="280">
        <f>SUM(J23+J26+J28+J31+J34+J35+J37)</f>
        <v>428</v>
      </c>
      <c r="K22" s="280">
        <f>SUM(K23+K26+K28+K31+K34+K35+K37)</f>
        <v>601.50699999999995</v>
      </c>
      <c r="L22" s="280">
        <f>+K22-J22</f>
        <v>173.50699999999995</v>
      </c>
      <c r="M22" s="280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436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7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438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7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437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7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439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5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7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440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5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441</v>
      </c>
      <c r="B29" s="84">
        <v>0</v>
      </c>
      <c r="C29" s="83">
        <v>0</v>
      </c>
      <c r="D29" s="84"/>
      <c r="E29" s="288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442</v>
      </c>
      <c r="B30" s="85">
        <f>22.1972+5.174</f>
        <v>27.371199999999998</v>
      </c>
      <c r="C30" s="83">
        <v>62</v>
      </c>
      <c r="D30" s="84">
        <v>46</v>
      </c>
      <c r="E30" s="326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443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5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444</v>
      </c>
      <c r="B32" s="83">
        <v>35.75</v>
      </c>
      <c r="C32" s="83"/>
      <c r="D32" s="84"/>
      <c r="E32" s="328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445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446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262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9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447</v>
      </c>
      <c r="B36" s="83"/>
      <c r="C36" s="83"/>
      <c r="D36" s="84"/>
      <c r="E36" s="328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448</v>
      </c>
      <c r="B37" s="83"/>
      <c r="C37" s="83">
        <v>0</v>
      </c>
      <c r="D37" s="84">
        <v>0</v>
      </c>
      <c r="E37" s="328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81" t="e">
        <f>K37/O37</f>
        <v>#DIV/0!</v>
      </c>
      <c r="O37" s="83">
        <v>0</v>
      </c>
    </row>
    <row r="38" spans="1:16" ht="27.75" customHeight="1">
      <c r="A38" s="282" t="s">
        <v>449</v>
      </c>
      <c r="B38" s="280">
        <f>+B8+B22</f>
        <v>24518.855889999999</v>
      </c>
      <c r="C38" s="280">
        <f>SUM(C22+C8)</f>
        <v>37828</v>
      </c>
      <c r="D38" s="280">
        <f>D8+D22</f>
        <v>24583</v>
      </c>
      <c r="E38" s="324">
        <f>E8+E22</f>
        <v>25142.807769999999</v>
      </c>
      <c r="F38" s="280">
        <f t="shared" si="4"/>
        <v>559.80776999999944</v>
      </c>
      <c r="G38" s="280">
        <f t="shared" si="13"/>
        <v>102.27721502664441</v>
      </c>
      <c r="H38" s="280">
        <f t="shared" si="6"/>
        <v>1.0254478383004191</v>
      </c>
      <c r="I38" s="280">
        <f>I8+I22</f>
        <v>2737.7515299999995</v>
      </c>
      <c r="J38" s="280">
        <f>J8+J22</f>
        <v>2385</v>
      </c>
      <c r="K38" s="280">
        <f>K8+K22</f>
        <v>2761.4477699999998</v>
      </c>
      <c r="L38" s="280">
        <f t="shared" si="1"/>
        <v>376.44776999999976</v>
      </c>
      <c r="M38" s="280">
        <f t="shared" si="14"/>
        <v>115.78397358490564</v>
      </c>
      <c r="N38" s="281">
        <f>K38/O38</f>
        <v>20.397094162614632</v>
      </c>
      <c r="O38" s="77">
        <f>O8+O22</f>
        <v>135.38437132194028</v>
      </c>
    </row>
    <row r="39" spans="1:16" ht="39" hidden="1" customHeight="1">
      <c r="A39" s="278" t="s">
        <v>633</v>
      </c>
    </row>
    <row r="40" spans="1:16" ht="18.75" hidden="1">
      <c r="A40" s="759" t="s">
        <v>634</v>
      </c>
      <c r="B40" s="759"/>
      <c r="C40" s="283"/>
      <c r="D40" s="90"/>
      <c r="E40" s="90"/>
      <c r="F40" s="90"/>
      <c r="G40" s="760" t="s">
        <v>617</v>
      </c>
      <c r="H40" s="760"/>
      <c r="I40" s="760"/>
      <c r="J40" s="760"/>
      <c r="K40" s="760"/>
      <c r="L40" s="760"/>
      <c r="M40" s="91"/>
      <c r="O40" s="143"/>
    </row>
    <row r="41" spans="1:16" hidden="1">
      <c r="A41" s="228" t="s">
        <v>635</v>
      </c>
    </row>
    <row r="42" spans="1:16" hidden="1">
      <c r="A42" s="228" t="s">
        <v>618</v>
      </c>
    </row>
  </sheetData>
  <mergeCells count="17"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</mergeCells>
  <pageMargins left="0.68" right="0" top="0.39" bottom="0" header="0" footer="0"/>
  <pageSetup paperSize="9" scale="7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882" t="s">
        <v>263</v>
      </c>
      <c r="C1" s="882"/>
      <c r="D1" s="882"/>
      <c r="E1" s="882"/>
      <c r="F1" s="883" t="s">
        <v>495</v>
      </c>
      <c r="G1" s="883"/>
      <c r="H1" s="883"/>
    </row>
    <row r="2" spans="1:8" ht="15.75">
      <c r="A2" s="882" t="s">
        <v>648</v>
      </c>
      <c r="B2" s="882"/>
      <c r="C2" s="882"/>
      <c r="D2" s="882"/>
      <c r="E2" s="882"/>
      <c r="F2" s="882"/>
      <c r="G2" s="882"/>
    </row>
    <row r="3" spans="1:8" ht="14.25">
      <c r="B3" s="884" t="s">
        <v>762</v>
      </c>
      <c r="C3" s="884"/>
      <c r="D3" s="884"/>
      <c r="E3" s="884"/>
      <c r="F3" s="884"/>
      <c r="G3" s="26" t="s">
        <v>264</v>
      </c>
      <c r="H3" s="26"/>
    </row>
    <row r="4" spans="1:8" ht="56.25" customHeight="1">
      <c r="A4" s="157" t="s">
        <v>0</v>
      </c>
      <c r="B4" s="158" t="s">
        <v>1</v>
      </c>
      <c r="C4" s="153" t="s">
        <v>481</v>
      </c>
      <c r="D4" s="153" t="s">
        <v>483</v>
      </c>
      <c r="E4" s="152" t="s">
        <v>482</v>
      </c>
      <c r="F4" s="152" t="s">
        <v>716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300</v>
      </c>
      <c r="B10" s="28" t="s">
        <v>301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246</v>
      </c>
      <c r="B13" s="20" t="s">
        <v>247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257</v>
      </c>
      <c r="B14" s="27" t="s">
        <v>258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630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638</v>
      </c>
      <c r="B18" s="20" t="s">
        <v>631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639</v>
      </c>
      <c r="B19" s="20" t="s">
        <v>632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238</v>
      </c>
      <c r="B36" s="20" t="s">
        <v>239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259</v>
      </c>
      <c r="B47" s="20" t="s">
        <v>260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261</v>
      </c>
      <c r="B51" s="20" t="s">
        <v>262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186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>
      <c r="A54" s="159" t="s">
        <v>670</v>
      </c>
      <c r="B54" s="160" t="s">
        <v>177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651</v>
      </c>
      <c r="B55" s="20" t="s">
        <v>178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652</v>
      </c>
      <c r="B56" s="20" t="s">
        <v>155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59" t="s">
        <v>653</v>
      </c>
      <c r="B57" s="160" t="s">
        <v>457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671</v>
      </c>
      <c r="B58" s="20" t="s">
        <v>574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654</v>
      </c>
      <c r="B59" s="20" t="s">
        <v>572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655</v>
      </c>
      <c r="B60" s="20" t="s">
        <v>573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656</v>
      </c>
      <c r="B61" s="20" t="s">
        <v>607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657</v>
      </c>
      <c r="B62" s="20" t="s">
        <v>484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658</v>
      </c>
      <c r="B63" s="20" t="s">
        <v>571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659</v>
      </c>
      <c r="B64" s="20" t="s">
        <v>458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659</v>
      </c>
      <c r="B65" s="154" t="s">
        <v>459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659</v>
      </c>
      <c r="B66" s="154" t="s">
        <v>608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660</v>
      </c>
      <c r="B67" s="160" t="s">
        <v>183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661</v>
      </c>
      <c r="B68" s="20" t="s">
        <v>180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460</v>
      </c>
      <c r="B69" s="154" t="s">
        <v>461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462</v>
      </c>
      <c r="B70" s="20" t="s">
        <v>463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662</v>
      </c>
      <c r="B71" s="20" t="s">
        <v>182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663</v>
      </c>
      <c r="B72" s="20" t="s">
        <v>464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485</v>
      </c>
      <c r="B73" s="20" t="s">
        <v>465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663</v>
      </c>
      <c r="B74" s="20" t="s">
        <v>466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663</v>
      </c>
      <c r="B75" s="20" t="s">
        <v>467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663</v>
      </c>
      <c r="B76" s="20" t="s">
        <v>468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663</v>
      </c>
      <c r="B77" s="20" t="s">
        <v>469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663</v>
      </c>
      <c r="B78" s="20" t="s">
        <v>470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663</v>
      </c>
      <c r="B79" s="20" t="s">
        <v>471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663</v>
      </c>
      <c r="B80" s="20" t="s">
        <v>472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485</v>
      </c>
      <c r="B81" s="156" t="s">
        <v>473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663</v>
      </c>
      <c r="B82" s="20" t="s">
        <v>477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663</v>
      </c>
      <c r="B83" s="20" t="s">
        <v>478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475</v>
      </c>
      <c r="B84" s="20" t="s">
        <v>476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664</v>
      </c>
      <c r="B85" s="20" t="s">
        <v>181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665</v>
      </c>
      <c r="B86" s="20" t="s">
        <v>474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666</v>
      </c>
      <c r="B87" s="20" t="s">
        <v>179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667</v>
      </c>
      <c r="B88" s="20" t="s">
        <v>479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668</v>
      </c>
      <c r="B89" s="155" t="s">
        <v>640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669</v>
      </c>
      <c r="B90" s="20" t="s">
        <v>570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488</v>
      </c>
      <c r="B91" s="160" t="s">
        <v>184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421</v>
      </c>
      <c r="B92" s="20" t="s">
        <v>185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486</v>
      </c>
      <c r="B93" s="20" t="s">
        <v>487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480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91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254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90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>
      <c r="A1" s="892" t="s">
        <v>624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2"/>
      <c r="AG1" s="892"/>
      <c r="AH1" s="892"/>
      <c r="AI1" s="892"/>
      <c r="AJ1" s="892"/>
      <c r="AK1" s="892"/>
      <c r="AL1" s="892"/>
      <c r="AM1" s="892"/>
      <c r="AN1" s="892"/>
      <c r="AO1" s="892"/>
      <c r="AP1" s="892"/>
      <c r="AQ1" s="892"/>
      <c r="AR1" s="892"/>
      <c r="AS1" s="892"/>
      <c r="AT1" s="892"/>
      <c r="AU1" s="892"/>
      <c r="AV1" s="892"/>
      <c r="AW1" s="892"/>
      <c r="AX1" s="892"/>
      <c r="AY1" s="892"/>
      <c r="AZ1" s="892"/>
      <c r="BA1" s="892"/>
      <c r="BB1" s="892"/>
      <c r="BC1" s="892"/>
      <c r="BD1" s="892"/>
      <c r="BE1" s="892"/>
      <c r="BF1" s="892"/>
      <c r="BG1" s="892"/>
      <c r="BH1" s="892"/>
      <c r="BI1" s="892"/>
      <c r="BJ1" s="892"/>
      <c r="BK1" s="892"/>
      <c r="BL1" s="892"/>
      <c r="BM1" s="892"/>
      <c r="BN1" s="892"/>
      <c r="BO1" s="892"/>
      <c r="BP1" s="892"/>
      <c r="BQ1" s="892"/>
      <c r="BR1" s="892"/>
      <c r="BS1" s="892"/>
      <c r="BT1" s="892"/>
      <c r="BU1" s="892"/>
      <c r="BV1" s="892"/>
      <c r="BW1" s="892"/>
      <c r="BX1" s="892"/>
      <c r="BY1" s="892"/>
      <c r="BZ1" s="892"/>
      <c r="CA1" s="892"/>
      <c r="CB1" s="892"/>
      <c r="CC1" s="892"/>
      <c r="CD1" s="892"/>
      <c r="CE1" s="892"/>
      <c r="CF1" s="892"/>
      <c r="CG1" s="892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114"/>
      <c r="Y2" s="263"/>
      <c r="Z2" s="263"/>
      <c r="AA2" s="114"/>
      <c r="AB2" s="114"/>
      <c r="AC2" s="263"/>
      <c r="AD2" s="263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3"/>
      <c r="BR2" s="263"/>
      <c r="BS2" s="114"/>
      <c r="BT2" s="114"/>
      <c r="BU2" s="263"/>
      <c r="BV2" s="263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256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817"/>
      <c r="B3" s="817"/>
      <c r="C3" s="817"/>
      <c r="D3" s="817"/>
      <c r="E3" s="888" t="s">
        <v>187</v>
      </c>
      <c r="F3" s="888"/>
      <c r="G3" s="888"/>
      <c r="H3" s="888"/>
      <c r="I3" s="888" t="s">
        <v>188</v>
      </c>
      <c r="J3" s="888"/>
      <c r="K3" s="888"/>
      <c r="L3" s="888"/>
      <c r="M3" s="888" t="s">
        <v>189</v>
      </c>
      <c r="N3" s="888"/>
      <c r="O3" s="888"/>
      <c r="P3" s="888"/>
      <c r="Q3" s="888" t="s">
        <v>190</v>
      </c>
      <c r="R3" s="888"/>
      <c r="S3" s="888"/>
      <c r="T3" s="888"/>
      <c r="U3" s="888" t="s">
        <v>191</v>
      </c>
      <c r="V3" s="888"/>
      <c r="W3" s="888"/>
      <c r="X3" s="888"/>
      <c r="Y3" s="888" t="s">
        <v>192</v>
      </c>
      <c r="Z3" s="888"/>
      <c r="AA3" s="888"/>
      <c r="AB3" s="888"/>
      <c r="AC3" s="888" t="s">
        <v>193</v>
      </c>
      <c r="AD3" s="888"/>
      <c r="AE3" s="888"/>
      <c r="AF3" s="888"/>
      <c r="AG3" s="889" t="s">
        <v>194</v>
      </c>
      <c r="AH3" s="890"/>
      <c r="AI3" s="890"/>
      <c r="AJ3" s="891"/>
      <c r="AK3" s="885" t="s">
        <v>287</v>
      </c>
      <c r="AL3" s="886"/>
      <c r="AM3" s="886"/>
      <c r="AN3" s="887"/>
      <c r="AO3" s="885" t="s">
        <v>401</v>
      </c>
      <c r="AP3" s="886"/>
      <c r="AQ3" s="886"/>
      <c r="AR3" s="887"/>
      <c r="AS3" s="885" t="s">
        <v>402</v>
      </c>
      <c r="AT3" s="886"/>
      <c r="AU3" s="886"/>
      <c r="AV3" s="887"/>
      <c r="AW3" s="885" t="s">
        <v>403</v>
      </c>
      <c r="AX3" s="886"/>
      <c r="AY3" s="886"/>
      <c r="AZ3" s="887"/>
      <c r="BA3" s="889" t="s">
        <v>405</v>
      </c>
      <c r="BB3" s="890"/>
      <c r="BC3" s="890"/>
      <c r="BD3" s="891"/>
      <c r="BE3" s="885" t="s">
        <v>610</v>
      </c>
      <c r="BF3" s="886"/>
      <c r="BG3" s="886"/>
      <c r="BH3" s="887"/>
      <c r="BI3" s="885" t="s">
        <v>420</v>
      </c>
      <c r="BJ3" s="886"/>
      <c r="BK3" s="886"/>
      <c r="BL3" s="887"/>
      <c r="BM3" s="885" t="s">
        <v>404</v>
      </c>
      <c r="BN3" s="886"/>
      <c r="BO3" s="886"/>
      <c r="BP3" s="887"/>
      <c r="BQ3" s="888" t="s">
        <v>71</v>
      </c>
      <c r="BR3" s="888"/>
      <c r="BS3" s="888"/>
      <c r="BT3" s="888"/>
      <c r="BU3" s="888" t="s">
        <v>623</v>
      </c>
      <c r="BV3" s="888"/>
      <c r="BW3" s="888"/>
      <c r="BX3" s="885"/>
      <c r="BY3" s="885" t="s">
        <v>399</v>
      </c>
      <c r="BZ3" s="886"/>
      <c r="CA3" s="886"/>
      <c r="CB3" s="887"/>
      <c r="CC3" s="885" t="s">
        <v>620</v>
      </c>
      <c r="CD3" s="886"/>
      <c r="CE3" s="886"/>
      <c r="CF3" s="887"/>
      <c r="CG3" s="889" t="s">
        <v>195</v>
      </c>
      <c r="CH3" s="890"/>
      <c r="CI3" s="890"/>
      <c r="CJ3" s="891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196</v>
      </c>
      <c r="B4" s="817" t="s">
        <v>197</v>
      </c>
      <c r="C4" s="817"/>
      <c r="D4" s="817"/>
      <c r="E4" s="121" t="s">
        <v>68</v>
      </c>
      <c r="F4" s="121" t="s">
        <v>69</v>
      </c>
      <c r="G4" s="121" t="s">
        <v>70</v>
      </c>
      <c r="H4" s="121" t="s">
        <v>198</v>
      </c>
      <c r="I4" s="121" t="s">
        <v>68</v>
      </c>
      <c r="J4" s="121" t="s">
        <v>69</v>
      </c>
      <c r="K4" s="121" t="s">
        <v>70</v>
      </c>
      <c r="L4" s="121" t="s">
        <v>198</v>
      </c>
      <c r="M4" s="121" t="s">
        <v>68</v>
      </c>
      <c r="N4" s="121" t="s">
        <v>69</v>
      </c>
      <c r="O4" s="121" t="s">
        <v>70</v>
      </c>
      <c r="P4" s="121" t="s">
        <v>199</v>
      </c>
      <c r="Q4" s="121" t="s">
        <v>68</v>
      </c>
      <c r="R4" s="121" t="s">
        <v>69</v>
      </c>
      <c r="S4" s="121" t="s">
        <v>70</v>
      </c>
      <c r="T4" s="121" t="s">
        <v>198</v>
      </c>
      <c r="U4" s="121" t="s">
        <v>68</v>
      </c>
      <c r="V4" s="121" t="s">
        <v>69</v>
      </c>
      <c r="W4" s="121" t="s">
        <v>70</v>
      </c>
      <c r="X4" s="121" t="s">
        <v>198</v>
      </c>
      <c r="Y4" s="121" t="s">
        <v>68</v>
      </c>
      <c r="Z4" s="121" t="s">
        <v>69</v>
      </c>
      <c r="AA4" s="121" t="s">
        <v>70</v>
      </c>
      <c r="AB4" s="121" t="s">
        <v>241</v>
      </c>
      <c r="AC4" s="121" t="s">
        <v>68</v>
      </c>
      <c r="AD4" s="121" t="s">
        <v>69</v>
      </c>
      <c r="AE4" s="121" t="s">
        <v>70</v>
      </c>
      <c r="AF4" s="121" t="s">
        <v>198</v>
      </c>
      <c r="AG4" s="265" t="s">
        <v>68</v>
      </c>
      <c r="AH4" s="265" t="s">
        <v>69</v>
      </c>
      <c r="AI4" s="265" t="s">
        <v>70</v>
      </c>
      <c r="AJ4" s="265" t="s">
        <v>198</v>
      </c>
      <c r="AK4" s="121" t="s">
        <v>68</v>
      </c>
      <c r="AL4" s="121" t="s">
        <v>69</v>
      </c>
      <c r="AM4" s="121" t="s">
        <v>70</v>
      </c>
      <c r="AN4" s="121" t="s">
        <v>198</v>
      </c>
      <c r="AO4" s="121" t="s">
        <v>68</v>
      </c>
      <c r="AP4" s="121" t="s">
        <v>69</v>
      </c>
      <c r="AQ4" s="121" t="s">
        <v>70</v>
      </c>
      <c r="AR4" s="121" t="s">
        <v>198</v>
      </c>
      <c r="AS4" s="121" t="s">
        <v>68</v>
      </c>
      <c r="AT4" s="121" t="s">
        <v>69</v>
      </c>
      <c r="AU4" s="121" t="s">
        <v>70</v>
      </c>
      <c r="AV4" s="121" t="s">
        <v>198</v>
      </c>
      <c r="AW4" s="121" t="s">
        <v>68</v>
      </c>
      <c r="AX4" s="121" t="s">
        <v>69</v>
      </c>
      <c r="AY4" s="121" t="s">
        <v>70</v>
      </c>
      <c r="AZ4" s="121" t="s">
        <v>198</v>
      </c>
      <c r="BA4" s="265" t="s">
        <v>68</v>
      </c>
      <c r="BB4" s="265" t="s">
        <v>69</v>
      </c>
      <c r="BC4" s="265" t="s">
        <v>70</v>
      </c>
      <c r="BD4" s="265" t="s">
        <v>198</v>
      </c>
      <c r="BE4" s="121" t="s">
        <v>68</v>
      </c>
      <c r="BF4" s="121" t="s">
        <v>69</v>
      </c>
      <c r="BG4" s="121" t="s">
        <v>70</v>
      </c>
      <c r="BH4" s="121" t="s">
        <v>198</v>
      </c>
      <c r="BI4" s="121" t="s">
        <v>68</v>
      </c>
      <c r="BJ4" s="121" t="s">
        <v>69</v>
      </c>
      <c r="BK4" s="121" t="s">
        <v>70</v>
      </c>
      <c r="BL4" s="121" t="s">
        <v>198</v>
      </c>
      <c r="BM4" s="121" t="s">
        <v>68</v>
      </c>
      <c r="BN4" s="121" t="s">
        <v>69</v>
      </c>
      <c r="BO4" s="121" t="s">
        <v>70</v>
      </c>
      <c r="BP4" s="121" t="s">
        <v>198</v>
      </c>
      <c r="BQ4" s="121" t="s">
        <v>68</v>
      </c>
      <c r="BR4" s="121" t="s">
        <v>69</v>
      </c>
      <c r="BS4" s="121" t="s">
        <v>70</v>
      </c>
      <c r="BT4" s="121" t="s">
        <v>198</v>
      </c>
      <c r="BU4" s="121" t="s">
        <v>68</v>
      </c>
      <c r="BV4" s="121" t="s">
        <v>69</v>
      </c>
      <c r="BW4" s="121" t="s">
        <v>70</v>
      </c>
      <c r="BX4" s="121" t="s">
        <v>198</v>
      </c>
      <c r="BY4" s="121" t="s">
        <v>68</v>
      </c>
      <c r="BZ4" s="121" t="s">
        <v>69</v>
      </c>
      <c r="CA4" s="121" t="s">
        <v>70</v>
      </c>
      <c r="CB4" s="121" t="s">
        <v>200</v>
      </c>
      <c r="CC4" s="121" t="s">
        <v>68</v>
      </c>
      <c r="CD4" s="121" t="s">
        <v>69</v>
      </c>
      <c r="CE4" s="121" t="s">
        <v>70</v>
      </c>
      <c r="CF4" s="121" t="s">
        <v>200</v>
      </c>
      <c r="CG4" s="276" t="s">
        <v>68</v>
      </c>
      <c r="CH4" s="276" t="s">
        <v>69</v>
      </c>
      <c r="CI4" s="276" t="s">
        <v>70</v>
      </c>
      <c r="CJ4" s="265" t="s">
        <v>200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775" t="s">
        <v>201</v>
      </c>
      <c r="C5" s="776"/>
      <c r="D5" s="777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6">
        <f t="shared" ref="AG5:AH65" si="3">E5+I5+M5+Q5+U5+Y5+AC5</f>
        <v>1372</v>
      </c>
      <c r="AH5" s="266">
        <f>AH7+AH9+AH10+AH45+AH6</f>
        <v>0</v>
      </c>
      <c r="AI5" s="266">
        <f>AH5/AG5*100</f>
        <v>0</v>
      </c>
      <c r="AJ5" s="266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6">
        <f t="shared" ref="BA5:BB65" si="8">AK5+AO5+AS5+AW5</f>
        <v>110</v>
      </c>
      <c r="BB5" s="266">
        <f>BB7+BB9+BB10+BB45</f>
        <v>0</v>
      </c>
      <c r="BC5" s="266">
        <f>BB5/BA5*100</f>
        <v>0</v>
      </c>
      <c r="BD5" s="266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6">
        <f t="shared" ref="CG5:CG10" si="12">AG5+BA5+BE5+BI5+BM5+BQ5+BU5+BY5</f>
        <v>2473.5</v>
      </c>
      <c r="CH5" s="266">
        <f>CH7+CH9+CH10+CH45+CH6</f>
        <v>3.6999999999999998E-2</v>
      </c>
      <c r="CI5" s="266">
        <f t="shared" ref="CI5:CI66" si="13">CH5/CG5*100</f>
        <v>1.4958560743885182E-3</v>
      </c>
      <c r="CJ5" s="266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9" t="s">
        <v>419</v>
      </c>
      <c r="C6" s="260"/>
      <c r="D6" s="261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6">
        <f t="shared" si="3"/>
        <v>0</v>
      </c>
      <c r="AH6" s="266">
        <f>F6+R6</f>
        <v>0</v>
      </c>
      <c r="AI6" s="266" t="e">
        <f>AH6/AG6*100</f>
        <v>#DIV/0!</v>
      </c>
      <c r="AJ6" s="266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6">
        <f t="shared" si="8"/>
        <v>0</v>
      </c>
      <c r="BB6" s="266"/>
      <c r="BC6" s="266"/>
      <c r="BD6" s="266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6">
        <f t="shared" si="12"/>
        <v>0</v>
      </c>
      <c r="CH6" s="266">
        <f>F6+R6+AT6</f>
        <v>0</v>
      </c>
      <c r="CI6" s="266" t="e">
        <f t="shared" si="13"/>
        <v>#DIV/0!</v>
      </c>
      <c r="CJ6" s="266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>
      <c r="A7" s="109">
        <v>212</v>
      </c>
      <c r="B7" s="793" t="s">
        <v>102</v>
      </c>
      <c r="C7" s="794"/>
      <c r="D7" s="795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6">
        <f t="shared" si="3"/>
        <v>18</v>
      </c>
      <c r="AH7" s="267">
        <f>AH8</f>
        <v>0</v>
      </c>
      <c r="AI7" s="266">
        <f>AH7/AG7*100</f>
        <v>0</v>
      </c>
      <c r="AJ7" s="266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6">
        <f t="shared" si="8"/>
        <v>0</v>
      </c>
      <c r="BB7" s="267">
        <f>BB8</f>
        <v>0</v>
      </c>
      <c r="BC7" s="266"/>
      <c r="BD7" s="266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6">
        <f t="shared" si="12"/>
        <v>52.5</v>
      </c>
      <c r="CH7" s="267">
        <f>CH8</f>
        <v>0</v>
      </c>
      <c r="CI7" s="267">
        <f t="shared" si="13"/>
        <v>0</v>
      </c>
      <c r="CJ7" s="267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781" t="s">
        <v>202</v>
      </c>
      <c r="C8" s="782"/>
      <c r="D8" s="78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6">
        <f t="shared" si="3"/>
        <v>18</v>
      </c>
      <c r="AH8" s="268">
        <f>F8+J8+N8+R8+V8+Z8+AD8</f>
        <v>0</v>
      </c>
      <c r="AI8" s="266">
        <f>AH8/AG8*100</f>
        <v>0</v>
      </c>
      <c r="AJ8" s="268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6">
        <f t="shared" si="8"/>
        <v>0</v>
      </c>
      <c r="BB8" s="268">
        <f>AL8+AP8+AT8+AX8</f>
        <v>0</v>
      </c>
      <c r="BC8" s="268"/>
      <c r="BD8" s="268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8">
        <f t="shared" si="12"/>
        <v>52.5</v>
      </c>
      <c r="CH8" s="256">
        <f>R8+V8+Z8+AD8+BR8+BV8+F8+J8+N8+AL8+BZ8+AP8+AT8+AX8+BF8</f>
        <v>0</v>
      </c>
      <c r="CI8" s="268">
        <f t="shared" si="13"/>
        <v>0</v>
      </c>
      <c r="CJ8" s="268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796" t="s">
        <v>203</v>
      </c>
      <c r="C9" s="797"/>
      <c r="D9" s="798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6">
        <f t="shared" si="3"/>
        <v>0</v>
      </c>
      <c r="AH9" s="268"/>
      <c r="AI9" s="268"/>
      <c r="AJ9" s="268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6">
        <f t="shared" si="8"/>
        <v>0</v>
      </c>
      <c r="BB9" s="268"/>
      <c r="BC9" s="266"/>
      <c r="BD9" s="268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8">
        <f t="shared" si="12"/>
        <v>0</v>
      </c>
      <c r="CH9" s="256">
        <f>R9+V9+Z9+AD9+BR9+BV9+F9+J9+N9+AL9+BZ9+AP9+AT9+AX9+BF9</f>
        <v>0</v>
      </c>
      <c r="CI9" s="268"/>
      <c r="CJ9" s="268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775" t="s">
        <v>106</v>
      </c>
      <c r="C10" s="776"/>
      <c r="D10" s="777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6">
        <f t="shared" si="3"/>
        <v>1354</v>
      </c>
      <c r="AH10" s="266">
        <f>AH11+AH12+AH16+AH25+AH14</f>
        <v>0</v>
      </c>
      <c r="AI10" s="266">
        <f>AH10/AG10*100</f>
        <v>0</v>
      </c>
      <c r="AJ10" s="266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6">
        <f t="shared" si="8"/>
        <v>110</v>
      </c>
      <c r="BB10" s="272">
        <f>BB11+BB12+BB16+BB25+BB14</f>
        <v>0</v>
      </c>
      <c r="BC10" s="266">
        <f>BB10/BA10*100</f>
        <v>0</v>
      </c>
      <c r="BD10" s="266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6">
        <f t="shared" si="12"/>
        <v>2092</v>
      </c>
      <c r="CH10" s="272">
        <f>CH11+CH12+CH16+CH25+CH14+CH15</f>
        <v>0</v>
      </c>
      <c r="CI10" s="266">
        <f t="shared" si="13"/>
        <v>0</v>
      </c>
      <c r="CJ10" s="266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796" t="s">
        <v>107</v>
      </c>
      <c r="C11" s="797"/>
      <c r="D11" s="798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6">
        <f t="shared" si="3"/>
        <v>234</v>
      </c>
      <c r="AH11" s="268">
        <f>F11+J11+N11+R11+V11+Z11+AD11</f>
        <v>0</v>
      </c>
      <c r="AI11" s="268">
        <f>AH11/AG11*100</f>
        <v>0</v>
      </c>
      <c r="AJ11" s="268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6">
        <f t="shared" si="8"/>
        <v>60</v>
      </c>
      <c r="BB11" s="268">
        <f>AL11+AP11+AT11+AX11</f>
        <v>0</v>
      </c>
      <c r="BC11" s="268">
        <f>BB11/BA11*100</f>
        <v>0</v>
      </c>
      <c r="BD11" s="268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8">
        <f>AG11+BA11+BE11+BI11+BM11+BQ11+BU11+BY11</f>
        <v>477</v>
      </c>
      <c r="CH11" s="256">
        <f>R11+V11+Z11+AD11+BR11+BV11+F11+J11+N11+AL11+BZ11+AP11+AT11+AX11+BF11+BN11+BJ11</f>
        <v>0</v>
      </c>
      <c r="CI11" s="268">
        <f t="shared" si="13"/>
        <v>0</v>
      </c>
      <c r="CJ11" s="268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>
      <c r="A12" s="109">
        <v>222</v>
      </c>
      <c r="B12" s="793" t="s">
        <v>204</v>
      </c>
      <c r="C12" s="794"/>
      <c r="D12" s="795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6">
        <f t="shared" si="3"/>
        <v>0</v>
      </c>
      <c r="AH12" s="267">
        <f>AH13</f>
        <v>0</v>
      </c>
      <c r="AI12" s="267" t="e">
        <f>AH12/AG12*100</f>
        <v>#DIV/0!</v>
      </c>
      <c r="AJ12" s="269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6">
        <f t="shared" si="8"/>
        <v>0</v>
      </c>
      <c r="BB12" s="267"/>
      <c r="BC12" s="266" t="e">
        <f>BB12/BA12*100</f>
        <v>#DIV/0!</v>
      </c>
      <c r="BD12" s="267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6">
        <f>Q12+U12+Y12+AC12+BQ12+BU12+E12+I12+M12+AK12+BY12+AO12+AS12+AW12+BE12</f>
        <v>52</v>
      </c>
      <c r="CH12" s="275">
        <f>CH13</f>
        <v>0</v>
      </c>
      <c r="CI12" s="267">
        <f t="shared" si="13"/>
        <v>0</v>
      </c>
      <c r="CJ12" s="267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799" t="s">
        <v>205</v>
      </c>
      <c r="C13" s="800"/>
      <c r="D13" s="801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6">
        <f t="shared" si="3"/>
        <v>0</v>
      </c>
      <c r="AH13" s="268">
        <f>F13+J13+N13+R13+V13+Z13+AD13</f>
        <v>0</v>
      </c>
      <c r="AI13" s="268" t="e">
        <f>AH13/AG13*100</f>
        <v>#DIV/0!</v>
      </c>
      <c r="AJ13" s="270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6">
        <f t="shared" si="8"/>
        <v>0</v>
      </c>
      <c r="BB13" s="268">
        <f>AL13+AP13+AT13+AX13</f>
        <v>0</v>
      </c>
      <c r="BC13" s="268" t="e">
        <f>BB13/BA13*100</f>
        <v>#DIV/0!</v>
      </c>
      <c r="BD13" s="268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8">
        <f t="shared" ref="CG13:CH15" si="28">Q13+U13+Y13+AC13+BQ13+BU13+E13+I13+M13+AK13+BY13+AO13+AS13+AW13+BE13</f>
        <v>52</v>
      </c>
      <c r="CH13" s="256">
        <f>R13+V13+Z13+AD13+BR13+BV13+F13+J13+N13+AL13+BZ13+AP13+AT13+AX13+BF13+BJ13</f>
        <v>0</v>
      </c>
      <c r="CI13" s="268">
        <f t="shared" si="13"/>
        <v>0</v>
      </c>
      <c r="CJ13" s="268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>
      <c r="A14" s="110">
        <v>223</v>
      </c>
      <c r="B14" s="808" t="s">
        <v>621</v>
      </c>
      <c r="C14" s="809"/>
      <c r="D14" s="810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6">
        <f t="shared" si="3"/>
        <v>0</v>
      </c>
      <c r="AH14" s="266">
        <f>F14+J14+N14+R14+V14+Z14+AD14</f>
        <v>0</v>
      </c>
      <c r="AI14" s="266"/>
      <c r="AJ14" s="271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6">
        <f t="shared" si="8"/>
        <v>0</v>
      </c>
      <c r="BB14" s="266">
        <f>AL14+AP14+AT14+AX14</f>
        <v>0</v>
      </c>
      <c r="BC14" s="266"/>
      <c r="BD14" s="266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6">
        <f t="shared" si="28"/>
        <v>0</v>
      </c>
      <c r="CH14" s="272">
        <f t="shared" si="28"/>
        <v>0</v>
      </c>
      <c r="CI14" s="266" t="e">
        <f>CH14/CG14*100</f>
        <v>#DIV/0!</v>
      </c>
      <c r="CJ14" s="266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811" t="s">
        <v>400</v>
      </c>
      <c r="C15" s="812"/>
      <c r="D15" s="813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6">
        <f t="shared" si="3"/>
        <v>0</v>
      </c>
      <c r="AH15" s="268"/>
      <c r="AI15" s="268"/>
      <c r="AJ15" s="270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6">
        <f t="shared" si="8"/>
        <v>0</v>
      </c>
      <c r="BB15" s="268">
        <f>AL15+AP15+AT15+AX15</f>
        <v>0</v>
      </c>
      <c r="BC15" s="268"/>
      <c r="BD15" s="268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8">
        <f t="shared" si="28"/>
        <v>0</v>
      </c>
      <c r="CH15" s="256">
        <f t="shared" si="28"/>
        <v>0</v>
      </c>
      <c r="CI15" s="268"/>
      <c r="CJ15" s="268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>
      <c r="A16" s="109">
        <v>225</v>
      </c>
      <c r="B16" s="805" t="s">
        <v>206</v>
      </c>
      <c r="C16" s="806"/>
      <c r="D16" s="807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6">
        <f t="shared" si="3"/>
        <v>99</v>
      </c>
      <c r="AH16" s="267">
        <f>SUM(AH17:AH24)</f>
        <v>0</v>
      </c>
      <c r="AI16" s="267">
        <f t="shared" ref="AI16:AI34" si="29">AH16/AG16*100</f>
        <v>0</v>
      </c>
      <c r="AJ16" s="269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6">
        <f t="shared" si="8"/>
        <v>50</v>
      </c>
      <c r="BB16" s="275">
        <f>SUM(BB17:BB24)</f>
        <v>0</v>
      </c>
      <c r="BC16" s="266">
        <f>BB16/BA16*100</f>
        <v>0</v>
      </c>
      <c r="BD16" s="267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7">
        <f>SUM(CG17:CG24)</f>
        <v>204.9</v>
      </c>
      <c r="CH16" s="275">
        <f>SUM(CH17:CH24)</f>
        <v>0</v>
      </c>
      <c r="CI16" s="267">
        <f t="shared" si="13"/>
        <v>0</v>
      </c>
      <c r="CJ16" s="267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799" t="s">
        <v>265</v>
      </c>
      <c r="C17" s="800"/>
      <c r="D17" s="801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6">
        <f t="shared" si="3"/>
        <v>0</v>
      </c>
      <c r="AH17" s="268">
        <f t="shared" si="3"/>
        <v>0</v>
      </c>
      <c r="AI17" s="268" t="e">
        <f t="shared" si="29"/>
        <v>#DIV/0!</v>
      </c>
      <c r="AJ17" s="270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6">
        <f t="shared" si="8"/>
        <v>0</v>
      </c>
      <c r="BB17" s="268"/>
      <c r="BC17" s="268" t="e">
        <f>BB17/BA17*100</f>
        <v>#DIV/0!</v>
      </c>
      <c r="BD17" s="268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6">
        <f t="shared" ref="CG17:CG65" si="32">AG17+BA17+BE17+BI17+BM17+BQ17+BU17+BY17</f>
        <v>0</v>
      </c>
      <c r="CH17" s="256">
        <f t="shared" ref="CH17:CH23" si="33">R17+V17+Z17+AD17+BR17+BV17+F17+J17+N17+AL17+BZ17+AP17+AT17+AX17+BF17</f>
        <v>0</v>
      </c>
      <c r="CI17" s="273" t="e">
        <f t="shared" si="13"/>
        <v>#DIV/0!</v>
      </c>
      <c r="CJ17" s="268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799" t="s">
        <v>406</v>
      </c>
      <c r="C18" s="800"/>
      <c r="D18" s="801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6">
        <f t="shared" si="3"/>
        <v>0</v>
      </c>
      <c r="AH18" s="268">
        <f t="shared" si="3"/>
        <v>0</v>
      </c>
      <c r="AI18" s="268" t="e">
        <f t="shared" si="29"/>
        <v>#DIV/0!</v>
      </c>
      <c r="AJ18" s="270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6">
        <f t="shared" si="8"/>
        <v>0</v>
      </c>
      <c r="BB18" s="268">
        <f t="shared" si="8"/>
        <v>0</v>
      </c>
      <c r="BC18" s="268"/>
      <c r="BD18" s="268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6">
        <f t="shared" si="32"/>
        <v>0</v>
      </c>
      <c r="CH18" s="256">
        <f t="shared" si="33"/>
        <v>0</v>
      </c>
      <c r="CI18" s="273" t="e">
        <f t="shared" si="13"/>
        <v>#DIV/0!</v>
      </c>
      <c r="CJ18" s="268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799" t="s">
        <v>207</v>
      </c>
      <c r="C19" s="800"/>
      <c r="D19" s="801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6">
        <f t="shared" si="3"/>
        <v>0</v>
      </c>
      <c r="AH19" s="268">
        <f t="shared" si="3"/>
        <v>0</v>
      </c>
      <c r="AI19" s="268" t="e">
        <f t="shared" si="29"/>
        <v>#DIV/0!</v>
      </c>
      <c r="AJ19" s="270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6">
        <f t="shared" si="8"/>
        <v>0</v>
      </c>
      <c r="BB19" s="268">
        <f t="shared" si="8"/>
        <v>0</v>
      </c>
      <c r="BC19" s="268"/>
      <c r="BD19" s="268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6">
        <f t="shared" si="32"/>
        <v>14</v>
      </c>
      <c r="CH19" s="256">
        <f t="shared" si="33"/>
        <v>0</v>
      </c>
      <c r="CI19" s="273">
        <f t="shared" si="13"/>
        <v>0</v>
      </c>
      <c r="CJ19" s="268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799" t="s">
        <v>269</v>
      </c>
      <c r="C20" s="800"/>
      <c r="D20" s="801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6">
        <f t="shared" si="3"/>
        <v>0</v>
      </c>
      <c r="AH20" s="268">
        <f t="shared" si="3"/>
        <v>0</v>
      </c>
      <c r="AI20" s="268" t="e">
        <f t="shared" si="29"/>
        <v>#DIV/0!</v>
      </c>
      <c r="AJ20" s="270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6">
        <f t="shared" si="8"/>
        <v>0</v>
      </c>
      <c r="BB20" s="268">
        <f t="shared" si="8"/>
        <v>0</v>
      </c>
      <c r="BC20" s="268"/>
      <c r="BD20" s="268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6">
        <f t="shared" si="32"/>
        <v>0</v>
      </c>
      <c r="CH20" s="256">
        <f t="shared" si="33"/>
        <v>0</v>
      </c>
      <c r="CI20" s="273" t="e">
        <f t="shared" si="13"/>
        <v>#DIV/0!</v>
      </c>
      <c r="CJ20" s="268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799" t="s">
        <v>289</v>
      </c>
      <c r="C21" s="800"/>
      <c r="D21" s="801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6">
        <f t="shared" si="3"/>
        <v>0</v>
      </c>
      <c r="AH21" s="268">
        <f t="shared" si="3"/>
        <v>0</v>
      </c>
      <c r="AI21" s="268" t="e">
        <f t="shared" si="29"/>
        <v>#DIV/0!</v>
      </c>
      <c r="AJ21" s="270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6">
        <f t="shared" si="8"/>
        <v>50</v>
      </c>
      <c r="BB21" s="268">
        <f t="shared" si="8"/>
        <v>0</v>
      </c>
      <c r="BC21" s="268"/>
      <c r="BD21" s="268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6">
        <f t="shared" si="32"/>
        <v>50.4</v>
      </c>
      <c r="CH21" s="256">
        <f t="shared" si="33"/>
        <v>0</v>
      </c>
      <c r="CI21" s="273">
        <f t="shared" si="13"/>
        <v>0</v>
      </c>
      <c r="CJ21" s="268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799" t="s">
        <v>267</v>
      </c>
      <c r="C22" s="800"/>
      <c r="D22" s="801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6">
        <f t="shared" si="3"/>
        <v>0</v>
      </c>
      <c r="AH22" s="268">
        <f t="shared" si="3"/>
        <v>0</v>
      </c>
      <c r="AI22" s="268" t="e">
        <f t="shared" si="29"/>
        <v>#DIV/0!</v>
      </c>
      <c r="AJ22" s="270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6">
        <f t="shared" si="8"/>
        <v>0</v>
      </c>
      <c r="BB22" s="268">
        <f t="shared" si="8"/>
        <v>0</v>
      </c>
      <c r="BC22" s="268"/>
      <c r="BD22" s="268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6">
        <f t="shared" si="32"/>
        <v>41.5</v>
      </c>
      <c r="CH22" s="256">
        <f t="shared" si="33"/>
        <v>0</v>
      </c>
      <c r="CI22" s="273">
        <f t="shared" si="13"/>
        <v>0</v>
      </c>
      <c r="CJ22" s="268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799" t="s">
        <v>208</v>
      </c>
      <c r="C23" s="800"/>
      <c r="D23" s="801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6">
        <f t="shared" si="3"/>
        <v>0</v>
      </c>
      <c r="AH23" s="268">
        <f t="shared" si="3"/>
        <v>0</v>
      </c>
      <c r="AI23" s="268" t="e">
        <f t="shared" si="29"/>
        <v>#DIV/0!</v>
      </c>
      <c r="AJ23" s="270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6">
        <f t="shared" si="8"/>
        <v>0</v>
      </c>
      <c r="BB23" s="268">
        <f t="shared" si="8"/>
        <v>0</v>
      </c>
      <c r="BC23" s="268"/>
      <c r="BD23" s="268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6">
        <f t="shared" si="32"/>
        <v>0</v>
      </c>
      <c r="CH23" s="256">
        <f t="shared" si="33"/>
        <v>0</v>
      </c>
      <c r="CI23" s="268" t="e">
        <f t="shared" si="13"/>
        <v>#DIV/0!</v>
      </c>
      <c r="CJ23" s="268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781" t="s">
        <v>245</v>
      </c>
      <c r="C24" s="782"/>
      <c r="D24" s="783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6">
        <f>E24+I24+M24+Q24+U24+Y24+AC24</f>
        <v>99</v>
      </c>
      <c r="AH24" s="268">
        <f>F24+J24+N24+R24+V24+Z24+AD24</f>
        <v>0</v>
      </c>
      <c r="AI24" s="268">
        <f>AH24/AG24*100</f>
        <v>0</v>
      </c>
      <c r="AJ24" s="268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6">
        <f>AK24+AO24+AS24+AW24</f>
        <v>0</v>
      </c>
      <c r="BB24" s="268">
        <f>AL24+AP24+AT24+AX24</f>
        <v>0</v>
      </c>
      <c r="BC24" s="268"/>
      <c r="BD24" s="268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6">
        <f>AG24+BA24+BE24+BI24+BM24+BQ24+BU24+BY24</f>
        <v>99</v>
      </c>
      <c r="CH24" s="256">
        <f>R24+V24+Z24+AD24+BR24+BV24+F24+J24+N24+AL24+BZ24+AP24+AT24+AX24+BF24</f>
        <v>0</v>
      </c>
      <c r="CI24" s="268">
        <f>CH24/CG24*100</f>
        <v>0</v>
      </c>
      <c r="CJ24" s="268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793" t="s">
        <v>118</v>
      </c>
      <c r="C25" s="794"/>
      <c r="D25" s="795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6">
        <f t="shared" si="3"/>
        <v>1021</v>
      </c>
      <c r="AH25" s="267">
        <f>SUM(AH26:AH44)</f>
        <v>0</v>
      </c>
      <c r="AI25" s="267">
        <f t="shared" si="29"/>
        <v>0</v>
      </c>
      <c r="AJ25" s="267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6">
        <f t="shared" si="8"/>
        <v>0</v>
      </c>
      <c r="BB25" s="275">
        <f>SUM(BB26:BB44)</f>
        <v>0</v>
      </c>
      <c r="BC25" s="266" t="e">
        <f>BB25/BA25*100</f>
        <v>#DIV/0!</v>
      </c>
      <c r="BD25" s="267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6">
        <f t="shared" si="32"/>
        <v>1358.1</v>
      </c>
      <c r="CH25" s="275">
        <f>SUM(CH26:CH44)</f>
        <v>0</v>
      </c>
      <c r="CI25" s="267">
        <f t="shared" si="13"/>
        <v>0</v>
      </c>
      <c r="CJ25" s="267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799" t="s">
        <v>209</v>
      </c>
      <c r="C26" s="800"/>
      <c r="D26" s="801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6">
        <f t="shared" si="3"/>
        <v>0</v>
      </c>
      <c r="AH26" s="268">
        <f t="shared" si="3"/>
        <v>0</v>
      </c>
      <c r="AI26" s="268" t="e">
        <f t="shared" si="29"/>
        <v>#DIV/0!</v>
      </c>
      <c r="AJ26" s="268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6">
        <f t="shared" si="8"/>
        <v>0</v>
      </c>
      <c r="BB26" s="268">
        <f t="shared" si="8"/>
        <v>0</v>
      </c>
      <c r="BC26" s="268"/>
      <c r="BD26" s="268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6">
        <f t="shared" si="32"/>
        <v>0</v>
      </c>
      <c r="CH26" s="256">
        <f>R26+V26+Z26+AD26+BR26+BV26+F26+J26+N26+AL26+BZ26+AP26+AT26+AX26+BF26</f>
        <v>0</v>
      </c>
      <c r="CI26" s="268" t="e">
        <f t="shared" si="13"/>
        <v>#DIV/0!</v>
      </c>
      <c r="CJ26" s="268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799" t="s">
        <v>408</v>
      </c>
      <c r="C27" s="800"/>
      <c r="D27" s="801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6">
        <f t="shared" si="3"/>
        <v>0</v>
      </c>
      <c r="AH27" s="268">
        <f>F27+J27+N27+R27+V27+Z27+AD27</f>
        <v>0</v>
      </c>
      <c r="AI27" s="268" t="e">
        <f>AH27/AG27*100</f>
        <v>#DIV/0!</v>
      </c>
      <c r="AJ27" s="268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6">
        <f t="shared" si="8"/>
        <v>0</v>
      </c>
      <c r="BB27" s="256">
        <f>AL27+AP27+AT27+AX27</f>
        <v>0</v>
      </c>
      <c r="BC27" s="268" t="e">
        <f>BB27/BA27*100</f>
        <v>#DIV/0!</v>
      </c>
      <c r="BD27" s="268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6">
        <f t="shared" si="32"/>
        <v>0</v>
      </c>
      <c r="CH27" s="256">
        <f>R27+V27+Z27+AD27+BR27+BV27+F27+J27+N27+AL27+BZ27+AP27+AT27+AX27+BF27</f>
        <v>0</v>
      </c>
      <c r="CI27" s="268" t="e">
        <f>CH27/CG27*100</f>
        <v>#DIV/0!</v>
      </c>
      <c r="CJ27" s="268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781" t="s">
        <v>210</v>
      </c>
      <c r="C28" s="782"/>
      <c r="D28" s="783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6">
        <f t="shared" si="3"/>
        <v>0</v>
      </c>
      <c r="AH28" s="268">
        <f t="shared" si="3"/>
        <v>0</v>
      </c>
      <c r="AI28" s="268"/>
      <c r="AJ28" s="268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6">
        <f t="shared" si="8"/>
        <v>0</v>
      </c>
      <c r="BB28" s="268">
        <f t="shared" si="8"/>
        <v>0</v>
      </c>
      <c r="BC28" s="268"/>
      <c r="BD28" s="268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6">
        <f t="shared" si="32"/>
        <v>0</v>
      </c>
      <c r="CH28" s="256">
        <f>R28+V28+Z28+AD28+BR28+BV28+F28+J28+N28+AL28+BZ28+AP28+AT28+AX28+BF28+BN28</f>
        <v>0</v>
      </c>
      <c r="CI28" s="268"/>
      <c r="CJ28" s="268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781" t="s">
        <v>211</v>
      </c>
      <c r="C29" s="782"/>
      <c r="D29" s="78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6">
        <f t="shared" si="3"/>
        <v>75</v>
      </c>
      <c r="AH29" s="268">
        <f t="shared" si="3"/>
        <v>0</v>
      </c>
      <c r="AI29" s="268">
        <f t="shared" si="29"/>
        <v>0</v>
      </c>
      <c r="AJ29" s="268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6">
        <f t="shared" si="8"/>
        <v>0</v>
      </c>
      <c r="BB29" s="268">
        <f t="shared" si="8"/>
        <v>0</v>
      </c>
      <c r="BC29" s="268" t="e">
        <f>BB29/BA29*100</f>
        <v>#DIV/0!</v>
      </c>
      <c r="BD29" s="268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6">
        <f t="shared" si="32"/>
        <v>75</v>
      </c>
      <c r="CH29" s="256">
        <f>R29+V29+Z29+AD29+BR29+BV29+F29+J29+N29+AL29+BZ29+AP29+AT29+AX29+BF29</f>
        <v>0</v>
      </c>
      <c r="CI29" s="268">
        <f t="shared" si="13"/>
        <v>0</v>
      </c>
      <c r="CJ29" s="268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781" t="s">
        <v>450</v>
      </c>
      <c r="C30" s="782"/>
      <c r="D30" s="783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6">
        <f t="shared" si="3"/>
        <v>0</v>
      </c>
      <c r="AH30" s="268">
        <f t="shared" si="3"/>
        <v>0</v>
      </c>
      <c r="AI30" s="268" t="e">
        <f t="shared" si="29"/>
        <v>#DIV/0!</v>
      </c>
      <c r="AJ30" s="268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6">
        <f t="shared" si="8"/>
        <v>0</v>
      </c>
      <c r="BB30" s="268">
        <f t="shared" si="8"/>
        <v>0</v>
      </c>
      <c r="BC30" s="268"/>
      <c r="BD30" s="268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6">
        <f t="shared" si="32"/>
        <v>0</v>
      </c>
      <c r="CH30" s="256">
        <f>R30+V30+Z30+AD30+BR30+BV30+F30+J30+N30+AL30+BZ30+AP30+AT30+AX30+BF30</f>
        <v>0</v>
      </c>
      <c r="CI30" s="268" t="e">
        <f t="shared" si="13"/>
        <v>#DIV/0!</v>
      </c>
      <c r="CJ30" s="268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802" t="s">
        <v>266</v>
      </c>
      <c r="C31" s="803"/>
      <c r="D31" s="804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6">
        <f t="shared" si="3"/>
        <v>0</v>
      </c>
      <c r="AH31" s="268">
        <f t="shared" si="3"/>
        <v>0</v>
      </c>
      <c r="AI31" s="268" t="e">
        <f t="shared" si="29"/>
        <v>#DIV/0!</v>
      </c>
      <c r="AJ31" s="268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6">
        <f t="shared" si="8"/>
        <v>0</v>
      </c>
      <c r="BB31" s="268">
        <f t="shared" si="8"/>
        <v>0</v>
      </c>
      <c r="BC31" s="268"/>
      <c r="BD31" s="268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6">
        <f t="shared" si="32"/>
        <v>0</v>
      </c>
      <c r="CH31" s="256">
        <f>R31+V31+Z31+AD31+BR31+BV31+F31+J31+N31+AL31+BZ31+AP31+AT31+AX31+BF31</f>
        <v>0</v>
      </c>
      <c r="CI31" s="268" t="e">
        <f t="shared" si="13"/>
        <v>#DIV/0!</v>
      </c>
      <c r="CJ31" s="268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802" t="s">
        <v>418</v>
      </c>
      <c r="C32" s="803"/>
      <c r="D32" s="804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6">
        <f t="shared" si="3"/>
        <v>0</v>
      </c>
      <c r="AH32" s="268">
        <f t="shared" si="3"/>
        <v>0</v>
      </c>
      <c r="AI32" s="268"/>
      <c r="AJ32" s="268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6">
        <f t="shared" si="8"/>
        <v>0</v>
      </c>
      <c r="BB32" s="268">
        <f t="shared" si="8"/>
        <v>0</v>
      </c>
      <c r="BC32" s="268"/>
      <c r="BD32" s="268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6">
        <f t="shared" si="32"/>
        <v>0</v>
      </c>
      <c r="CH32" s="256">
        <f>R32+V32+Z32+AD32+BR32+BV32+F32+J32+N32+AL32+BZ32+AP32+AT32+AX32+BF32+BJ32</f>
        <v>0</v>
      </c>
      <c r="CI32" s="268" t="e">
        <f t="shared" si="13"/>
        <v>#DIV/0!</v>
      </c>
      <c r="CJ32" s="268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802" t="s">
        <v>242</v>
      </c>
      <c r="C33" s="803"/>
      <c r="D33" s="804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6">
        <f t="shared" si="3"/>
        <v>0</v>
      </c>
      <c r="AH33" s="268">
        <f t="shared" si="3"/>
        <v>0</v>
      </c>
      <c r="AI33" s="268" t="e">
        <f t="shared" si="29"/>
        <v>#DIV/0!</v>
      </c>
      <c r="AJ33" s="268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6">
        <f t="shared" si="8"/>
        <v>0</v>
      </c>
      <c r="BB33" s="268">
        <f t="shared" si="8"/>
        <v>0</v>
      </c>
      <c r="BC33" s="268"/>
      <c r="BD33" s="268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6">
        <f t="shared" si="32"/>
        <v>0</v>
      </c>
      <c r="CH33" s="256">
        <f>R33+V33+Z33+AD33+BR33+BV33+F33+J33+N33+AL33+BZ33+AP33+AT33+AX33+BF33</f>
        <v>0</v>
      </c>
      <c r="CI33" s="268" t="e">
        <f t="shared" si="13"/>
        <v>#DIV/0!</v>
      </c>
      <c r="CJ33" s="268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802" t="s">
        <v>451</v>
      </c>
      <c r="C34" s="803"/>
      <c r="D34" s="804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6">
        <f t="shared" si="3"/>
        <v>115</v>
      </c>
      <c r="AH34" s="268">
        <f t="shared" si="3"/>
        <v>0</v>
      </c>
      <c r="AI34" s="268">
        <f t="shared" si="29"/>
        <v>0</v>
      </c>
      <c r="AJ34" s="268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6">
        <f t="shared" si="8"/>
        <v>0</v>
      </c>
      <c r="BB34" s="268">
        <f t="shared" si="8"/>
        <v>0</v>
      </c>
      <c r="BC34" s="268"/>
      <c r="BD34" s="268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6">
        <f t="shared" si="32"/>
        <v>115</v>
      </c>
      <c r="CH34" s="256">
        <f>R34+V34+Z34+AD34+BR34+BV34+F34+J34+N34+AL34+BZ34+AP34+AT34+AX34+BF34</f>
        <v>0</v>
      </c>
      <c r="CI34" s="268">
        <f t="shared" si="13"/>
        <v>0</v>
      </c>
      <c r="CJ34" s="268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802" t="s">
        <v>212</v>
      </c>
      <c r="C35" s="803"/>
      <c r="D35" s="804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6">
        <f t="shared" si="3"/>
        <v>0</v>
      </c>
      <c r="AH35" s="268">
        <f t="shared" si="3"/>
        <v>0</v>
      </c>
      <c r="AI35" s="268" t="e">
        <f>AH35/AG35*100</f>
        <v>#DIV/0!</v>
      </c>
      <c r="AJ35" s="268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6">
        <f t="shared" si="8"/>
        <v>0</v>
      </c>
      <c r="BB35" s="256">
        <f t="shared" si="8"/>
        <v>0</v>
      </c>
      <c r="BC35" s="268"/>
      <c r="BD35" s="268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6">
        <f t="shared" si="32"/>
        <v>58.1</v>
      </c>
      <c r="CH35" s="256">
        <f>R35+V35+Z35+AD35+BR35+BV35+F35+J35+N35+AL35+BZ35+AP35+AT35+AX35+BF35+BN35+BJ35</f>
        <v>0</v>
      </c>
      <c r="CI35" s="268">
        <f t="shared" si="13"/>
        <v>0</v>
      </c>
      <c r="CJ35" s="268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802" t="s">
        <v>270</v>
      </c>
      <c r="C36" s="803"/>
      <c r="D36" s="804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6">
        <f t="shared" si="3"/>
        <v>0</v>
      </c>
      <c r="AH36" s="268">
        <f t="shared" si="3"/>
        <v>0</v>
      </c>
      <c r="AI36" s="268" t="e">
        <f>AH36/AG36*100</f>
        <v>#DIV/0!</v>
      </c>
      <c r="AJ36" s="268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6">
        <f t="shared" si="8"/>
        <v>0</v>
      </c>
      <c r="BB36" s="268">
        <f t="shared" si="8"/>
        <v>0</v>
      </c>
      <c r="BC36" s="268"/>
      <c r="BD36" s="268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6">
        <f t="shared" si="32"/>
        <v>0</v>
      </c>
      <c r="CH36" s="256">
        <f>R36+V36+Z36+AD36+BR36+BV36+F36+J36+N36+AL36+BZ36+AP36+AT36+AX36+BF36</f>
        <v>0</v>
      </c>
      <c r="CI36" s="268" t="e">
        <f t="shared" si="13"/>
        <v>#DIV/0!</v>
      </c>
      <c r="CJ36" s="268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802" t="s">
        <v>213</v>
      </c>
      <c r="C37" s="803"/>
      <c r="D37" s="804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6">
        <f t="shared" si="3"/>
        <v>0</v>
      </c>
      <c r="AH37" s="268">
        <f t="shared" si="3"/>
        <v>0</v>
      </c>
      <c r="AI37" s="268"/>
      <c r="AJ37" s="268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6">
        <f t="shared" si="8"/>
        <v>0</v>
      </c>
      <c r="BB37" s="268">
        <f t="shared" si="8"/>
        <v>0</v>
      </c>
      <c r="BC37" s="268"/>
      <c r="BD37" s="268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6">
        <f t="shared" si="32"/>
        <v>0</v>
      </c>
      <c r="CH37" s="256">
        <f>R37+V37+Z37+AD37+BR37+BV37+F37+J37+N37+AL37+BZ37+AP37+AT37+AX37+BF37</f>
        <v>0</v>
      </c>
      <c r="CI37" s="268" t="e">
        <f t="shared" si="13"/>
        <v>#DIV/0!</v>
      </c>
      <c r="CJ37" s="268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781" t="s">
        <v>407</v>
      </c>
      <c r="C38" s="782"/>
      <c r="D38" s="783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6">
        <f t="shared" si="3"/>
        <v>0</v>
      </c>
      <c r="AH38" s="268">
        <f t="shared" si="3"/>
        <v>0</v>
      </c>
      <c r="AI38" s="268"/>
      <c r="AJ38" s="268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6">
        <f t="shared" si="8"/>
        <v>0</v>
      </c>
      <c r="BB38" s="268">
        <f t="shared" si="8"/>
        <v>0</v>
      </c>
      <c r="BC38" s="268"/>
      <c r="BD38" s="268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6">
        <f t="shared" si="32"/>
        <v>0</v>
      </c>
      <c r="CH38" s="256">
        <f>R38+V38+Z38+AD38+BR38+BV38+F38+J38+N38+AL38+BZ38+AP38+AT38+AX38+BF38+BN38</f>
        <v>0</v>
      </c>
      <c r="CI38" s="268"/>
      <c r="CJ38" s="268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781" t="s">
        <v>271</v>
      </c>
      <c r="C39" s="782"/>
      <c r="D39" s="783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6">
        <f t="shared" si="3"/>
        <v>424</v>
      </c>
      <c r="AH39" s="268">
        <f t="shared" si="3"/>
        <v>0</v>
      </c>
      <c r="AI39" s="268"/>
      <c r="AJ39" s="268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6">
        <f t="shared" si="8"/>
        <v>0</v>
      </c>
      <c r="BB39" s="268">
        <f t="shared" si="8"/>
        <v>0</v>
      </c>
      <c r="BC39" s="268"/>
      <c r="BD39" s="268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6">
        <f t="shared" si="32"/>
        <v>456</v>
      </c>
      <c r="CH39" s="256">
        <f t="shared" ref="CH39:CH44" si="48">R39+V39+Z39+AD39+BR39+BV39+F39+J39+N39+AL39+BZ39+AP39+AT39+AX39+BF39</f>
        <v>0</v>
      </c>
      <c r="CI39" s="268">
        <f t="shared" si="13"/>
        <v>0</v>
      </c>
      <c r="CJ39" s="268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781" t="s">
        <v>214</v>
      </c>
      <c r="C40" s="782"/>
      <c r="D40" s="783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6">
        <f t="shared" si="3"/>
        <v>407</v>
      </c>
      <c r="AH40" s="268">
        <f t="shared" si="3"/>
        <v>0</v>
      </c>
      <c r="AI40" s="268">
        <f>AH40/AG40*100</f>
        <v>0</v>
      </c>
      <c r="AJ40" s="268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6">
        <f t="shared" si="8"/>
        <v>0</v>
      </c>
      <c r="BB40" s="268">
        <f t="shared" si="8"/>
        <v>0</v>
      </c>
      <c r="BC40" s="268"/>
      <c r="BD40" s="268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6">
        <f t="shared" si="32"/>
        <v>407</v>
      </c>
      <c r="CH40" s="256">
        <f t="shared" si="48"/>
        <v>0</v>
      </c>
      <c r="CI40" s="268">
        <f t="shared" si="13"/>
        <v>0</v>
      </c>
      <c r="CJ40" s="268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781" t="s">
        <v>497</v>
      </c>
      <c r="C41" s="782"/>
      <c r="D41" s="783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6">
        <f>E41+I41+M41+Q41+U41+Y41+AC41</f>
        <v>0</v>
      </c>
      <c r="AH41" s="268">
        <f>F41+J41+N41+R41+V41+Z41+AD41</f>
        <v>0</v>
      </c>
      <c r="AI41" s="268"/>
      <c r="AJ41" s="268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6">
        <f>AK41+AO41+AS41+AW41</f>
        <v>0</v>
      </c>
      <c r="BB41" s="268">
        <f>AL41+AP41+AT41+AX41</f>
        <v>0</v>
      </c>
      <c r="BC41" s="268"/>
      <c r="BD41" s="268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6">
        <f>AG41+BA41+BE41+BI41+BM41+BQ41+BU41+BY41</f>
        <v>0</v>
      </c>
      <c r="CH41" s="256">
        <f t="shared" si="48"/>
        <v>0</v>
      </c>
      <c r="CI41" s="268"/>
      <c r="CJ41" s="268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781" t="s">
        <v>622</v>
      </c>
      <c r="C42" s="782"/>
      <c r="D42" s="783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6">
        <f>E42+I42+M42+Q42+U42+Y42+AC42</f>
        <v>0</v>
      </c>
      <c r="AH42" s="268">
        <f>F42+J42+N42+R42+V42+Z42+AD42</f>
        <v>0</v>
      </c>
      <c r="AI42" s="268"/>
      <c r="AJ42" s="268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6">
        <f>AK42+AO42+AS42+AW42</f>
        <v>0</v>
      </c>
      <c r="BB42" s="268">
        <f>AL42+AP42+AT42+AX42</f>
        <v>0</v>
      </c>
      <c r="BC42" s="268"/>
      <c r="BD42" s="268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6">
        <f>AG42+BA42+BE42+BI42+BM42+BQ42+BU42+BY42</f>
        <v>247</v>
      </c>
      <c r="CH42" s="256">
        <f t="shared" si="48"/>
        <v>0</v>
      </c>
      <c r="CI42" s="268"/>
      <c r="CJ42" s="268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781" t="s">
        <v>576</v>
      </c>
      <c r="C43" s="782"/>
      <c r="D43" s="783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6">
        <f t="shared" si="3"/>
        <v>0</v>
      </c>
      <c r="AH43" s="268">
        <f t="shared" si="3"/>
        <v>0</v>
      </c>
      <c r="AI43" s="268" t="e">
        <f>AH43/AG43*100</f>
        <v>#DIV/0!</v>
      </c>
      <c r="AJ43" s="268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6">
        <f t="shared" si="8"/>
        <v>0</v>
      </c>
      <c r="BB43" s="268">
        <f t="shared" si="8"/>
        <v>0</v>
      </c>
      <c r="BC43" s="268"/>
      <c r="BD43" s="268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6">
        <f t="shared" si="32"/>
        <v>0</v>
      </c>
      <c r="CH43" s="256">
        <f t="shared" si="48"/>
        <v>0</v>
      </c>
      <c r="CI43" s="268" t="e">
        <f t="shared" si="13"/>
        <v>#DIV/0!</v>
      </c>
      <c r="CJ43" s="268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781" t="s">
        <v>268</v>
      </c>
      <c r="C44" s="782"/>
      <c r="D44" s="783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6">
        <f t="shared" si="3"/>
        <v>0</v>
      </c>
      <c r="AH44" s="268">
        <f t="shared" si="3"/>
        <v>0</v>
      </c>
      <c r="AI44" s="268"/>
      <c r="AJ44" s="268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6">
        <f t="shared" si="8"/>
        <v>0</v>
      </c>
      <c r="BB44" s="268">
        <f t="shared" si="8"/>
        <v>0</v>
      </c>
      <c r="BC44" s="268"/>
      <c r="BD44" s="268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6">
        <f t="shared" si="32"/>
        <v>0</v>
      </c>
      <c r="CH44" s="256">
        <f t="shared" si="48"/>
        <v>0</v>
      </c>
      <c r="CI44" s="268"/>
      <c r="CJ44" s="268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>
      <c r="A45" s="109">
        <v>290</v>
      </c>
      <c r="B45" s="793" t="s">
        <v>67</v>
      </c>
      <c r="C45" s="794"/>
      <c r="D45" s="795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6">
        <f t="shared" si="3"/>
        <v>0</v>
      </c>
      <c r="AH45" s="267">
        <f>AH46+AH47+AH48+AH50+AH49</f>
        <v>0</v>
      </c>
      <c r="AI45" s="267" t="e">
        <f>AH45/AG45*100</f>
        <v>#DIV/0!</v>
      </c>
      <c r="AJ45" s="267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6">
        <f t="shared" si="8"/>
        <v>0</v>
      </c>
      <c r="BB45" s="267">
        <f t="shared" si="51"/>
        <v>0</v>
      </c>
      <c r="BC45" s="267">
        <f t="shared" si="51"/>
        <v>0</v>
      </c>
      <c r="BD45" s="267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6">
        <f t="shared" si="32"/>
        <v>329</v>
      </c>
      <c r="CH45" s="275">
        <f>CH46+CH50+CH47</f>
        <v>3.6999999999999998E-2</v>
      </c>
      <c r="CI45" s="267" t="e">
        <f>CI46+CI50+CI47</f>
        <v>#DIV/0!</v>
      </c>
      <c r="CJ45" s="267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796" t="s">
        <v>244</v>
      </c>
      <c r="C46" s="797"/>
      <c r="D46" s="798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6">
        <f t="shared" si="3"/>
        <v>0</v>
      </c>
      <c r="AH46" s="268">
        <f>F46+J46+N46+R46+V46+Z46+AD46</f>
        <v>0</v>
      </c>
      <c r="AI46" s="268"/>
      <c r="AJ46" s="268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6">
        <f t="shared" si="8"/>
        <v>0</v>
      </c>
      <c r="BB46" s="268">
        <f>AL46+AP46+AT46+AX46</f>
        <v>0</v>
      </c>
      <c r="BC46" s="268"/>
      <c r="BD46" s="268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6">
        <f t="shared" si="32"/>
        <v>0</v>
      </c>
      <c r="CH46" s="256">
        <f>R46+V46+Z46+AD46+BR46+BV46+F46+J46+N46+AL46+BZ46+AP46+AT46+AX46+BF46</f>
        <v>3.6999999999999998E-2</v>
      </c>
      <c r="CI46" s="268" t="e">
        <f t="shared" si="13"/>
        <v>#DIV/0!</v>
      </c>
      <c r="CJ46" s="268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781" t="s">
        <v>215</v>
      </c>
      <c r="C47" s="782"/>
      <c r="D47" s="78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6">
        <f t="shared" si="3"/>
        <v>0</v>
      </c>
      <c r="AH47" s="268">
        <f>F47+J47+N47+R47+V47+Z47+AD47</f>
        <v>0</v>
      </c>
      <c r="AI47" s="268" t="e">
        <f>AH47/AG47*100</f>
        <v>#DIV/0!</v>
      </c>
      <c r="AJ47" s="268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6">
        <f t="shared" si="8"/>
        <v>0</v>
      </c>
      <c r="BB47" s="268">
        <f>AL47+AP47+AT47+AX47</f>
        <v>0</v>
      </c>
      <c r="BC47" s="268"/>
      <c r="BD47" s="268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6">
        <f t="shared" si="32"/>
        <v>21</v>
      </c>
      <c r="CH47" s="256">
        <f>R47+V47+Z47+AD47+BR47+BV47+F47+J47+N47+AL47+BZ47+AP47+AT47+AX47+BF47</f>
        <v>0</v>
      </c>
      <c r="CI47" s="268">
        <f t="shared" si="13"/>
        <v>0</v>
      </c>
      <c r="CJ47" s="268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781" t="s">
        <v>216</v>
      </c>
      <c r="C48" s="782"/>
      <c r="D48" s="78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6">
        <f t="shared" si="3"/>
        <v>0</v>
      </c>
      <c r="AH48" s="268">
        <f>F48+J48+N48+R48+V48+Z48+AD48</f>
        <v>0</v>
      </c>
      <c r="AI48" s="268" t="e">
        <f>AH48/AG48*100</f>
        <v>#DIV/0!</v>
      </c>
      <c r="AJ48" s="26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6">
        <f t="shared" si="8"/>
        <v>0</v>
      </c>
      <c r="BB48" s="268">
        <f>AL48+AP48+AT48+AX48</f>
        <v>0</v>
      </c>
      <c r="BC48" s="268"/>
      <c r="BD48" s="268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6">
        <f t="shared" si="32"/>
        <v>0</v>
      </c>
      <c r="CH48" s="256">
        <f>R48+V48+Z48+AD48+BR48+BV48+F48+J48+N48+AL48+BZ48+AP48+AT48+AX48+BF48</f>
        <v>0</v>
      </c>
      <c r="CI48" s="268" t="e">
        <f t="shared" si="13"/>
        <v>#DIV/0!</v>
      </c>
      <c r="CJ48" s="268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781" t="s">
        <v>240</v>
      </c>
      <c r="C49" s="782"/>
      <c r="D49" s="78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6">
        <f t="shared" si="3"/>
        <v>0</v>
      </c>
      <c r="AH49" s="268">
        <f>F49+J49+N49+R49+V49+Z49+AD49</f>
        <v>0</v>
      </c>
      <c r="AI49" s="268" t="e">
        <f>AH49/AG49*100</f>
        <v>#DIV/0!</v>
      </c>
      <c r="AJ49" s="26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6">
        <f t="shared" si="8"/>
        <v>0</v>
      </c>
      <c r="BB49" s="268">
        <f>AL49+AP49+AT49+AX49</f>
        <v>0</v>
      </c>
      <c r="BC49" s="268"/>
      <c r="BD49" s="26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6">
        <f t="shared" si="32"/>
        <v>0</v>
      </c>
      <c r="CH49" s="256">
        <f>R49+V49+Z49+AD49+BR49+BV49+F49+J49+N49+AL49+BZ49+AP49+AT49+AX49+BF49</f>
        <v>0</v>
      </c>
      <c r="CI49" s="268"/>
      <c r="CJ49" s="268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799" t="s">
        <v>210</v>
      </c>
      <c r="C50" s="800"/>
      <c r="D50" s="801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6">
        <f t="shared" si="3"/>
        <v>0</v>
      </c>
      <c r="AH50" s="268">
        <f>F50+J50+N50+R50+V50+Z50+AD50</f>
        <v>0</v>
      </c>
      <c r="AI50" s="268"/>
      <c r="AJ50" s="268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6">
        <f t="shared" si="8"/>
        <v>0</v>
      </c>
      <c r="BB50" s="268">
        <f>AL50+AP50+AT50+AX50</f>
        <v>0</v>
      </c>
      <c r="BC50" s="268"/>
      <c r="BD50" s="268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6">
        <f t="shared" si="32"/>
        <v>308</v>
      </c>
      <c r="CH50" s="256">
        <f>R50+V50+Z50+AD50+BR50+BV50+F50+J50+N50+AL50+BZ50+AP50+AT50+AX50+BF50</f>
        <v>0</v>
      </c>
      <c r="CI50" s="268">
        <f t="shared" si="13"/>
        <v>0</v>
      </c>
      <c r="CJ50" s="268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790" t="s">
        <v>217</v>
      </c>
      <c r="C51" s="791"/>
      <c r="D51" s="792"/>
      <c r="E51" s="99">
        <f>E52+E55</f>
        <v>1525</v>
      </c>
      <c r="F51" s="99">
        <f>F52+F55</f>
        <v>0</v>
      </c>
      <c r="G51" s="99">
        <f>F51/E51*100</f>
        <v>0</v>
      </c>
      <c r="H51" s="262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2">
        <f t="shared" si="3"/>
        <v>26770</v>
      </c>
      <c r="AH51" s="272">
        <f>AH52+AH55</f>
        <v>0</v>
      </c>
      <c r="AI51" s="266">
        <f t="shared" ref="AI51:AI66" si="59">AH51/AG51*100</f>
        <v>0</v>
      </c>
      <c r="AJ51" s="270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2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2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2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2">
        <f>AX51-AW51</f>
        <v>-425</v>
      </c>
      <c r="BA51" s="266">
        <f t="shared" si="8"/>
        <v>1470</v>
      </c>
      <c r="BB51" s="266">
        <f>BB52+BB55</f>
        <v>0</v>
      </c>
      <c r="BC51" s="266">
        <f>BB51/BA51*100</f>
        <v>0</v>
      </c>
      <c r="BD51" s="268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2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2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2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6">
        <f t="shared" si="32"/>
        <v>29008.3</v>
      </c>
      <c r="CH51" s="272">
        <f>CH52+CH55</f>
        <v>0</v>
      </c>
      <c r="CI51" s="266">
        <f t="shared" si="13"/>
        <v>0</v>
      </c>
      <c r="CJ51" s="266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778" t="s">
        <v>218</v>
      </c>
      <c r="C52" s="779"/>
      <c r="D52" s="780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2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6">
        <f t="shared" si="3"/>
        <v>1300</v>
      </c>
      <c r="AH52" s="273">
        <f>AH53+AH54</f>
        <v>0</v>
      </c>
      <c r="AI52" s="273">
        <f t="shared" si="59"/>
        <v>0</v>
      </c>
      <c r="AJ52" s="274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6">
        <f t="shared" si="8"/>
        <v>20</v>
      </c>
      <c r="BB52" s="273">
        <f>BB53+BB54</f>
        <v>0</v>
      </c>
      <c r="BC52" s="273">
        <f>BB52/BA52*100</f>
        <v>0</v>
      </c>
      <c r="BD52" s="273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6">
        <f t="shared" si="32"/>
        <v>1504</v>
      </c>
      <c r="CH52" s="277">
        <f>CH53+CH54</f>
        <v>0</v>
      </c>
      <c r="CI52" s="273">
        <f t="shared" si="13"/>
        <v>0</v>
      </c>
      <c r="CJ52" s="273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784" t="s">
        <v>219</v>
      </c>
      <c r="C53" s="785"/>
      <c r="D53" s="786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6">
        <f t="shared" si="3"/>
        <v>1300</v>
      </c>
      <c r="AH53" s="268">
        <f>F53+J53+N53+R53+V53+Z53+AD53</f>
        <v>0</v>
      </c>
      <c r="AI53" s="273">
        <f t="shared" si="59"/>
        <v>0</v>
      </c>
      <c r="AJ53" s="270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6">
        <f t="shared" si="8"/>
        <v>0</v>
      </c>
      <c r="BB53" s="268">
        <f>AL53+AP53+AT53+AX53</f>
        <v>0</v>
      </c>
      <c r="BC53" s="268" t="e">
        <f>BB53/BA53*100</f>
        <v>#DIV/0!</v>
      </c>
      <c r="BD53" s="268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6">
        <f t="shared" si="32"/>
        <v>1424</v>
      </c>
      <c r="CH53" s="256">
        <f>R53+V53+Z53+AD53+BR53+BV53+F53+J53+N53+AL53+BZ53+AP53+AT53+AX53+BF53</f>
        <v>0</v>
      </c>
      <c r="CI53" s="268">
        <f t="shared" si="13"/>
        <v>0</v>
      </c>
      <c r="CJ53" s="268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784" t="s">
        <v>220</v>
      </c>
      <c r="C54" s="785"/>
      <c r="D54" s="786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6">
        <f t="shared" si="3"/>
        <v>0</v>
      </c>
      <c r="AH54" s="268">
        <f>F54+J54+N54+R54+V54+Z54+AD54</f>
        <v>0</v>
      </c>
      <c r="AI54" s="273" t="e">
        <f t="shared" si="59"/>
        <v>#DIV/0!</v>
      </c>
      <c r="AJ54" s="270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6">
        <f t="shared" si="8"/>
        <v>20</v>
      </c>
      <c r="BB54" s="268">
        <f>AL54+AP54+AT54+AX54</f>
        <v>0</v>
      </c>
      <c r="BC54" s="268"/>
      <c r="BD54" s="268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6">
        <f t="shared" si="32"/>
        <v>80</v>
      </c>
      <c r="CH54" s="256">
        <f>R54+V54+Z54+AD54+BR54+BV54+F54+J54+N54+BJ54+BB54</f>
        <v>0</v>
      </c>
      <c r="CI54" s="268">
        <f>CH54/CG54*100</f>
        <v>0</v>
      </c>
      <c r="CJ54" s="268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787" t="s">
        <v>141</v>
      </c>
      <c r="C55" s="788"/>
      <c r="D55" s="789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2">
        <f t="shared" si="3"/>
        <v>25470</v>
      </c>
      <c r="AH55" s="275">
        <f>AH56+AH57+AH58+AH59+AH60+AH61+AH62+AH63+AH64+AH65</f>
        <v>0</v>
      </c>
      <c r="AI55" s="267">
        <f t="shared" si="59"/>
        <v>0</v>
      </c>
      <c r="AJ55" s="269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6">
        <f t="shared" si="8"/>
        <v>1450</v>
      </c>
      <c r="BB55" s="275">
        <f>SUM(BB56:BB65)</f>
        <v>0</v>
      </c>
      <c r="BC55" s="267">
        <f>BB55/BA55*100</f>
        <v>0</v>
      </c>
      <c r="BD55" s="267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6">
        <f t="shared" si="32"/>
        <v>27504.3</v>
      </c>
      <c r="CH55" s="275">
        <f>CH56+CH57+CH58+CH59+CH60+CH61+CH62+CH63+CH64+CH65</f>
        <v>0</v>
      </c>
      <c r="CI55" s="267">
        <f t="shared" si="13"/>
        <v>0</v>
      </c>
      <c r="CJ55" s="267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>
      <c r="A56" s="108"/>
      <c r="B56" s="772" t="s">
        <v>221</v>
      </c>
      <c r="C56" s="773"/>
      <c r="D56" s="774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6">
        <f t="shared" si="3"/>
        <v>21700</v>
      </c>
      <c r="AH56" s="268">
        <f t="shared" si="3"/>
        <v>0</v>
      </c>
      <c r="AI56" s="268">
        <f t="shared" si="59"/>
        <v>0</v>
      </c>
      <c r="AJ56" s="270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6">
        <f t="shared" si="8"/>
        <v>825</v>
      </c>
      <c r="BB56" s="268">
        <f t="shared" si="8"/>
        <v>0</v>
      </c>
      <c r="BC56" s="268">
        <f>BB56/BA56*100</f>
        <v>0</v>
      </c>
      <c r="BD56" s="268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6">
        <f t="shared" si="32"/>
        <v>22570</v>
      </c>
      <c r="CH56" s="256">
        <f>R56+V56+Z56+AD56+BR56+BV56+F56+J56+N56+AL56+BZ56+AP56+AT56+AX56+BF56+BJ56</f>
        <v>0</v>
      </c>
      <c r="CI56" s="268">
        <f t="shared" si="13"/>
        <v>0</v>
      </c>
      <c r="CJ56" s="268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>
      <c r="A57" s="108"/>
      <c r="B57" s="772" t="s">
        <v>454</v>
      </c>
      <c r="C57" s="773"/>
      <c r="D57" s="774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6">
        <f t="shared" si="3"/>
        <v>1750</v>
      </c>
      <c r="AH57" s="268">
        <f t="shared" si="3"/>
        <v>0</v>
      </c>
      <c r="AI57" s="268">
        <f t="shared" si="59"/>
        <v>0</v>
      </c>
      <c r="AJ57" s="270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6">
        <f t="shared" si="8"/>
        <v>190</v>
      </c>
      <c r="BB57" s="268">
        <f t="shared" si="8"/>
        <v>0</v>
      </c>
      <c r="BC57" s="268">
        <f>BB57/BA57*100</f>
        <v>0</v>
      </c>
      <c r="BD57" s="268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6">
        <f t="shared" si="32"/>
        <v>2099.3000000000002</v>
      </c>
      <c r="CH57" s="256">
        <f>R57+V57+Z57+AD57+BR57+BV57+F57+J57+N57+AL57+BZ57+AP57+AT57+AX57+BF57+BJ57+BN57</f>
        <v>0</v>
      </c>
      <c r="CI57" s="268">
        <f t="shared" si="13"/>
        <v>0</v>
      </c>
      <c r="CJ57" s="268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>
      <c r="A58" s="108"/>
      <c r="B58" s="772" t="s">
        <v>222</v>
      </c>
      <c r="C58" s="773"/>
      <c r="D58" s="774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6">
        <f t="shared" si="3"/>
        <v>155</v>
      </c>
      <c r="AH58" s="268">
        <f t="shared" si="3"/>
        <v>0</v>
      </c>
      <c r="AI58" s="268">
        <f t="shared" si="59"/>
        <v>0</v>
      </c>
      <c r="AJ58" s="270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6">
        <f t="shared" si="8"/>
        <v>20</v>
      </c>
      <c r="BB58" s="268">
        <f t="shared" si="8"/>
        <v>0</v>
      </c>
      <c r="BC58" s="268"/>
      <c r="BD58" s="268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6">
        <f t="shared" si="32"/>
        <v>190</v>
      </c>
      <c r="CH58" s="256">
        <f>R58+V58+Z58+AD58+BR58+BV58+F58+J58+N58+AL58+BZ58+AP58+AT58+AX58+BF58+BJ58+BN58</f>
        <v>0</v>
      </c>
      <c r="CI58" s="268">
        <f t="shared" si="13"/>
        <v>0</v>
      </c>
      <c r="CJ58" s="268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>
      <c r="A59" s="108"/>
      <c r="B59" s="772" t="s">
        <v>223</v>
      </c>
      <c r="C59" s="773"/>
      <c r="D59" s="774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6">
        <f t="shared" si="3"/>
        <v>1145</v>
      </c>
      <c r="AH59" s="268">
        <f t="shared" si="3"/>
        <v>0</v>
      </c>
      <c r="AI59" s="268">
        <f t="shared" si="59"/>
        <v>0</v>
      </c>
      <c r="AJ59" s="270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6">
        <f t="shared" si="8"/>
        <v>80</v>
      </c>
      <c r="BB59" s="268">
        <f t="shared" si="8"/>
        <v>0</v>
      </c>
      <c r="BC59" s="268">
        <f>BB59/BA59*100</f>
        <v>0</v>
      </c>
      <c r="BD59" s="268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6">
        <f t="shared" si="32"/>
        <v>1275</v>
      </c>
      <c r="CH59" s="256">
        <f>R59+V59+Z59+AD59+BR59+BV59+F59+J59+N59+AL59+BZ59+AP59+AT59+AX59+BF59+BJ59+BN59</f>
        <v>0</v>
      </c>
      <c r="CI59" s="268">
        <f t="shared" si="13"/>
        <v>0</v>
      </c>
      <c r="CJ59" s="268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>
      <c r="A60" s="108"/>
      <c r="B60" s="772" t="s">
        <v>224</v>
      </c>
      <c r="C60" s="773"/>
      <c r="D60" s="774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6">
        <f t="shared" si="3"/>
        <v>720</v>
      </c>
      <c r="AH60" s="268">
        <f t="shared" si="3"/>
        <v>0</v>
      </c>
      <c r="AI60" s="268"/>
      <c r="AJ60" s="270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6">
        <f t="shared" si="8"/>
        <v>320</v>
      </c>
      <c r="BB60" s="268">
        <f t="shared" si="8"/>
        <v>0</v>
      </c>
      <c r="BC60" s="268"/>
      <c r="BD60" s="268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6">
        <f>AG60+BA60+BE60+BI60+BM60+BQ60+BU60+BY60</f>
        <v>1150</v>
      </c>
      <c r="CH60" s="256">
        <f>R60+V60+Z60+AD60+BR60+BV60+F60+J60+N60+AL60+BZ60+AP60+AT60+AX60+BF60+BJ60</f>
        <v>0</v>
      </c>
      <c r="CI60" s="268">
        <f>CH60/CG60*100</f>
        <v>0</v>
      </c>
      <c r="CJ60" s="268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>
      <c r="A61" s="108"/>
      <c r="B61" s="772" t="s">
        <v>619</v>
      </c>
      <c r="C61" s="773"/>
      <c r="D61" s="774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6">
        <f t="shared" si="3"/>
        <v>0</v>
      </c>
      <c r="AH61" s="268">
        <f t="shared" si="3"/>
        <v>0</v>
      </c>
      <c r="AI61" s="268" t="e">
        <f t="shared" si="59"/>
        <v>#DIV/0!</v>
      </c>
      <c r="AJ61" s="270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6">
        <f t="shared" si="8"/>
        <v>15</v>
      </c>
      <c r="BB61" s="268">
        <f t="shared" si="8"/>
        <v>0</v>
      </c>
      <c r="BC61" s="268"/>
      <c r="BD61" s="268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6">
        <f t="shared" si="32"/>
        <v>15</v>
      </c>
      <c r="CH61" s="256">
        <f>R61+V61+Z61+AD61+BR61+BV61+F61+J61+N61+AL61+BZ61+AP61+AT61+AX61+BF61+BJ61</f>
        <v>0</v>
      </c>
      <c r="CI61" s="268">
        <f>CH61/CG61*100</f>
        <v>0</v>
      </c>
      <c r="CJ61" s="268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>
      <c r="A62" s="108"/>
      <c r="B62" s="772" t="s">
        <v>243</v>
      </c>
      <c r="C62" s="773"/>
      <c r="D62" s="774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6">
        <f t="shared" si="3"/>
        <v>0</v>
      </c>
      <c r="AH62" s="268">
        <f t="shared" si="3"/>
        <v>0</v>
      </c>
      <c r="AI62" s="268" t="e">
        <f t="shared" si="59"/>
        <v>#DIV/0!</v>
      </c>
      <c r="AJ62" s="270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6">
        <f t="shared" si="8"/>
        <v>0</v>
      </c>
      <c r="BB62" s="268">
        <f t="shared" si="8"/>
        <v>0</v>
      </c>
      <c r="BC62" s="268"/>
      <c r="BD62" s="268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6">
        <f t="shared" si="32"/>
        <v>0</v>
      </c>
      <c r="CH62" s="256">
        <f>R62+V62+Z62+AD62+BR62+BV62+F62+J62+N62+AL62+BZ62+AP62+AT62+AX62+BF62</f>
        <v>0</v>
      </c>
      <c r="CI62" s="268" t="e">
        <f>CH62/CG62*100</f>
        <v>#DIV/0!</v>
      </c>
      <c r="CJ62" s="268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>
      <c r="A63" s="108"/>
      <c r="B63" s="772" t="s">
        <v>148</v>
      </c>
      <c r="C63" s="773"/>
      <c r="D63" s="774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6">
        <f t="shared" si="3"/>
        <v>0</v>
      </c>
      <c r="AH63" s="268">
        <f t="shared" si="3"/>
        <v>0</v>
      </c>
      <c r="AI63" s="268"/>
      <c r="AJ63" s="270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6">
        <f t="shared" si="8"/>
        <v>0</v>
      </c>
      <c r="BB63" s="268">
        <f t="shared" si="8"/>
        <v>0</v>
      </c>
      <c r="BC63" s="268"/>
      <c r="BD63" s="268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6">
        <f t="shared" si="32"/>
        <v>25</v>
      </c>
      <c r="CH63" s="256">
        <f>R63+V63+Z63+AD63+BR63+BV63+F63+J63+N63+AL63+BZ63+AP63+AT63+AX63+BF63</f>
        <v>0</v>
      </c>
      <c r="CI63" s="268">
        <f t="shared" si="13"/>
        <v>0</v>
      </c>
      <c r="CJ63" s="268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>
      <c r="A64" s="108"/>
      <c r="B64" s="772" t="s">
        <v>226</v>
      </c>
      <c r="C64" s="773"/>
      <c r="D64" s="774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6">
        <f t="shared" si="3"/>
        <v>0</v>
      </c>
      <c r="AH64" s="268">
        <f t="shared" si="3"/>
        <v>0</v>
      </c>
      <c r="AI64" s="268" t="e">
        <f t="shared" si="59"/>
        <v>#DIV/0!</v>
      </c>
      <c r="AJ64" s="270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6">
        <f t="shared" si="8"/>
        <v>0</v>
      </c>
      <c r="BB64" s="268">
        <f t="shared" si="8"/>
        <v>0</v>
      </c>
      <c r="BC64" s="268"/>
      <c r="BD64" s="268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6">
        <f t="shared" si="32"/>
        <v>0</v>
      </c>
      <c r="CH64" s="256">
        <f>R64+V64+Z64+AD64+BR64+BV64+F64+J64+N64+AL64+BZ64+AP64+AT64+AX64+BF64</f>
        <v>0</v>
      </c>
      <c r="CI64" s="268" t="e">
        <f t="shared" si="13"/>
        <v>#DIV/0!</v>
      </c>
      <c r="CJ64" s="268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>
      <c r="A65" s="108"/>
      <c r="B65" s="772" t="s">
        <v>227</v>
      </c>
      <c r="C65" s="773"/>
      <c r="D65" s="774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6">
        <f t="shared" si="3"/>
        <v>0</v>
      </c>
      <c r="AH65" s="268">
        <f t="shared" si="3"/>
        <v>0</v>
      </c>
      <c r="AI65" s="268" t="e">
        <f t="shared" si="59"/>
        <v>#DIV/0!</v>
      </c>
      <c r="AJ65" s="270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6">
        <f t="shared" si="8"/>
        <v>0</v>
      </c>
      <c r="BB65" s="268">
        <f t="shared" si="8"/>
        <v>0</v>
      </c>
      <c r="BC65" s="268"/>
      <c r="BD65" s="268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6">
        <f t="shared" si="32"/>
        <v>180</v>
      </c>
      <c r="CH65" s="256">
        <f>R65+V65+Z65+AD65+BR65+BV65+F65+J65+N65+AL65+BZ65+AP65+AT65+AX65+BF65+BJ65</f>
        <v>0</v>
      </c>
      <c r="CI65" s="268">
        <f t="shared" si="13"/>
        <v>0</v>
      </c>
      <c r="CJ65" s="268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775" t="s">
        <v>228</v>
      </c>
      <c r="C66" s="776"/>
      <c r="D66" s="777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6">
        <f>E66+I66+M66+Q66+U66+Y66+AC66</f>
        <v>28142</v>
      </c>
      <c r="AH66" s="272">
        <f>AH5+AH51</f>
        <v>0</v>
      </c>
      <c r="AI66" s="266">
        <f t="shared" si="59"/>
        <v>0</v>
      </c>
      <c r="AJ66" s="271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6">
        <f>AK66+AO66+AS66+AW66</f>
        <v>1580</v>
      </c>
      <c r="BB66" s="272">
        <f>BB5+BB51</f>
        <v>0</v>
      </c>
      <c r="BC66" s="266">
        <f>BB66/BA66*100</f>
        <v>0</v>
      </c>
      <c r="BD66" s="266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6">
        <f>AG66+BA66+BE66+BI66+BM66+BQ66+BU66+BY66</f>
        <v>31481.8</v>
      </c>
      <c r="CH66" s="272">
        <f>CH5+CH51</f>
        <v>3.6999999999999998E-2</v>
      </c>
      <c r="CI66" s="266">
        <f t="shared" si="13"/>
        <v>1.175282226556296E-4</v>
      </c>
      <c r="CJ66" s="266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5">
        <v>23605.599999999999</v>
      </c>
    </row>
    <row r="72" spans="1:179">
      <c r="AF72" s="98">
        <f>AG66+BA66+BE66+BI66+BM66</f>
        <v>29882</v>
      </c>
      <c r="AG72" s="258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A890"/>
  <sheetViews>
    <sheetView view="pageBreakPreview" zoomScale="91" zoomScaleSheetLayoutView="91"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activeCell="BT24" sqref="BT24"/>
    </sheetView>
  </sheetViews>
  <sheetFormatPr defaultRowHeight="12.75"/>
  <cols>
    <col min="1" max="1" width="4.42578125" style="98" customWidth="1"/>
    <col min="2" max="2" width="23.42578125" style="98" customWidth="1"/>
    <col min="3" max="3" width="9.140625" style="98"/>
    <col min="4" max="4" width="1.5703125" style="98" customWidth="1"/>
    <col min="5" max="5" width="6.42578125" style="98" customWidth="1"/>
    <col min="6" max="6" width="6.28515625" style="423" customWidth="1"/>
    <col min="7" max="7" width="8.140625" style="133" customWidth="1"/>
    <col min="8" max="8" width="6" style="98" customWidth="1"/>
    <col min="9" max="9" width="7.140625" style="98" customWidth="1"/>
    <col min="10" max="10" width="7.85546875" style="423" customWidth="1"/>
    <col min="11" max="11" width="4.5703125" style="98" customWidth="1"/>
    <col min="12" max="12" width="6" style="98" customWidth="1"/>
    <col min="13" max="13" width="7.5703125" style="98" customWidth="1"/>
    <col min="14" max="14" width="8.7109375" style="423" customWidth="1"/>
    <col min="15" max="16" width="6.28515625" style="98" customWidth="1"/>
    <col min="17" max="17" width="7" style="98" customWidth="1"/>
    <col min="18" max="18" width="7.5703125" style="423" customWidth="1"/>
    <col min="19" max="19" width="6" style="98" customWidth="1"/>
    <col min="20" max="20" width="6.140625" style="98" customWidth="1"/>
    <col min="21" max="21" width="7.7109375" style="98" customWidth="1"/>
    <col min="22" max="22" width="7.28515625" style="423" customWidth="1"/>
    <col min="23" max="23" width="6.7109375" style="98" customWidth="1"/>
    <col min="24" max="24" width="7.28515625" style="98" customWidth="1"/>
    <col min="25" max="25" width="7.42578125" style="98" customWidth="1"/>
    <col min="26" max="26" width="7.5703125" style="423" customWidth="1"/>
    <col min="27" max="27" width="5.42578125" style="98" customWidth="1"/>
    <col min="28" max="28" width="5.7109375" style="98" customWidth="1"/>
    <col min="29" max="29" width="7.42578125" style="98" customWidth="1"/>
    <col min="30" max="30" width="10.7109375" style="423" customWidth="1"/>
    <col min="31" max="31" width="6.5703125" style="98" customWidth="1"/>
    <col min="32" max="32" width="6.42578125" style="98" customWidth="1"/>
    <col min="33" max="33" width="8.140625" style="98" customWidth="1"/>
    <col min="34" max="34" width="12" style="423" customWidth="1"/>
    <col min="35" max="35" width="5.85546875" style="98" customWidth="1"/>
    <col min="36" max="36" width="7.140625" style="98" customWidth="1"/>
    <col min="37" max="37" width="6.28515625" style="98" customWidth="1"/>
    <col min="38" max="38" width="6.85546875" style="423" customWidth="1"/>
    <col min="39" max="39" width="5.140625" style="98" customWidth="1"/>
    <col min="40" max="40" width="4.7109375" style="98" customWidth="1"/>
    <col min="41" max="41" width="5.140625" style="98" customWidth="1"/>
    <col min="42" max="42" width="5.5703125" style="423" customWidth="1"/>
    <col min="43" max="43" width="4" style="98" customWidth="1"/>
    <col min="44" max="44" width="5.28515625" style="98" customWidth="1"/>
    <col min="45" max="45" width="5.42578125" style="98" customWidth="1"/>
    <col min="46" max="46" width="6" style="423" customWidth="1"/>
    <col min="47" max="47" width="8.85546875" style="98" customWidth="1"/>
    <col min="48" max="48" width="5.140625" style="98" customWidth="1"/>
    <col min="49" max="49" width="5.5703125" style="98" customWidth="1"/>
    <col min="50" max="50" width="5.42578125" style="423" customWidth="1"/>
    <col min="51" max="51" width="5.28515625" style="98" customWidth="1"/>
    <col min="52" max="52" width="5.42578125" style="98" customWidth="1"/>
    <col min="53" max="53" width="8.7109375" style="98" customWidth="1"/>
    <col min="54" max="54" width="11.140625" style="423" customWidth="1"/>
    <col min="55" max="56" width="5.85546875" style="98" customWidth="1"/>
    <col min="57" max="57" width="6" style="98" customWidth="1"/>
    <col min="58" max="58" width="9.5703125" style="423" customWidth="1"/>
    <col min="59" max="60" width="4" style="98" customWidth="1"/>
    <col min="61" max="61" width="5" style="98" customWidth="1"/>
    <col min="62" max="62" width="5" style="423" customWidth="1"/>
    <col min="63" max="63" width="4" style="98" customWidth="1"/>
    <col min="64" max="64" width="5.28515625" style="98" customWidth="1"/>
    <col min="65" max="65" width="6" style="98" customWidth="1"/>
    <col min="66" max="66" width="4.7109375" style="423" customWidth="1"/>
    <col min="67" max="67" width="3.85546875" style="98" customWidth="1"/>
    <col min="68" max="68" width="5.140625" style="98" customWidth="1"/>
    <col min="69" max="69" width="6.28515625" style="98" customWidth="1"/>
    <col min="70" max="70" width="8.140625" style="423" customWidth="1"/>
    <col min="71" max="71" width="7.85546875" style="98" customWidth="1"/>
    <col min="72" max="72" width="11" style="98" customWidth="1"/>
    <col min="73" max="73" width="6.28515625" style="98" customWidth="1"/>
    <col min="74" max="74" width="7.85546875" style="423" customWidth="1"/>
    <col min="75" max="75" width="7.5703125" style="98" customWidth="1"/>
    <col min="76" max="76" width="5.42578125" style="98" customWidth="1"/>
    <col min="77" max="77" width="6.42578125" style="98" customWidth="1"/>
    <col min="78" max="78" width="9.28515625" style="423" customWidth="1"/>
    <col min="79" max="79" width="8" style="98" customWidth="1"/>
    <col min="80" max="80" width="5.85546875" style="134" customWidth="1"/>
    <col min="81" max="81" width="5.85546875" style="115" customWidth="1"/>
    <col min="82" max="82" width="7.5703125" style="422" customWidth="1"/>
    <col min="83" max="84" width="4" style="115" customWidth="1"/>
    <col min="85" max="85" width="8.28515625" style="115" customWidth="1"/>
    <col min="86" max="86" width="9.28515625" style="422" customWidth="1"/>
    <col min="87" max="87" width="8" style="115" customWidth="1"/>
    <col min="88" max="88" width="4.85546875" style="115" customWidth="1"/>
    <col min="89" max="89" width="8.85546875" style="98" customWidth="1"/>
    <col min="90" max="90" width="11.140625" style="98" customWidth="1"/>
    <col min="91" max="91" width="9.42578125" style="98" customWidth="1"/>
    <col min="92" max="92" width="7" style="98" customWidth="1"/>
    <col min="93" max="96" width="9.140625" style="98" hidden="1" customWidth="1"/>
    <col min="97" max="101" width="0" style="98" hidden="1" customWidth="1"/>
    <col min="102" max="183" width="9.140625" style="423"/>
    <col min="184" max="16384" width="9.140625" style="98"/>
  </cols>
  <sheetData>
    <row r="1" spans="1:183" ht="18.75">
      <c r="A1" s="818" t="s">
        <v>966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284"/>
      <c r="Y1" s="284"/>
      <c r="Z1" s="494"/>
      <c r="AA1" s="284"/>
      <c r="AB1" s="284"/>
      <c r="AC1" s="284"/>
      <c r="AD1" s="494"/>
      <c r="AE1" s="284"/>
      <c r="AF1" s="284"/>
      <c r="AG1" s="284"/>
      <c r="AH1" s="494"/>
      <c r="AI1" s="284"/>
      <c r="AJ1" s="284"/>
      <c r="AK1" s="284"/>
      <c r="AL1" s="494"/>
      <c r="AM1" s="284"/>
      <c r="AN1" s="284"/>
      <c r="AO1" s="284"/>
      <c r="AP1" s="494"/>
      <c r="AQ1" s="284"/>
      <c r="AR1" s="284"/>
      <c r="AS1" s="284"/>
      <c r="AT1" s="494"/>
      <c r="AU1" s="284"/>
      <c r="AV1" s="284"/>
      <c r="AW1" s="284"/>
      <c r="AX1" s="494"/>
      <c r="AY1" s="284"/>
      <c r="AZ1" s="284"/>
      <c r="BA1" s="284"/>
      <c r="BB1" s="494"/>
      <c r="BC1" s="284"/>
      <c r="BD1" s="284"/>
      <c r="BE1" s="284"/>
      <c r="BF1" s="494"/>
      <c r="BG1" s="284"/>
      <c r="BH1" s="284"/>
      <c r="BI1" s="284"/>
      <c r="BJ1" s="494"/>
      <c r="BK1" s="284"/>
      <c r="BL1" s="284"/>
      <c r="BM1" s="284"/>
      <c r="BN1" s="494"/>
      <c r="BO1" s="284"/>
      <c r="BP1" s="284"/>
      <c r="BQ1" s="284"/>
      <c r="BR1" s="494"/>
      <c r="BS1" s="284"/>
      <c r="BT1" s="284"/>
      <c r="BU1" s="284"/>
      <c r="BV1" s="494"/>
      <c r="BW1" s="284"/>
      <c r="BX1" s="284"/>
      <c r="BY1" s="284"/>
      <c r="BZ1" s="494"/>
      <c r="CA1" s="284"/>
      <c r="CB1" s="284"/>
      <c r="CC1" s="284"/>
      <c r="CD1" s="494"/>
      <c r="CE1" s="284"/>
      <c r="CF1" s="284"/>
      <c r="CG1" s="284"/>
      <c r="CH1" s="494"/>
      <c r="CI1" s="284"/>
      <c r="CK1" s="284"/>
      <c r="CL1" s="285" t="s">
        <v>637</v>
      </c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421"/>
      <c r="CY1" s="421"/>
      <c r="CZ1" s="421"/>
      <c r="DA1" s="421"/>
      <c r="DB1" s="421"/>
      <c r="DC1" s="421"/>
      <c r="DD1" s="421"/>
      <c r="DE1" s="421"/>
      <c r="DF1" s="421"/>
      <c r="DG1" s="421"/>
      <c r="DH1" s="421"/>
      <c r="DI1" s="421"/>
      <c r="DJ1" s="421"/>
      <c r="DK1" s="421"/>
      <c r="DL1" s="421"/>
      <c r="DM1" s="421"/>
      <c r="DN1" s="421"/>
      <c r="DO1" s="421"/>
      <c r="DP1" s="421"/>
      <c r="DQ1" s="421"/>
      <c r="DR1" s="421"/>
      <c r="DS1" s="421"/>
      <c r="DT1" s="421"/>
      <c r="DU1" s="422"/>
      <c r="DV1" s="422"/>
      <c r="DW1" s="422"/>
      <c r="DX1" s="422"/>
      <c r="DY1" s="422"/>
      <c r="DZ1" s="422"/>
      <c r="EA1" s="422"/>
      <c r="EB1" s="422"/>
    </row>
    <row r="2" spans="1:183" s="117" customFormat="1">
      <c r="A2" s="254"/>
      <c r="B2" s="254"/>
      <c r="C2" s="254"/>
      <c r="D2" s="254"/>
      <c r="E2" s="254"/>
      <c r="F2" s="497"/>
      <c r="G2" s="254"/>
      <c r="H2" s="254"/>
      <c r="I2" s="254"/>
      <c r="J2" s="497"/>
      <c r="K2" s="254"/>
      <c r="L2" s="254"/>
      <c r="M2" s="254"/>
      <c r="N2" s="497"/>
      <c r="O2" s="254"/>
      <c r="P2" s="254"/>
      <c r="Q2" s="254"/>
      <c r="R2" s="497"/>
      <c r="S2" s="254"/>
      <c r="T2" s="254"/>
      <c r="U2" s="254"/>
      <c r="V2" s="497"/>
      <c r="W2" s="254"/>
      <c r="X2" s="114"/>
      <c r="Y2" s="254"/>
      <c r="Z2" s="497"/>
      <c r="AA2" s="114"/>
      <c r="AB2" s="114"/>
      <c r="AC2" s="254"/>
      <c r="AD2" s="497"/>
      <c r="AE2" s="114"/>
      <c r="AF2" s="114"/>
      <c r="AG2" s="114"/>
      <c r="AH2" s="421"/>
      <c r="AI2" s="114"/>
      <c r="AJ2" s="114"/>
      <c r="AK2" s="114"/>
      <c r="AL2" s="421"/>
      <c r="AM2" s="114"/>
      <c r="AN2" s="114"/>
      <c r="AO2" s="114"/>
      <c r="AP2" s="421"/>
      <c r="AQ2" s="114"/>
      <c r="AR2" s="114"/>
      <c r="AS2" s="114"/>
      <c r="AT2" s="421"/>
      <c r="AU2" s="114"/>
      <c r="AV2" s="114"/>
      <c r="AW2" s="114"/>
      <c r="AX2" s="421"/>
      <c r="AY2" s="114"/>
      <c r="AZ2" s="114"/>
      <c r="BA2" s="114"/>
      <c r="BB2" s="421"/>
      <c r="BC2" s="114"/>
      <c r="BD2" s="114"/>
      <c r="BE2" s="114"/>
      <c r="BF2" s="421"/>
      <c r="BG2" s="114"/>
      <c r="BH2" s="114"/>
      <c r="BI2" s="114"/>
      <c r="BJ2" s="421"/>
      <c r="BK2" s="114"/>
      <c r="BL2" s="114"/>
      <c r="BM2" s="114"/>
      <c r="BN2" s="421"/>
      <c r="BO2" s="114"/>
      <c r="BP2" s="114"/>
      <c r="BQ2" s="264"/>
      <c r="BR2" s="497"/>
      <c r="BS2" s="289"/>
      <c r="BT2" s="289"/>
      <c r="BU2" s="254"/>
      <c r="BV2" s="497"/>
      <c r="BW2" s="114"/>
      <c r="BX2" s="114"/>
      <c r="BY2" s="254"/>
      <c r="BZ2" s="497"/>
      <c r="CA2" s="114"/>
      <c r="CB2" s="114"/>
      <c r="CC2" s="114"/>
      <c r="CD2" s="421"/>
      <c r="CE2" s="114"/>
      <c r="CF2" s="114"/>
      <c r="CG2" s="114"/>
      <c r="CH2" s="421"/>
      <c r="CI2" s="114"/>
      <c r="CJ2" s="114"/>
      <c r="CK2" s="114" t="s">
        <v>256</v>
      </c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421"/>
      <c r="CY2" s="421"/>
      <c r="CZ2" s="421"/>
      <c r="DA2" s="421"/>
      <c r="DB2" s="421"/>
      <c r="DC2" s="421"/>
      <c r="DD2" s="421"/>
      <c r="DE2" s="421"/>
      <c r="DF2" s="421"/>
      <c r="DG2" s="421"/>
      <c r="DH2" s="421"/>
      <c r="DI2" s="421"/>
      <c r="DJ2" s="421"/>
      <c r="DK2" s="421"/>
      <c r="DL2" s="421"/>
      <c r="DM2" s="421"/>
      <c r="DN2" s="421"/>
      <c r="DO2" s="421"/>
      <c r="DP2" s="421"/>
      <c r="DQ2" s="421"/>
      <c r="DR2" s="421"/>
      <c r="DS2" s="421"/>
      <c r="DT2" s="421"/>
      <c r="DU2" s="422"/>
      <c r="DV2" s="422"/>
      <c r="DW2" s="422"/>
      <c r="DX2" s="422"/>
      <c r="DY2" s="422"/>
      <c r="DZ2" s="422"/>
      <c r="EA2" s="422"/>
      <c r="EB2" s="422"/>
      <c r="EC2" s="424"/>
      <c r="ED2" s="424"/>
      <c r="EE2" s="424"/>
      <c r="EF2" s="424"/>
      <c r="EG2" s="424"/>
      <c r="EH2" s="424"/>
      <c r="EI2" s="424"/>
      <c r="EJ2" s="424"/>
      <c r="EK2" s="424"/>
      <c r="EL2" s="424"/>
      <c r="EM2" s="424"/>
      <c r="EN2" s="424"/>
      <c r="EO2" s="424"/>
      <c r="EP2" s="424"/>
      <c r="EQ2" s="424"/>
      <c r="ER2" s="424"/>
      <c r="ES2" s="424"/>
      <c r="ET2" s="424"/>
      <c r="EU2" s="424"/>
      <c r="EV2" s="424"/>
      <c r="EW2" s="424"/>
      <c r="EX2" s="424"/>
      <c r="EY2" s="424"/>
      <c r="EZ2" s="424"/>
      <c r="FA2" s="424"/>
      <c r="FB2" s="424"/>
      <c r="FC2" s="424"/>
      <c r="FD2" s="424"/>
      <c r="FE2" s="424"/>
      <c r="FF2" s="424"/>
      <c r="FG2" s="424"/>
      <c r="FH2" s="424"/>
      <c r="FI2" s="424"/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</row>
    <row r="3" spans="1:183" s="119" customFormat="1" ht="54" customHeight="1">
      <c r="A3" s="817"/>
      <c r="B3" s="817"/>
      <c r="C3" s="817"/>
      <c r="D3" s="817"/>
      <c r="E3" s="888" t="s">
        <v>187</v>
      </c>
      <c r="F3" s="888"/>
      <c r="G3" s="888"/>
      <c r="H3" s="888"/>
      <c r="I3" s="888" t="s">
        <v>188</v>
      </c>
      <c r="J3" s="888"/>
      <c r="K3" s="888"/>
      <c r="L3" s="888"/>
      <c r="M3" s="888" t="s">
        <v>189</v>
      </c>
      <c r="N3" s="888"/>
      <c r="O3" s="888"/>
      <c r="P3" s="888"/>
      <c r="Q3" s="888" t="s">
        <v>190</v>
      </c>
      <c r="R3" s="888"/>
      <c r="S3" s="888"/>
      <c r="T3" s="888"/>
      <c r="U3" s="888" t="s">
        <v>191</v>
      </c>
      <c r="V3" s="888"/>
      <c r="W3" s="888"/>
      <c r="X3" s="888"/>
      <c r="Y3" s="888" t="s">
        <v>192</v>
      </c>
      <c r="Z3" s="888"/>
      <c r="AA3" s="888"/>
      <c r="AB3" s="888"/>
      <c r="AC3" s="888" t="s">
        <v>193</v>
      </c>
      <c r="AD3" s="888"/>
      <c r="AE3" s="888"/>
      <c r="AF3" s="888"/>
      <c r="AG3" s="885" t="s">
        <v>194</v>
      </c>
      <c r="AH3" s="886"/>
      <c r="AI3" s="886"/>
      <c r="AJ3" s="887"/>
      <c r="AK3" s="885" t="s">
        <v>287</v>
      </c>
      <c r="AL3" s="886"/>
      <c r="AM3" s="886"/>
      <c r="AN3" s="887"/>
      <c r="AO3" s="885" t="s">
        <v>401</v>
      </c>
      <c r="AP3" s="886"/>
      <c r="AQ3" s="886"/>
      <c r="AR3" s="887"/>
      <c r="AS3" s="885" t="s">
        <v>402</v>
      </c>
      <c r="AT3" s="886"/>
      <c r="AU3" s="886"/>
      <c r="AV3" s="887"/>
      <c r="AW3" s="885" t="s">
        <v>403</v>
      </c>
      <c r="AX3" s="886"/>
      <c r="AY3" s="886"/>
      <c r="AZ3" s="887"/>
      <c r="BA3" s="885" t="s">
        <v>405</v>
      </c>
      <c r="BB3" s="886"/>
      <c r="BC3" s="886"/>
      <c r="BD3" s="887"/>
      <c r="BE3" s="885" t="s">
        <v>610</v>
      </c>
      <c r="BF3" s="886"/>
      <c r="BG3" s="886"/>
      <c r="BH3" s="887"/>
      <c r="BI3" s="885" t="s">
        <v>420</v>
      </c>
      <c r="BJ3" s="886"/>
      <c r="BK3" s="886"/>
      <c r="BL3" s="887"/>
      <c r="BM3" s="885" t="s">
        <v>404</v>
      </c>
      <c r="BN3" s="886"/>
      <c r="BO3" s="886"/>
      <c r="BP3" s="887"/>
      <c r="BQ3" s="913" t="s">
        <v>616</v>
      </c>
      <c r="BR3" s="914"/>
      <c r="BS3" s="914"/>
      <c r="BT3" s="915"/>
      <c r="BU3" s="888" t="s">
        <v>71</v>
      </c>
      <c r="BV3" s="888"/>
      <c r="BW3" s="888"/>
      <c r="BX3" s="888"/>
      <c r="BY3" s="888" t="s">
        <v>623</v>
      </c>
      <c r="BZ3" s="888"/>
      <c r="CA3" s="888"/>
      <c r="CB3" s="885"/>
      <c r="CC3" s="885" t="s">
        <v>399</v>
      </c>
      <c r="CD3" s="886"/>
      <c r="CE3" s="886"/>
      <c r="CF3" s="887"/>
      <c r="CG3" s="885" t="s">
        <v>620</v>
      </c>
      <c r="CH3" s="886"/>
      <c r="CI3" s="886"/>
      <c r="CJ3" s="887"/>
      <c r="CK3" s="885" t="s">
        <v>195</v>
      </c>
      <c r="CL3" s="886"/>
      <c r="CM3" s="886"/>
      <c r="CN3" s="887"/>
      <c r="CO3" s="118"/>
      <c r="CP3" s="118"/>
      <c r="CQ3" s="118"/>
      <c r="CR3" s="118"/>
      <c r="CS3" s="118"/>
      <c r="CT3" s="893" t="s">
        <v>755</v>
      </c>
      <c r="CU3" s="893" t="s">
        <v>756</v>
      </c>
      <c r="CV3" s="893" t="s">
        <v>757</v>
      </c>
      <c r="CW3" s="893"/>
      <c r="CX3" s="894"/>
      <c r="CY3" s="894"/>
      <c r="CZ3" s="422"/>
      <c r="DA3" s="422"/>
      <c r="DB3" s="422"/>
      <c r="DC3" s="422"/>
      <c r="DD3" s="422"/>
      <c r="DE3" s="422"/>
      <c r="DF3" s="422"/>
      <c r="DG3" s="422"/>
      <c r="DH3" s="422"/>
      <c r="DI3" s="422"/>
      <c r="DJ3" s="422"/>
      <c r="DK3" s="422"/>
      <c r="DL3" s="422"/>
      <c r="DM3" s="422"/>
      <c r="DN3" s="422"/>
      <c r="DO3" s="422"/>
      <c r="DP3" s="422"/>
      <c r="DQ3" s="422"/>
      <c r="DR3" s="422"/>
      <c r="DS3" s="422"/>
      <c r="DT3" s="422"/>
      <c r="DU3" s="422"/>
      <c r="DV3" s="422"/>
      <c r="DW3" s="422"/>
      <c r="DX3" s="422"/>
      <c r="DY3" s="422"/>
      <c r="DZ3" s="422"/>
      <c r="EA3" s="422"/>
      <c r="EB3" s="422"/>
      <c r="EC3" s="423"/>
      <c r="ED3" s="423"/>
      <c r="EE3" s="423"/>
      <c r="EF3" s="423"/>
      <c r="EG3" s="423"/>
      <c r="EH3" s="423"/>
      <c r="EI3" s="423"/>
      <c r="EJ3" s="423"/>
      <c r="EK3" s="423"/>
      <c r="EL3" s="423"/>
      <c r="EM3" s="423"/>
      <c r="EN3" s="423"/>
      <c r="EO3" s="423"/>
      <c r="EP3" s="423"/>
      <c r="EQ3" s="423"/>
      <c r="ER3" s="423"/>
      <c r="ES3" s="423"/>
      <c r="ET3" s="423"/>
      <c r="EU3" s="423"/>
      <c r="EV3" s="423"/>
      <c r="EW3" s="423"/>
      <c r="EX3" s="423"/>
      <c r="EY3" s="423"/>
      <c r="EZ3" s="423"/>
      <c r="FA3" s="423"/>
      <c r="FB3" s="423"/>
      <c r="FC3" s="423"/>
      <c r="FD3" s="423"/>
      <c r="FE3" s="423"/>
      <c r="FF3" s="423"/>
      <c r="FG3" s="423"/>
      <c r="FH3" s="423"/>
      <c r="FI3" s="423"/>
      <c r="FJ3" s="423"/>
      <c r="FK3" s="423"/>
      <c r="FL3" s="423"/>
      <c r="FM3" s="423"/>
      <c r="FN3" s="423"/>
      <c r="FO3" s="423"/>
      <c r="FP3" s="423"/>
      <c r="FQ3" s="423"/>
      <c r="FR3" s="423"/>
      <c r="FS3" s="423"/>
      <c r="FT3" s="423"/>
      <c r="FU3" s="423"/>
      <c r="FV3" s="423"/>
      <c r="FW3" s="423"/>
      <c r="FX3" s="423"/>
      <c r="FY3" s="423"/>
      <c r="FZ3" s="423"/>
      <c r="GA3" s="423"/>
    </row>
    <row r="4" spans="1:183" s="119" customFormat="1" ht="27" customHeight="1">
      <c r="A4" s="120" t="s">
        <v>196</v>
      </c>
      <c r="B4" s="817" t="s">
        <v>197</v>
      </c>
      <c r="C4" s="817"/>
      <c r="D4" s="817"/>
      <c r="E4" s="492" t="s">
        <v>68</v>
      </c>
      <c r="F4" s="492" t="s">
        <v>69</v>
      </c>
      <c r="G4" s="492" t="s">
        <v>70</v>
      </c>
      <c r="H4" s="492" t="s">
        <v>198</v>
      </c>
      <c r="I4" s="492" t="s">
        <v>68</v>
      </c>
      <c r="J4" s="492" t="s">
        <v>69</v>
      </c>
      <c r="K4" s="492" t="s">
        <v>70</v>
      </c>
      <c r="L4" s="492" t="s">
        <v>198</v>
      </c>
      <c r="M4" s="492" t="s">
        <v>68</v>
      </c>
      <c r="N4" s="492" t="s">
        <v>69</v>
      </c>
      <c r="O4" s="492" t="s">
        <v>70</v>
      </c>
      <c r="P4" s="492" t="s">
        <v>199</v>
      </c>
      <c r="Q4" s="492" t="s">
        <v>68</v>
      </c>
      <c r="R4" s="492" t="s">
        <v>69</v>
      </c>
      <c r="S4" s="492" t="s">
        <v>70</v>
      </c>
      <c r="T4" s="492" t="s">
        <v>198</v>
      </c>
      <c r="U4" s="492" t="s">
        <v>68</v>
      </c>
      <c r="V4" s="492" t="s">
        <v>69</v>
      </c>
      <c r="W4" s="492" t="s">
        <v>70</v>
      </c>
      <c r="X4" s="492" t="s">
        <v>198</v>
      </c>
      <c r="Y4" s="492" t="s">
        <v>68</v>
      </c>
      <c r="Z4" s="492" t="s">
        <v>69</v>
      </c>
      <c r="AA4" s="492" t="s">
        <v>70</v>
      </c>
      <c r="AB4" s="492" t="s">
        <v>241</v>
      </c>
      <c r="AC4" s="492" t="s">
        <v>68</v>
      </c>
      <c r="AD4" s="492" t="s">
        <v>69</v>
      </c>
      <c r="AE4" s="492" t="s">
        <v>70</v>
      </c>
      <c r="AF4" s="492" t="s">
        <v>198</v>
      </c>
      <c r="AG4" s="492" t="s">
        <v>68</v>
      </c>
      <c r="AH4" s="492" t="s">
        <v>69</v>
      </c>
      <c r="AI4" s="492" t="s">
        <v>70</v>
      </c>
      <c r="AJ4" s="492" t="s">
        <v>198</v>
      </c>
      <c r="AK4" s="492" t="s">
        <v>68</v>
      </c>
      <c r="AL4" s="492" t="s">
        <v>69</v>
      </c>
      <c r="AM4" s="492" t="s">
        <v>70</v>
      </c>
      <c r="AN4" s="492" t="s">
        <v>198</v>
      </c>
      <c r="AO4" s="492" t="s">
        <v>68</v>
      </c>
      <c r="AP4" s="492" t="s">
        <v>69</v>
      </c>
      <c r="AQ4" s="492" t="s">
        <v>70</v>
      </c>
      <c r="AR4" s="492" t="s">
        <v>198</v>
      </c>
      <c r="AS4" s="492" t="s">
        <v>68</v>
      </c>
      <c r="AT4" s="492" t="s">
        <v>69</v>
      </c>
      <c r="AU4" s="492" t="s">
        <v>70</v>
      </c>
      <c r="AV4" s="492" t="s">
        <v>198</v>
      </c>
      <c r="AW4" s="492" t="s">
        <v>68</v>
      </c>
      <c r="AX4" s="492" t="s">
        <v>69</v>
      </c>
      <c r="AY4" s="492" t="s">
        <v>70</v>
      </c>
      <c r="AZ4" s="492" t="s">
        <v>198</v>
      </c>
      <c r="BA4" s="492" t="s">
        <v>68</v>
      </c>
      <c r="BB4" s="492" t="s">
        <v>69</v>
      </c>
      <c r="BC4" s="492" t="s">
        <v>70</v>
      </c>
      <c r="BD4" s="492" t="s">
        <v>198</v>
      </c>
      <c r="BE4" s="492" t="s">
        <v>68</v>
      </c>
      <c r="BF4" s="492" t="s">
        <v>69</v>
      </c>
      <c r="BG4" s="492" t="s">
        <v>70</v>
      </c>
      <c r="BH4" s="492" t="s">
        <v>198</v>
      </c>
      <c r="BI4" s="492" t="s">
        <v>68</v>
      </c>
      <c r="BJ4" s="492" t="s">
        <v>69</v>
      </c>
      <c r="BK4" s="492" t="s">
        <v>70</v>
      </c>
      <c r="BL4" s="492" t="s">
        <v>198</v>
      </c>
      <c r="BM4" s="492" t="s">
        <v>68</v>
      </c>
      <c r="BN4" s="492" t="s">
        <v>69</v>
      </c>
      <c r="BO4" s="492" t="s">
        <v>70</v>
      </c>
      <c r="BP4" s="492" t="s">
        <v>198</v>
      </c>
      <c r="BQ4" s="492" t="s">
        <v>68</v>
      </c>
      <c r="BR4" s="492" t="s">
        <v>682</v>
      </c>
      <c r="BS4" s="492" t="s">
        <v>70</v>
      </c>
      <c r="BT4" s="492" t="s">
        <v>683</v>
      </c>
      <c r="BU4" s="492" t="s">
        <v>68</v>
      </c>
      <c r="BV4" s="492" t="s">
        <v>69</v>
      </c>
      <c r="BW4" s="492" t="s">
        <v>70</v>
      </c>
      <c r="BX4" s="492" t="s">
        <v>198</v>
      </c>
      <c r="BY4" s="492" t="s">
        <v>68</v>
      </c>
      <c r="BZ4" s="492" t="s">
        <v>69</v>
      </c>
      <c r="CA4" s="492" t="s">
        <v>70</v>
      </c>
      <c r="CB4" s="492" t="s">
        <v>198</v>
      </c>
      <c r="CC4" s="492" t="s">
        <v>68</v>
      </c>
      <c r="CD4" s="492" t="s">
        <v>69</v>
      </c>
      <c r="CE4" s="492" t="s">
        <v>70</v>
      </c>
      <c r="CF4" s="492" t="s">
        <v>200</v>
      </c>
      <c r="CG4" s="492" t="s">
        <v>68</v>
      </c>
      <c r="CH4" s="492" t="s">
        <v>69</v>
      </c>
      <c r="CI4" s="492" t="s">
        <v>70</v>
      </c>
      <c r="CJ4" s="492" t="s">
        <v>200</v>
      </c>
      <c r="CK4" s="122" t="s">
        <v>68</v>
      </c>
      <c r="CL4" s="122" t="s">
        <v>69</v>
      </c>
      <c r="CM4" s="122" t="s">
        <v>70</v>
      </c>
      <c r="CN4" s="492" t="s">
        <v>200</v>
      </c>
      <c r="CO4" s="118"/>
      <c r="CP4" s="118"/>
      <c r="CQ4" s="118"/>
      <c r="CR4" s="118"/>
      <c r="CS4" s="118"/>
      <c r="CT4" s="893"/>
      <c r="CU4" s="893"/>
      <c r="CV4" s="893"/>
      <c r="CW4" s="893"/>
      <c r="CX4" s="894"/>
      <c r="CY4" s="894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</row>
    <row r="5" spans="1:183" s="501" customFormat="1">
      <c r="A5" s="486">
        <v>200</v>
      </c>
      <c r="B5" s="916" t="s">
        <v>201</v>
      </c>
      <c r="C5" s="917"/>
      <c r="D5" s="918"/>
      <c r="E5" s="476">
        <f>E7+E9+E10+E48+E6</f>
        <v>126</v>
      </c>
      <c r="F5" s="477">
        <f>F7+F10+F48</f>
        <v>33.431699999999999</v>
      </c>
      <c r="G5" s="476">
        <f>F5/E5*100</f>
        <v>26.533095238095239</v>
      </c>
      <c r="H5" s="476">
        <f t="shared" ref="H5:H49" si="0">F5-E5</f>
        <v>-92.568299999999994</v>
      </c>
      <c r="I5" s="476">
        <f>I7+I9+I10+I48</f>
        <v>178</v>
      </c>
      <c r="J5" s="477">
        <f>J7+J9+J10+J48</f>
        <v>92.216499999999996</v>
      </c>
      <c r="K5" s="476">
        <f>J5/I5*100</f>
        <v>51.807022471910116</v>
      </c>
      <c r="L5" s="486"/>
      <c r="M5" s="476">
        <f>M7+M9+M10+M48</f>
        <v>224</v>
      </c>
      <c r="N5" s="477">
        <f>N7+N9+N10+N48</f>
        <v>31.848049999999997</v>
      </c>
      <c r="O5" s="476">
        <f>N5/M5*100</f>
        <v>14.217879464285712</v>
      </c>
      <c r="P5" s="486">
        <f>N5-M5</f>
        <v>-192.15195</v>
      </c>
      <c r="Q5" s="476">
        <f>Q7+Q9+Q10+Q48+Q6</f>
        <v>193</v>
      </c>
      <c r="R5" s="477">
        <f>R7+R9+R10+R48+R6</f>
        <v>218.12450000000001</v>
      </c>
      <c r="S5" s="476">
        <f>R5/Q5*100</f>
        <v>113.0178756476684</v>
      </c>
      <c r="T5" s="476">
        <f>R5-Q5</f>
        <v>25.124500000000012</v>
      </c>
      <c r="U5" s="476">
        <f>U7+U9+U10+U48</f>
        <v>201</v>
      </c>
      <c r="V5" s="477">
        <f>V7+V9+V10+V48</f>
        <v>88.993279999999999</v>
      </c>
      <c r="W5" s="476">
        <f>V5/U5*100</f>
        <v>44.275263681592037</v>
      </c>
      <c r="X5" s="486">
        <f>V5-U5</f>
        <v>-112.00672</v>
      </c>
      <c r="Y5" s="476">
        <f>Y7+Y9+Y10+Y48</f>
        <v>179</v>
      </c>
      <c r="Z5" s="477">
        <f>Z7+Z9+Z10+Z48</f>
        <v>81.219220000000007</v>
      </c>
      <c r="AA5" s="476">
        <f>Z5/Y5*100</f>
        <v>45.373865921787711</v>
      </c>
      <c r="AB5" s="486">
        <f t="shared" ref="AB5:AB19" si="1">Z5-Y5</f>
        <v>-97.780779999999993</v>
      </c>
      <c r="AC5" s="476">
        <f>AC7+AC9+AC10+AC48</f>
        <v>174</v>
      </c>
      <c r="AD5" s="477">
        <f>AD7+AD9+AD10+AD48</f>
        <v>170.14081999999999</v>
      </c>
      <c r="AE5" s="476">
        <f>AD5/AC5*100</f>
        <v>97.7820804597701</v>
      </c>
      <c r="AF5" s="486">
        <f t="shared" ref="AF5:AF19" si="2">AD5-AC5</f>
        <v>-3.8591800000000092</v>
      </c>
      <c r="AG5" s="476">
        <f t="shared" ref="AG5:AH75" si="3">E5+I5+M5+Q5+U5+Y5+AC5</f>
        <v>1275</v>
      </c>
      <c r="AH5" s="477">
        <f>AH7+AH9+AH10+AH48</f>
        <v>715.97406999999998</v>
      </c>
      <c r="AI5" s="476">
        <f>AH5/AG5*100</f>
        <v>56.154829019607845</v>
      </c>
      <c r="AJ5" s="476">
        <f>AH5-AG5</f>
        <v>-559.02593000000002</v>
      </c>
      <c r="AK5" s="476">
        <f>AK7+AK9+AK10+AK48</f>
        <v>40</v>
      </c>
      <c r="AL5" s="477">
        <f>AL7+AL9+AL10+AL48</f>
        <v>0</v>
      </c>
      <c r="AM5" s="476">
        <f>AL5/AK5*100</f>
        <v>0</v>
      </c>
      <c r="AN5" s="476">
        <f t="shared" ref="AN5:AN17" si="4">AL5-AK5</f>
        <v>-40</v>
      </c>
      <c r="AO5" s="476">
        <f>AO7+AO9+AO10+AO48</f>
        <v>10</v>
      </c>
      <c r="AP5" s="476">
        <f>AP7+AP9+AP10+AP48</f>
        <v>0</v>
      </c>
      <c r="AQ5" s="476">
        <f>AP5/AO5*100</f>
        <v>0</v>
      </c>
      <c r="AR5" s="476">
        <f t="shared" ref="AR5:AR13" si="5">AP5-AO5</f>
        <v>-10</v>
      </c>
      <c r="AS5" s="476">
        <f>AS7+AS9+AS10+AS48+AS6</f>
        <v>40</v>
      </c>
      <c r="AT5" s="476">
        <f>AT7+AT9+AT10+AT48+AT6</f>
        <v>0</v>
      </c>
      <c r="AU5" s="476">
        <f>AT5/AS5*100</f>
        <v>0</v>
      </c>
      <c r="AV5" s="476">
        <f t="shared" ref="AV5:AV13" si="6">AT5-AS5</f>
        <v>-40</v>
      </c>
      <c r="AW5" s="476">
        <f>AW7+AW9+AW10+AW48</f>
        <v>45</v>
      </c>
      <c r="AX5" s="477">
        <f>AX7+AX9+AX10+AX48</f>
        <v>0</v>
      </c>
      <c r="AY5" s="476">
        <f>AX5/AW5*100</f>
        <v>0</v>
      </c>
      <c r="AZ5" s="476">
        <f t="shared" ref="AZ5:AZ13" si="7">AX5-AW5</f>
        <v>-45</v>
      </c>
      <c r="BA5" s="476">
        <f t="shared" ref="BA5:BA75" si="8">AK5+AO5+AS5+AW5</f>
        <v>135</v>
      </c>
      <c r="BB5" s="477">
        <f t="shared" ref="BB5:BB25" si="9">+AL5+AP5+AT5+AX5</f>
        <v>0</v>
      </c>
      <c r="BC5" s="476">
        <f>BB5/BA5*100</f>
        <v>0</v>
      </c>
      <c r="BD5" s="476">
        <f t="shared" ref="BD5:BD13" si="10">BB5-BA5</f>
        <v>-135</v>
      </c>
      <c r="BE5" s="476">
        <f>BE7+BE9+BE10+BE48</f>
        <v>4</v>
      </c>
      <c r="BF5" s="476">
        <f>BF7+BF9+BF10+BF48</f>
        <v>0</v>
      </c>
      <c r="BG5" s="476">
        <f>BF5/BE5*100</f>
        <v>0</v>
      </c>
      <c r="BH5" s="476">
        <f t="shared" ref="BH5:BH13" si="11">BF5-BE5</f>
        <v>-4</v>
      </c>
      <c r="BI5" s="476">
        <f>BI7+BI9+BI10+BI48</f>
        <v>4</v>
      </c>
      <c r="BJ5" s="476">
        <f>BJ7+BJ9+BJ10+BJ48</f>
        <v>0</v>
      </c>
      <c r="BK5" s="476">
        <f>BJ5/BI5*100</f>
        <v>0</v>
      </c>
      <c r="BL5" s="476">
        <f>BJ5-BI5</f>
        <v>-4</v>
      </c>
      <c r="BM5" s="476">
        <f>BM7+BM9+BM10+BM48</f>
        <v>4</v>
      </c>
      <c r="BN5" s="476">
        <f>BN7+BN9+BN10+BN48</f>
        <v>0</v>
      </c>
      <c r="BO5" s="476">
        <f>BN5/BM5*100</f>
        <v>0</v>
      </c>
      <c r="BP5" s="476">
        <f>BN5-BM5</f>
        <v>-4</v>
      </c>
      <c r="BQ5" s="476">
        <f>BQ7+BQ9+BQ10+BQ48</f>
        <v>20</v>
      </c>
      <c r="BR5" s="476">
        <f>BR7+BR9+BR10+BR48</f>
        <v>0</v>
      </c>
      <c r="BS5" s="476">
        <f>BR5/BQ5*100</f>
        <v>0</v>
      </c>
      <c r="BT5" s="476">
        <f>BR5-BQ5</f>
        <v>-20</v>
      </c>
      <c r="BU5" s="476">
        <f>BU7+BU9+BU10+BU48</f>
        <v>35.299999999999997</v>
      </c>
      <c r="BV5" s="476">
        <f>BV7+BV9+BV10+BV48</f>
        <v>1.2490000000000001</v>
      </c>
      <c r="BW5" s="476">
        <f t="shared" ref="BW5:BW8" si="12">BV5/BU5*100</f>
        <v>3.5382436260623233</v>
      </c>
      <c r="BX5" s="486">
        <f>BV5-BU5</f>
        <v>-34.050999999999995</v>
      </c>
      <c r="BY5" s="476">
        <f>BY7+BY9+BY10+BY48</f>
        <v>1700</v>
      </c>
      <c r="BZ5" s="477">
        <f>BZ7+BZ9+BZ10+BZ48</f>
        <v>477.77906000000007</v>
      </c>
      <c r="CA5" s="487">
        <f>BZ5/BY5*100</f>
        <v>28.104650588235298</v>
      </c>
      <c r="CB5" s="486">
        <f>BZ5-BY5</f>
        <v>-1222.2209399999999</v>
      </c>
      <c r="CC5" s="477">
        <f>CC7+CC9+CC10+CC48</f>
        <v>25.9</v>
      </c>
      <c r="CD5" s="477">
        <f>CD7+CD9+CD10+CD48</f>
        <v>4</v>
      </c>
      <c r="CE5" s="487">
        <f>CD5/CC5*100</f>
        <v>15.444015444015443</v>
      </c>
      <c r="CF5" s="486">
        <f>CD5-CC5</f>
        <v>-21.9</v>
      </c>
      <c r="CG5" s="477">
        <f>CG7+CG9+CG10+CG48</f>
        <v>148</v>
      </c>
      <c r="CH5" s="477">
        <f>CH7+CH9+CH10+CH48</f>
        <v>48.301789999999997</v>
      </c>
      <c r="CI5" s="487">
        <f>CH5/CG5*100</f>
        <v>32.63634459459459</v>
      </c>
      <c r="CJ5" s="486">
        <f>CH5-CG5</f>
        <v>-99.698210000000003</v>
      </c>
      <c r="CK5" s="477">
        <f>CK7+CK9+CK10+CK48</f>
        <v>3341.2000000000003</v>
      </c>
      <c r="CL5" s="476">
        <f>CL7+CL9+CL10+CL48+CL6</f>
        <v>1247.3039200000001</v>
      </c>
      <c r="CM5" s="476">
        <f t="shared" ref="CM5:CM76" si="13">CL5/CK5*100</f>
        <v>37.331016401292949</v>
      </c>
      <c r="CN5" s="476">
        <f t="shared" ref="CN5:CN76" si="14">CL5-CK5</f>
        <v>-2093.8960800000004</v>
      </c>
      <c r="CP5" s="501">
        <f t="shared" ref="CP5:CP39" si="15">F5+J5+N5+R5+V5+Z5+AD5+AL5+AP5+AT5+AX5+BF5+BJ5+BN5+BV5+BZ5+CD5</f>
        <v>1199.0021300000003</v>
      </c>
      <c r="CQ5" s="501">
        <f t="shared" ref="CQ5:CQ39" si="16">E5+I5+M5+Q5+U5+Y5+AC5+AG5+AK5+AO5+AS5+AW5+BE5+BI5+BM5+BU5+BY5+CC5-AG5</f>
        <v>3183.2</v>
      </c>
      <c r="CS5" s="501">
        <f t="shared" ref="CS5:CS39" si="17">F5+J5+N5+R5+V5+Z5+AD5+AL5+AP5+AT5+AX5+BF5+BJ5+BN5+BV5+BZ5+CD5</f>
        <v>1199.0021300000003</v>
      </c>
      <c r="CT5" s="501">
        <f>F5+J5+N5+R5+V5+Z5+AD5+AL5+AP5+AT5+AX5+BF5+BJ5+BN5+BR5+BV5+BZ5+CD5+CH5</f>
        <v>1247.3039200000003</v>
      </c>
      <c r="CU5" s="501">
        <f>F5+J5+N5+R5+V5+Z5+AD5+AL5+AP5+AT5+AX5+BF5+BJ5+BN5+BV5+BZ5+CD5+CH5</f>
        <v>1247.3039200000003</v>
      </c>
      <c r="CV5" s="501">
        <f>F5+J5+N5+R5+V5+Z5+AD5+AL5+AP5+AT5+AX5+BF5+BJ5+BN5</f>
        <v>715.9740700000001</v>
      </c>
      <c r="CW5" s="501">
        <f>E5+I5+M5+Q5+U5+Y5+AC5+AK5+AO5+AS5+AW5+BE5+BI5+BM5+BQ5+BU5+BY5+CC5+CG5</f>
        <v>3351.2000000000003</v>
      </c>
    </row>
    <row r="6" spans="1:183" s="123" customFormat="1" hidden="1">
      <c r="A6" s="100">
        <v>211</v>
      </c>
      <c r="B6" s="330" t="s">
        <v>419</v>
      </c>
      <c r="C6" s="331"/>
      <c r="D6" s="332"/>
      <c r="E6" s="99">
        <v>0</v>
      </c>
      <c r="F6" s="15">
        <v>0</v>
      </c>
      <c r="G6" s="99" t="e">
        <f>F6/E6*100</f>
        <v>#DIV/0!</v>
      </c>
      <c r="H6" s="99">
        <f t="shared" si="0"/>
        <v>0</v>
      </c>
      <c r="I6" s="99"/>
      <c r="J6" s="15"/>
      <c r="K6" s="99"/>
      <c r="L6" s="100"/>
      <c r="M6" s="99"/>
      <c r="N6" s="15"/>
      <c r="O6" s="99"/>
      <c r="P6" s="100"/>
      <c r="Q6" s="99"/>
      <c r="R6" s="15"/>
      <c r="S6" s="99"/>
      <c r="T6" s="99"/>
      <c r="U6" s="99"/>
      <c r="V6" s="15"/>
      <c r="W6" s="99"/>
      <c r="X6" s="100"/>
      <c r="Y6" s="99"/>
      <c r="Z6" s="15"/>
      <c r="AA6" s="99"/>
      <c r="AB6" s="100"/>
      <c r="AC6" s="99"/>
      <c r="AD6" s="15"/>
      <c r="AE6" s="99"/>
      <c r="AF6" s="100"/>
      <c r="AG6" s="99">
        <f t="shared" si="3"/>
        <v>0</v>
      </c>
      <c r="AH6" s="418">
        <f>F6+R6</f>
        <v>0</v>
      </c>
      <c r="AI6" s="99" t="e">
        <f>AH6/AG6*100</f>
        <v>#DIV/0!</v>
      </c>
      <c r="AJ6" s="99">
        <f>AH6-AG6</f>
        <v>0</v>
      </c>
      <c r="AK6" s="99"/>
      <c r="AL6" s="15"/>
      <c r="AM6" s="99"/>
      <c r="AN6" s="99"/>
      <c r="AO6" s="99"/>
      <c r="AP6" s="418"/>
      <c r="AQ6" s="99"/>
      <c r="AR6" s="99"/>
      <c r="AS6" s="99"/>
      <c r="AT6" s="418"/>
      <c r="AU6" s="99" t="e">
        <f>AT6/AS6*100</f>
        <v>#DIV/0!</v>
      </c>
      <c r="AV6" s="99">
        <f t="shared" si="6"/>
        <v>0</v>
      </c>
      <c r="AW6" s="99"/>
      <c r="AX6" s="15"/>
      <c r="AY6" s="99"/>
      <c r="AZ6" s="99"/>
      <c r="BA6" s="99">
        <f t="shared" si="8"/>
        <v>0</v>
      </c>
      <c r="BB6" s="15">
        <f t="shared" si="9"/>
        <v>0</v>
      </c>
      <c r="BC6" s="99"/>
      <c r="BD6" s="99"/>
      <c r="BE6" s="99"/>
      <c r="BF6" s="418"/>
      <c r="BG6" s="99"/>
      <c r="BH6" s="99"/>
      <c r="BI6" s="99"/>
      <c r="BJ6" s="418"/>
      <c r="BK6" s="99"/>
      <c r="BL6" s="99"/>
      <c r="BM6" s="99"/>
      <c r="BN6" s="418"/>
      <c r="BO6" s="99"/>
      <c r="BP6" s="99"/>
      <c r="BQ6" s="99"/>
      <c r="BR6" s="418"/>
      <c r="BS6" s="99" t="e">
        <f t="shared" ref="BS6:BS76" si="18">BR6/BQ6*100</f>
        <v>#DIV/0!</v>
      </c>
      <c r="BT6" s="99">
        <f t="shared" ref="BT6:BT76" si="19">BR6-BQ6</f>
        <v>0</v>
      </c>
      <c r="BU6" s="99"/>
      <c r="BV6" s="418"/>
      <c r="BW6" s="99"/>
      <c r="BX6" s="100"/>
      <c r="BY6" s="99"/>
      <c r="BZ6" s="15"/>
      <c r="CA6" s="101"/>
      <c r="CB6" s="100"/>
      <c r="CC6" s="99"/>
      <c r="CD6" s="418"/>
      <c r="CE6" s="101"/>
      <c r="CF6" s="100"/>
      <c r="CG6" s="99"/>
      <c r="CH6" s="418"/>
      <c r="CI6" s="101"/>
      <c r="CJ6" s="100"/>
      <c r="CK6" s="99">
        <f t="shared" ref="CK6:CK26" si="20">AG6+BA6+BE6+BI6+BM6+BU6+BY6+CC6+BQ6</f>
        <v>0</v>
      </c>
      <c r="CL6" s="99">
        <f>F6+R6+AT6</f>
        <v>0</v>
      </c>
      <c r="CM6" s="99" t="e">
        <f t="shared" si="13"/>
        <v>#DIV/0!</v>
      </c>
      <c r="CN6" s="99">
        <f t="shared" si="14"/>
        <v>0</v>
      </c>
      <c r="CP6" s="123">
        <f t="shared" si="15"/>
        <v>0</v>
      </c>
      <c r="CQ6" s="123">
        <f t="shared" si="16"/>
        <v>0</v>
      </c>
      <c r="CS6" s="123">
        <f t="shared" si="17"/>
        <v>0</v>
      </c>
      <c r="CT6" s="123">
        <f t="shared" ref="CT6:CT76" si="21">F6+J6+N6+R6+V6+Z6+AD6+AL6+AP6+AT6+AX6+BF6+BJ6+BN6+BR6+BV6+BZ6+CD6+CH6</f>
        <v>0</v>
      </c>
      <c r="CU6" s="123">
        <f t="shared" ref="CU6:CU76" si="22">F6+J6+N6+R6+V6+Z6+AD6+AL6+AP6+AT6+AX6+BF6+BJ6+BN6+BV6+BZ6+CD6+CH6</f>
        <v>0</v>
      </c>
      <c r="CV6" s="123">
        <f t="shared" ref="CV6:CV76" si="23">F6+J6+N6+R6+V6+Z6+AD6+AL6+AP6+AT6+AX6+BF6+BJ6+BN6</f>
        <v>0</v>
      </c>
      <c r="CW6" s="123">
        <f t="shared" ref="CW6:CW76" si="24">E6+I6+M6+Q6+U6+Y6+AC6+AK6+AO6+AS6+AW6+BE6+BI6+BM6+BQ6+BU6+BY6+CC6+CG6</f>
        <v>0</v>
      </c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25"/>
      <c r="DL6" s="425"/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25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5"/>
      <c r="ET6" s="425"/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25"/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25"/>
    </row>
    <row r="7" spans="1:183" s="127" customFormat="1" ht="13.5">
      <c r="A7" s="109">
        <v>212</v>
      </c>
      <c r="B7" s="793" t="s">
        <v>102</v>
      </c>
      <c r="C7" s="794"/>
      <c r="D7" s="795"/>
      <c r="E7" s="102">
        <f>E8</f>
        <v>0</v>
      </c>
      <c r="F7" s="140">
        <f>F8</f>
        <v>0</v>
      </c>
      <c r="G7" s="99"/>
      <c r="H7" s="99">
        <f t="shared" si="0"/>
        <v>0</v>
      </c>
      <c r="I7" s="102">
        <f>I8</f>
        <v>0</v>
      </c>
      <c r="J7" s="140">
        <f>J8</f>
        <v>0</v>
      </c>
      <c r="K7" s="109"/>
      <c r="L7" s="109"/>
      <c r="M7" s="102">
        <f>M8</f>
        <v>0</v>
      </c>
      <c r="N7" s="140">
        <f>N8</f>
        <v>0</v>
      </c>
      <c r="O7" s="102"/>
      <c r="P7" s="109">
        <f>N7-M7</f>
        <v>0</v>
      </c>
      <c r="Q7" s="102">
        <f>Q8</f>
        <v>0</v>
      </c>
      <c r="R7" s="140">
        <f>R8</f>
        <v>0</v>
      </c>
      <c r="S7" s="102"/>
      <c r="T7" s="109"/>
      <c r="U7" s="102">
        <f>U8</f>
        <v>0</v>
      </c>
      <c r="V7" s="140">
        <f>V8</f>
        <v>0</v>
      </c>
      <c r="W7" s="109"/>
      <c r="X7" s="109">
        <f>V7-U7</f>
        <v>0</v>
      </c>
      <c r="Y7" s="102">
        <f>Y8</f>
        <v>0</v>
      </c>
      <c r="Z7" s="140">
        <f>Z8</f>
        <v>0</v>
      </c>
      <c r="AA7" s="102"/>
      <c r="AB7" s="109">
        <f t="shared" si="1"/>
        <v>0</v>
      </c>
      <c r="AC7" s="102">
        <f>AC8</f>
        <v>0</v>
      </c>
      <c r="AD7" s="140">
        <f>AD8</f>
        <v>0</v>
      </c>
      <c r="AE7" s="102"/>
      <c r="AF7" s="109"/>
      <c r="AG7" s="99">
        <f t="shared" si="3"/>
        <v>0</v>
      </c>
      <c r="AH7" s="102">
        <f>AH8</f>
        <v>0</v>
      </c>
      <c r="AI7" s="99" t="e">
        <f>AH7/AG7*100</f>
        <v>#DIV/0!</v>
      </c>
      <c r="AJ7" s="99">
        <f>AH7-AG7</f>
        <v>0</v>
      </c>
      <c r="AK7" s="102">
        <f>AK8</f>
        <v>0</v>
      </c>
      <c r="AL7" s="140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40">
        <f>AX8</f>
        <v>0</v>
      </c>
      <c r="AY7" s="99"/>
      <c r="AZ7" s="99">
        <f t="shared" si="7"/>
        <v>0</v>
      </c>
      <c r="BA7" s="99">
        <f t="shared" si="8"/>
        <v>0</v>
      </c>
      <c r="BB7" s="64">
        <f t="shared" si="9"/>
        <v>0</v>
      </c>
      <c r="BC7" s="99"/>
      <c r="BD7" s="99">
        <f>BB7-BA7</f>
        <v>0</v>
      </c>
      <c r="BE7" s="102">
        <f>BE8</f>
        <v>0</v>
      </c>
      <c r="BF7" s="102">
        <f>BF8</f>
        <v>0</v>
      </c>
      <c r="BG7" s="99"/>
      <c r="BH7" s="99">
        <f t="shared" si="11"/>
        <v>0</v>
      </c>
      <c r="BI7" s="102">
        <f>BI8</f>
        <v>0</v>
      </c>
      <c r="BJ7" s="102">
        <f>BJ8</f>
        <v>0</v>
      </c>
      <c r="BK7" s="99"/>
      <c r="BL7" s="99">
        <f t="shared" ref="BL7:BL13" si="25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26">BN7-BM7</f>
        <v>0</v>
      </c>
      <c r="BQ7" s="102">
        <f>BQ8</f>
        <v>0</v>
      </c>
      <c r="BR7" s="102">
        <f>BR8</f>
        <v>0</v>
      </c>
      <c r="BS7" s="99">
        <v>0</v>
      </c>
      <c r="BT7" s="99">
        <f t="shared" si="19"/>
        <v>0</v>
      </c>
      <c r="BU7" s="102">
        <f>BU8</f>
        <v>1</v>
      </c>
      <c r="BV7" s="437">
        <f>BV8</f>
        <v>0</v>
      </c>
      <c r="BW7" s="437">
        <f t="shared" si="12"/>
        <v>0</v>
      </c>
      <c r="BX7" s="449">
        <f>BV7-BU7</f>
        <v>-1</v>
      </c>
      <c r="BY7" s="437">
        <f>BY8</f>
        <v>35</v>
      </c>
      <c r="BZ7" s="438">
        <f>BZ8</f>
        <v>0</v>
      </c>
      <c r="CA7" s="448">
        <f>BZ7/BY7*100</f>
        <v>0</v>
      </c>
      <c r="CB7" s="449">
        <f t="shared" ref="CB7:CB76" si="27">BZ7-BY7</f>
        <v>-35</v>
      </c>
      <c r="CC7" s="438">
        <f>CC8</f>
        <v>0</v>
      </c>
      <c r="CD7" s="438">
        <f>CD8</f>
        <v>0</v>
      </c>
      <c r="CE7" s="448" t="e">
        <f>CD7/CC7*100</f>
        <v>#DIV/0!</v>
      </c>
      <c r="CF7" s="449">
        <f>CD7-CC7</f>
        <v>0</v>
      </c>
      <c r="CG7" s="140">
        <f>CG8</f>
        <v>0</v>
      </c>
      <c r="CH7" s="140">
        <f>CH8</f>
        <v>0</v>
      </c>
      <c r="CI7" s="103"/>
      <c r="CJ7" s="109">
        <f>CH7-CG7</f>
        <v>0</v>
      </c>
      <c r="CK7" s="99">
        <f t="shared" si="20"/>
        <v>36</v>
      </c>
      <c r="CL7" s="102">
        <f>CL8</f>
        <v>0</v>
      </c>
      <c r="CM7" s="102">
        <f t="shared" si="13"/>
        <v>0</v>
      </c>
      <c r="CN7" s="102">
        <f t="shared" si="14"/>
        <v>-36</v>
      </c>
      <c r="CP7" s="123">
        <f t="shared" si="15"/>
        <v>0</v>
      </c>
      <c r="CQ7" s="123">
        <f t="shared" si="16"/>
        <v>36</v>
      </c>
      <c r="CS7" s="123">
        <f t="shared" si="17"/>
        <v>0</v>
      </c>
      <c r="CT7" s="123">
        <f t="shared" si="21"/>
        <v>0</v>
      </c>
      <c r="CU7" s="123">
        <f t="shared" si="22"/>
        <v>0</v>
      </c>
      <c r="CV7" s="123">
        <f t="shared" si="23"/>
        <v>0</v>
      </c>
      <c r="CW7" s="123">
        <f t="shared" si="24"/>
        <v>36</v>
      </c>
      <c r="CX7" s="123"/>
      <c r="CY7" s="123"/>
    </row>
    <row r="8" spans="1:183">
      <c r="A8" s="108"/>
      <c r="B8" s="781" t="s">
        <v>202</v>
      </c>
      <c r="C8" s="782"/>
      <c r="D8" s="783"/>
      <c r="E8" s="94"/>
      <c r="F8" s="16"/>
      <c r="G8" s="94"/>
      <c r="H8" s="95">
        <f t="shared" si="0"/>
        <v>0</v>
      </c>
      <c r="I8" s="94"/>
      <c r="J8" s="16"/>
      <c r="K8" s="108"/>
      <c r="L8" s="108"/>
      <c r="M8" s="94"/>
      <c r="N8" s="16"/>
      <c r="O8" s="94"/>
      <c r="P8" s="430">
        <f>N8-M8</f>
        <v>0</v>
      </c>
      <c r="Q8" s="429"/>
      <c r="R8" s="202"/>
      <c r="S8" s="94"/>
      <c r="T8" s="108"/>
      <c r="U8" s="94"/>
      <c r="V8" s="16"/>
      <c r="W8" s="108"/>
      <c r="X8" s="108">
        <f>V8-U8</f>
        <v>0</v>
      </c>
      <c r="Y8" s="94"/>
      <c r="Z8" s="16"/>
      <c r="AA8" s="94"/>
      <c r="AB8" s="108">
        <f t="shared" si="1"/>
        <v>0</v>
      </c>
      <c r="AC8" s="94"/>
      <c r="AD8" s="16"/>
      <c r="AE8" s="94"/>
      <c r="AF8" s="108"/>
      <c r="AG8" s="418">
        <f t="shared" si="3"/>
        <v>0</v>
      </c>
      <c r="AH8" s="419">
        <f>F8+J8+N8+R8+V8+Z8+AD8</f>
        <v>0</v>
      </c>
      <c r="AI8" s="418" t="e">
        <f>AH8/AG8*100</f>
        <v>#DIV/0!</v>
      </c>
      <c r="AJ8" s="419">
        <f>AH8-AG8</f>
        <v>0</v>
      </c>
      <c r="AK8" s="94"/>
      <c r="AL8" s="16"/>
      <c r="AM8" s="94"/>
      <c r="AN8" s="95">
        <f t="shared" si="4"/>
        <v>0</v>
      </c>
      <c r="AO8" s="94"/>
      <c r="AP8" s="419"/>
      <c r="AQ8" s="94"/>
      <c r="AR8" s="95">
        <f t="shared" si="5"/>
        <v>0</v>
      </c>
      <c r="AS8" s="94"/>
      <c r="AT8" s="432"/>
      <c r="AU8" s="94"/>
      <c r="AV8" s="95">
        <f t="shared" si="6"/>
        <v>0</v>
      </c>
      <c r="AW8" s="94"/>
      <c r="AX8" s="16"/>
      <c r="AY8" s="94"/>
      <c r="AZ8" s="95">
        <f t="shared" si="7"/>
        <v>0</v>
      </c>
      <c r="BA8" s="418">
        <f t="shared" si="8"/>
        <v>0</v>
      </c>
      <c r="BB8" s="15">
        <f t="shared" si="9"/>
        <v>0</v>
      </c>
      <c r="BC8" s="419"/>
      <c r="BD8" s="419">
        <f>BB8-BA8</f>
        <v>0</v>
      </c>
      <c r="BE8" s="94"/>
      <c r="BF8" s="419"/>
      <c r="BG8" s="94"/>
      <c r="BH8" s="95">
        <f t="shared" si="11"/>
        <v>0</v>
      </c>
      <c r="BI8" s="94"/>
      <c r="BJ8" s="419"/>
      <c r="BK8" s="94"/>
      <c r="BL8" s="95">
        <f t="shared" si="25"/>
        <v>0</v>
      </c>
      <c r="BM8" s="94"/>
      <c r="BN8" s="419"/>
      <c r="BO8" s="94"/>
      <c r="BP8" s="95">
        <f t="shared" si="26"/>
        <v>0</v>
      </c>
      <c r="BQ8" s="94"/>
      <c r="BR8" s="419"/>
      <c r="BS8" s="92">
        <v>0</v>
      </c>
      <c r="BT8" s="92">
        <f t="shared" si="19"/>
        <v>0</v>
      </c>
      <c r="BU8" s="94">
        <v>1</v>
      </c>
      <c r="BV8" s="432"/>
      <c r="BW8" s="429">
        <f t="shared" si="12"/>
        <v>0</v>
      </c>
      <c r="BX8" s="430">
        <f>BV8-BU8</f>
        <v>-1</v>
      </c>
      <c r="BY8" s="429">
        <v>35</v>
      </c>
      <c r="BZ8" s="202"/>
      <c r="CA8" s="441">
        <f>BZ8/BY8*100</f>
        <v>0</v>
      </c>
      <c r="CB8" s="430">
        <f t="shared" si="27"/>
        <v>-35</v>
      </c>
      <c r="CC8" s="203"/>
      <c r="CD8" s="206"/>
      <c r="CE8" s="430"/>
      <c r="CF8" s="430"/>
      <c r="CG8" s="142"/>
      <c r="CH8" s="208"/>
      <c r="CI8" s="108"/>
      <c r="CJ8" s="108"/>
      <c r="CK8" s="418">
        <f t="shared" si="20"/>
        <v>36</v>
      </c>
      <c r="CL8" s="16">
        <f>AH8+BB8+BF8+BJ8+BN8+BR8+BV8+BZ8+CD8+CH8</f>
        <v>0</v>
      </c>
      <c r="CM8" s="419">
        <f t="shared" si="13"/>
        <v>0</v>
      </c>
      <c r="CN8" s="419">
        <f t="shared" si="14"/>
        <v>-36</v>
      </c>
      <c r="CP8" s="128">
        <f t="shared" si="15"/>
        <v>0</v>
      </c>
      <c r="CQ8" s="123">
        <f t="shared" si="16"/>
        <v>36</v>
      </c>
      <c r="CS8" s="132">
        <f t="shared" si="17"/>
        <v>0</v>
      </c>
      <c r="CT8" s="123">
        <f t="shared" si="21"/>
        <v>0</v>
      </c>
      <c r="CU8" s="123">
        <f t="shared" si="22"/>
        <v>0</v>
      </c>
      <c r="CV8" s="123">
        <f t="shared" si="23"/>
        <v>0</v>
      </c>
      <c r="CW8" s="123">
        <f t="shared" si="24"/>
        <v>36</v>
      </c>
      <c r="CX8" s="425"/>
      <c r="CY8" s="425"/>
    </row>
    <row r="9" spans="1:183" hidden="1">
      <c r="A9" s="108">
        <v>213</v>
      </c>
      <c r="B9" s="796" t="s">
        <v>203</v>
      </c>
      <c r="C9" s="797"/>
      <c r="D9" s="798"/>
      <c r="E9" s="94"/>
      <c r="F9" s="16"/>
      <c r="G9" s="92"/>
      <c r="H9" s="94">
        <f t="shared" si="0"/>
        <v>0</v>
      </c>
      <c r="I9" s="94"/>
      <c r="J9" s="16"/>
      <c r="K9" s="94"/>
      <c r="L9" s="108">
        <f t="shared" ref="L9:L19" si="28">J9-I9</f>
        <v>0</v>
      </c>
      <c r="M9" s="94"/>
      <c r="N9" s="16"/>
      <c r="O9" s="92"/>
      <c r="P9" s="430">
        <f>N9-M9</f>
        <v>0</v>
      </c>
      <c r="Q9" s="429"/>
      <c r="R9" s="202"/>
      <c r="S9" s="94"/>
      <c r="T9" s="108"/>
      <c r="U9" s="94"/>
      <c r="V9" s="16"/>
      <c r="W9" s="108"/>
      <c r="X9" s="108"/>
      <c r="Y9" s="94"/>
      <c r="Z9" s="16"/>
      <c r="AA9" s="94"/>
      <c r="AB9" s="108">
        <f t="shared" si="1"/>
        <v>0</v>
      </c>
      <c r="AC9" s="94"/>
      <c r="AD9" s="16"/>
      <c r="AE9" s="94"/>
      <c r="AF9" s="108"/>
      <c r="AG9" s="266">
        <f t="shared" si="3"/>
        <v>0</v>
      </c>
      <c r="AH9" s="419"/>
      <c r="AI9" s="268"/>
      <c r="AJ9" s="268"/>
      <c r="AK9" s="94"/>
      <c r="AL9" s="16"/>
      <c r="AM9" s="92"/>
      <c r="AN9" s="94">
        <f t="shared" si="4"/>
        <v>0</v>
      </c>
      <c r="AO9" s="94"/>
      <c r="AP9" s="419"/>
      <c r="AQ9" s="92"/>
      <c r="AR9" s="94">
        <f t="shared" si="5"/>
        <v>0</v>
      </c>
      <c r="AS9" s="94"/>
      <c r="AT9" s="419"/>
      <c r="AU9" s="92"/>
      <c r="AV9" s="94">
        <f t="shared" si="6"/>
        <v>0</v>
      </c>
      <c r="AW9" s="94"/>
      <c r="AX9" s="16"/>
      <c r="AY9" s="92"/>
      <c r="AZ9" s="94">
        <f t="shared" si="7"/>
        <v>0</v>
      </c>
      <c r="BA9" s="418">
        <f t="shared" si="8"/>
        <v>0</v>
      </c>
      <c r="BB9" s="15">
        <f t="shared" si="9"/>
        <v>0</v>
      </c>
      <c r="BC9" s="418"/>
      <c r="BD9" s="419">
        <f t="shared" si="10"/>
        <v>0</v>
      </c>
      <c r="BE9" s="94"/>
      <c r="BF9" s="419"/>
      <c r="BG9" s="92"/>
      <c r="BH9" s="94">
        <f t="shared" si="11"/>
        <v>0</v>
      </c>
      <c r="BI9" s="94"/>
      <c r="BJ9" s="419"/>
      <c r="BK9" s="92"/>
      <c r="BL9" s="94">
        <f t="shared" si="25"/>
        <v>0</v>
      </c>
      <c r="BM9" s="94"/>
      <c r="BN9" s="419"/>
      <c r="BO9" s="92"/>
      <c r="BP9" s="94">
        <f t="shared" si="26"/>
        <v>0</v>
      </c>
      <c r="BQ9" s="94"/>
      <c r="BR9" s="419"/>
      <c r="BS9" s="92" t="e">
        <f t="shared" si="18"/>
        <v>#DIV/0!</v>
      </c>
      <c r="BT9" s="92">
        <f t="shared" si="19"/>
        <v>0</v>
      </c>
      <c r="BU9" s="94"/>
      <c r="BV9" s="432"/>
      <c r="BW9" s="429"/>
      <c r="BX9" s="430"/>
      <c r="BY9" s="429"/>
      <c r="BZ9" s="202"/>
      <c r="CA9" s="441"/>
      <c r="CB9" s="430"/>
      <c r="CC9" s="430"/>
      <c r="CD9" s="442"/>
      <c r="CE9" s="430"/>
      <c r="CF9" s="430"/>
      <c r="CG9" s="108"/>
      <c r="CH9" s="428"/>
      <c r="CI9" s="108"/>
      <c r="CJ9" s="108"/>
      <c r="CK9" s="266">
        <f t="shared" si="20"/>
        <v>0</v>
      </c>
      <c r="CL9" s="256">
        <f>R9+V9+Z9+AD9+BV9+BZ9+F9+J9+N9+AL9+CD9+AP9+AT9+AX9+BF9</f>
        <v>0</v>
      </c>
      <c r="CM9" s="268"/>
      <c r="CN9" s="268"/>
      <c r="CP9" s="128">
        <f t="shared" si="15"/>
        <v>0</v>
      </c>
      <c r="CQ9" s="123">
        <f t="shared" si="16"/>
        <v>0</v>
      </c>
      <c r="CS9" s="132">
        <f t="shared" si="17"/>
        <v>0</v>
      </c>
      <c r="CT9" s="123">
        <f t="shared" si="21"/>
        <v>0</v>
      </c>
      <c r="CU9" s="123">
        <f t="shared" si="22"/>
        <v>0</v>
      </c>
      <c r="CV9" s="123">
        <f t="shared" si="23"/>
        <v>0</v>
      </c>
      <c r="CW9" s="123">
        <f t="shared" si="24"/>
        <v>0</v>
      </c>
      <c r="CX9" s="425"/>
      <c r="CY9" s="425"/>
    </row>
    <row r="10" spans="1:183" s="123" customFormat="1">
      <c r="A10" s="100">
        <v>220</v>
      </c>
      <c r="B10" s="775" t="s">
        <v>106</v>
      </c>
      <c r="C10" s="776"/>
      <c r="D10" s="777"/>
      <c r="E10" s="99">
        <f>E11+E12+E16+E27+E14</f>
        <v>126</v>
      </c>
      <c r="F10" s="64">
        <f>F11+F12+F16+F27</f>
        <v>33.431699999999999</v>
      </c>
      <c r="G10" s="99">
        <f>F10/E10*100</f>
        <v>26.533095238095239</v>
      </c>
      <c r="H10" s="99">
        <f t="shared" si="0"/>
        <v>-92.568299999999994</v>
      </c>
      <c r="I10" s="99">
        <f>I11+I12+I16+I27+I14</f>
        <v>178</v>
      </c>
      <c r="J10" s="64">
        <f>J11+J12+J16+J27+J14</f>
        <v>92.216499999999996</v>
      </c>
      <c r="K10" s="99">
        <f>J10/I10*100</f>
        <v>51.807022471910116</v>
      </c>
      <c r="L10" s="100"/>
      <c r="M10" s="99">
        <f>M11+M12+M16+M27+M14</f>
        <v>224</v>
      </c>
      <c r="N10" s="64">
        <f>N11+N12+N16+N27+N14</f>
        <v>20.822049999999997</v>
      </c>
      <c r="O10" s="99">
        <f>N10/M10*100</f>
        <v>9.2955580357142846</v>
      </c>
      <c r="P10" s="445">
        <f t="shared" ref="P10:P76" si="29">N10-M10</f>
        <v>-203.17795000000001</v>
      </c>
      <c r="Q10" s="433">
        <f>Q11+Q12+Q16+Q27+Q14</f>
        <v>193</v>
      </c>
      <c r="R10" s="234">
        <f>R11+R12+R16+R27+R14</f>
        <v>218.12450000000001</v>
      </c>
      <c r="S10" s="99">
        <f t="shared" ref="S10:S17" si="30">R10/Q10*100</f>
        <v>113.0178756476684</v>
      </c>
      <c r="T10" s="99">
        <f>R10-Q10</f>
        <v>25.124500000000012</v>
      </c>
      <c r="U10" s="433">
        <f>U11+U12+U16+U27+U14</f>
        <v>201</v>
      </c>
      <c r="V10" s="234">
        <f>V11+V12+V16+V27+V14</f>
        <v>88.993279999999999</v>
      </c>
      <c r="W10" s="433">
        <f>V10/U10*100</f>
        <v>44.275263681592037</v>
      </c>
      <c r="X10" s="445">
        <f t="shared" ref="X10:X17" si="31">V10-U10</f>
        <v>-112.00672</v>
      </c>
      <c r="Y10" s="433">
        <f>Y11+Y12+Y16+Y27+Y14</f>
        <v>179</v>
      </c>
      <c r="Z10" s="234">
        <f>Z11+Z12+Z16+Z27+Z14</f>
        <v>81.219220000000007</v>
      </c>
      <c r="AA10" s="433">
        <f>Z10/Y10*100</f>
        <v>45.373865921787711</v>
      </c>
      <c r="AB10" s="445">
        <f t="shared" si="1"/>
        <v>-97.780779999999993</v>
      </c>
      <c r="AC10" s="433">
        <f>AC11+AC12+AC16+AC27+AC14</f>
        <v>174</v>
      </c>
      <c r="AD10" s="234">
        <f>AD11+AD12+AD16+AD27</f>
        <v>170.14081999999999</v>
      </c>
      <c r="AE10" s="433">
        <f>AD10/AC10*100</f>
        <v>97.7820804597701</v>
      </c>
      <c r="AF10" s="445">
        <f t="shared" si="2"/>
        <v>-3.8591800000000092</v>
      </c>
      <c r="AG10" s="433">
        <f t="shared" si="3"/>
        <v>1275</v>
      </c>
      <c r="AH10" s="234">
        <f>AH11+AH12+AH16+AH27</f>
        <v>704.94807000000003</v>
      </c>
      <c r="AI10" s="433">
        <f>AH10/AG10*100</f>
        <v>55.290044705882359</v>
      </c>
      <c r="AJ10" s="433">
        <f t="shared" ref="AJ10:AJ76" si="32">AH10-AG10</f>
        <v>-570.05192999999997</v>
      </c>
      <c r="AK10" s="433">
        <f>AK11+AK12+AK16+AK27+AK14</f>
        <v>40</v>
      </c>
      <c r="AL10" s="234">
        <f>AL11+AL12+AL16+AL27+AL14</f>
        <v>0</v>
      </c>
      <c r="AM10" s="433">
        <f t="shared" ref="AM10:AM17" si="33">AL10/AK10*100</f>
        <v>0</v>
      </c>
      <c r="AN10" s="99">
        <f t="shared" si="4"/>
        <v>-40</v>
      </c>
      <c r="AO10" s="99">
        <f>AO11+AO12+AO16+AO27+AO14</f>
        <v>10</v>
      </c>
      <c r="AP10" s="99">
        <f>AP11+AP12+AP16+AP27+AP14</f>
        <v>0</v>
      </c>
      <c r="AQ10" s="99">
        <f>AP10/AO10*100</f>
        <v>0</v>
      </c>
      <c r="AR10" s="99">
        <f t="shared" si="5"/>
        <v>-10</v>
      </c>
      <c r="AS10" s="99">
        <f>AS11+AS12+AS16+AS27+AS14</f>
        <v>40</v>
      </c>
      <c r="AT10" s="99">
        <f>AT11+AT12+AT16+AT27+AT14</f>
        <v>0</v>
      </c>
      <c r="AU10" s="99">
        <f>AT10/AS10*100</f>
        <v>0</v>
      </c>
      <c r="AV10" s="99">
        <f t="shared" si="6"/>
        <v>-40</v>
      </c>
      <c r="AW10" s="99">
        <f>AW11+AW12+AW16+AW27+AW14</f>
        <v>45</v>
      </c>
      <c r="AX10" s="64">
        <f>AX11+AX12+AX16+AX27+AX14</f>
        <v>0</v>
      </c>
      <c r="AY10" s="99">
        <f>AX10/AW10*100</f>
        <v>0</v>
      </c>
      <c r="AZ10" s="99">
        <f t="shared" si="7"/>
        <v>-45</v>
      </c>
      <c r="BA10" s="99">
        <f t="shared" si="8"/>
        <v>135</v>
      </c>
      <c r="BB10" s="64">
        <f t="shared" si="9"/>
        <v>0</v>
      </c>
      <c r="BC10" s="99">
        <f>BB10/BA10*100</f>
        <v>0</v>
      </c>
      <c r="BD10" s="99">
        <f t="shared" si="10"/>
        <v>-135</v>
      </c>
      <c r="BE10" s="99">
        <f>BE11+BE12+BE16+BE27+BE14</f>
        <v>4</v>
      </c>
      <c r="BF10" s="99">
        <f>BF11+BF12+BF16+BF27+BF14</f>
        <v>0</v>
      </c>
      <c r="BG10" s="99">
        <f>BF10/BE10*100</f>
        <v>0</v>
      </c>
      <c r="BH10" s="99">
        <f t="shared" si="11"/>
        <v>-4</v>
      </c>
      <c r="BI10" s="99">
        <f>BI11+BI12+BI16+BI27+BI14</f>
        <v>4</v>
      </c>
      <c r="BJ10" s="99">
        <f>BJ11+BJ12+BJ16+BJ27+BJ14</f>
        <v>0</v>
      </c>
      <c r="BK10" s="99">
        <f>BJ10/BI10*100</f>
        <v>0</v>
      </c>
      <c r="BL10" s="99">
        <f t="shared" si="25"/>
        <v>-4</v>
      </c>
      <c r="BM10" s="99">
        <f>BM11+BM12+BM16+BM27+BM14</f>
        <v>4</v>
      </c>
      <c r="BN10" s="99">
        <f>BN11+BN12+BN16+BN27+BN14</f>
        <v>0</v>
      </c>
      <c r="BO10" s="99">
        <f>BN10/BM10*100</f>
        <v>0</v>
      </c>
      <c r="BP10" s="99">
        <f t="shared" si="26"/>
        <v>-4</v>
      </c>
      <c r="BQ10" s="99">
        <f>BQ11+BQ12+BQ16+BQ27</f>
        <v>20</v>
      </c>
      <c r="BR10" s="99">
        <f>BR11+BR12+BR16+BR27</f>
        <v>0</v>
      </c>
      <c r="BS10" s="99">
        <f t="shared" si="18"/>
        <v>0</v>
      </c>
      <c r="BT10" s="99">
        <f t="shared" si="19"/>
        <v>-20</v>
      </c>
      <c r="BU10" s="99">
        <f>BU11+BU12+BU16+BU27</f>
        <v>20.3</v>
      </c>
      <c r="BV10" s="433">
        <f>BV11+BV12+BV16+BV27</f>
        <v>0.499</v>
      </c>
      <c r="BW10" s="433">
        <v>0</v>
      </c>
      <c r="BX10" s="445">
        <f t="shared" ref="BX10:BX17" si="34">BV10-BU10</f>
        <v>-19.801000000000002</v>
      </c>
      <c r="BY10" s="433">
        <f>BY11+BY12+BY16+BY27+BY15</f>
        <v>1315</v>
      </c>
      <c r="BZ10" s="234">
        <f>BZ11+BZ12+BZ16+BZ27</f>
        <v>477.77906000000007</v>
      </c>
      <c r="CA10" s="444">
        <f>BZ10/BY10*100</f>
        <v>36.333008365019012</v>
      </c>
      <c r="CB10" s="445">
        <f t="shared" si="27"/>
        <v>-837.22093999999993</v>
      </c>
      <c r="CC10" s="433">
        <f>CC11+CC12+CC16+CC27</f>
        <v>20.5</v>
      </c>
      <c r="CD10" s="234">
        <f>CD11+CD12+CD16+CD27</f>
        <v>4</v>
      </c>
      <c r="CE10" s="444">
        <f>CD10/CC10*100</f>
        <v>19.512195121951219</v>
      </c>
      <c r="CF10" s="445">
        <f>CD10-CC10</f>
        <v>-16.5</v>
      </c>
      <c r="CG10" s="99">
        <f>CG11+CG12+CG16+CG27+CG14</f>
        <v>73</v>
      </c>
      <c r="CH10" s="99">
        <f>CH11+CH12+CH16+CH27+CH14</f>
        <v>45.904789999999998</v>
      </c>
      <c r="CI10" s="101">
        <f>CH10/CG10*100</f>
        <v>62.883273972602737</v>
      </c>
      <c r="CJ10" s="100">
        <f>CH10-CG10</f>
        <v>-27.095210000000002</v>
      </c>
      <c r="CK10" s="99">
        <f>CK11+CK12+CK16+CK27+CK14</f>
        <v>2860.8</v>
      </c>
      <c r="CL10" s="64">
        <f>CL11+CL12+CL16+CL27</f>
        <v>1233.1309200000001</v>
      </c>
      <c r="CM10" s="99">
        <f t="shared" si="13"/>
        <v>43.10440855704698</v>
      </c>
      <c r="CN10" s="99">
        <f t="shared" si="14"/>
        <v>-1627.6690800000001</v>
      </c>
      <c r="CP10" s="123">
        <f t="shared" si="15"/>
        <v>1187.22613</v>
      </c>
      <c r="CQ10" s="123">
        <f t="shared" si="16"/>
        <v>2777.8</v>
      </c>
      <c r="CS10" s="123">
        <f t="shared" si="17"/>
        <v>1187.22613</v>
      </c>
      <c r="CT10" s="123">
        <f t="shared" si="21"/>
        <v>1233.1309200000001</v>
      </c>
      <c r="CU10" s="123">
        <f t="shared" si="22"/>
        <v>1233.1309200000001</v>
      </c>
      <c r="CV10" s="123">
        <f t="shared" si="23"/>
        <v>704.94807000000003</v>
      </c>
      <c r="CW10" s="123">
        <f t="shared" si="24"/>
        <v>2870.8</v>
      </c>
    </row>
    <row r="11" spans="1:183">
      <c r="A11" s="108">
        <v>221</v>
      </c>
      <c r="B11" s="910" t="s">
        <v>107</v>
      </c>
      <c r="C11" s="911"/>
      <c r="D11" s="912"/>
      <c r="E11" s="16">
        <v>32</v>
      </c>
      <c r="F11" s="16">
        <v>9.6183999999999994</v>
      </c>
      <c r="G11" s="94">
        <f>F11/E11*100</f>
        <v>30.057499999999997</v>
      </c>
      <c r="H11" s="94">
        <f t="shared" si="0"/>
        <v>-22.381599999999999</v>
      </c>
      <c r="I11" s="94">
        <v>32</v>
      </c>
      <c r="J11" s="16">
        <v>13.107200000000001</v>
      </c>
      <c r="K11" s="94">
        <f>J11/I11*100</f>
        <v>40.96</v>
      </c>
      <c r="L11" s="108">
        <f t="shared" si="28"/>
        <v>-18.892800000000001</v>
      </c>
      <c r="M11" s="94">
        <v>37</v>
      </c>
      <c r="N11" s="16">
        <v>0.9456</v>
      </c>
      <c r="O11" s="94">
        <f>N11/M11*100</f>
        <v>2.5556756756756758</v>
      </c>
      <c r="P11" s="430">
        <f t="shared" si="29"/>
        <v>-36.054400000000001</v>
      </c>
      <c r="Q11" s="429">
        <v>37</v>
      </c>
      <c r="R11" s="202">
        <v>6.8352000000000004</v>
      </c>
      <c r="S11" s="95">
        <f t="shared" si="30"/>
        <v>18.473513513513513</v>
      </c>
      <c r="T11" s="108">
        <f>R11-Q11</f>
        <v>-30.1648</v>
      </c>
      <c r="U11" s="429">
        <v>32</v>
      </c>
      <c r="V11" s="202">
        <v>4.7299199999999999</v>
      </c>
      <c r="W11" s="429">
        <f>V11/U11*100</f>
        <v>14.780999999999999</v>
      </c>
      <c r="X11" s="429">
        <f t="shared" si="31"/>
        <v>-27.27008</v>
      </c>
      <c r="Y11" s="429">
        <v>32</v>
      </c>
      <c r="Z11" s="202">
        <v>3.80592</v>
      </c>
      <c r="AA11" s="429">
        <f>Z11/Y11*100</f>
        <v>11.8935</v>
      </c>
      <c r="AB11" s="430">
        <f t="shared" si="1"/>
        <v>-28.19408</v>
      </c>
      <c r="AC11" s="429">
        <v>32</v>
      </c>
      <c r="AD11" s="202">
        <v>7.7968000000000002</v>
      </c>
      <c r="AE11" s="429">
        <f>AD11/AC11*100</f>
        <v>24.365000000000002</v>
      </c>
      <c r="AF11" s="430">
        <f t="shared" si="2"/>
        <v>-24.203199999999999</v>
      </c>
      <c r="AG11" s="435">
        <f t="shared" si="3"/>
        <v>234</v>
      </c>
      <c r="AH11" s="432">
        <f>F11+J11+N11+R11+V11+Z11+AD11</f>
        <v>46.839039999999997</v>
      </c>
      <c r="AI11" s="432">
        <f>AH11/AG11*100</f>
        <v>20.016683760683758</v>
      </c>
      <c r="AJ11" s="432">
        <f t="shared" si="32"/>
        <v>-187.16095999999999</v>
      </c>
      <c r="AK11" s="429"/>
      <c r="AL11" s="202"/>
      <c r="AM11" s="429" t="e">
        <f t="shared" si="33"/>
        <v>#DIV/0!</v>
      </c>
      <c r="AN11" s="94">
        <f t="shared" si="4"/>
        <v>0</v>
      </c>
      <c r="AO11" s="94"/>
      <c r="AP11" s="419"/>
      <c r="AQ11" s="94" t="e">
        <f>AP11/AO11*100</f>
        <v>#DIV/0!</v>
      </c>
      <c r="AR11" s="94">
        <f t="shared" si="5"/>
        <v>0</v>
      </c>
      <c r="AS11" s="94"/>
      <c r="AT11" s="432"/>
      <c r="AU11" s="429">
        <v>0</v>
      </c>
      <c r="AV11" s="429">
        <f t="shared" si="6"/>
        <v>0</v>
      </c>
      <c r="AW11" s="429"/>
      <c r="AX11" s="202"/>
      <c r="AY11" s="94" t="e">
        <f>AX11/AW11*100</f>
        <v>#DIV/0!</v>
      </c>
      <c r="AZ11" s="94">
        <f t="shared" si="7"/>
        <v>0</v>
      </c>
      <c r="BA11" s="418">
        <f t="shared" si="8"/>
        <v>0</v>
      </c>
      <c r="BB11" s="15">
        <f t="shared" si="9"/>
        <v>0</v>
      </c>
      <c r="BC11" s="419" t="e">
        <f>BB11/BA11*100</f>
        <v>#DIV/0!</v>
      </c>
      <c r="BD11" s="419">
        <f t="shared" si="10"/>
        <v>0</v>
      </c>
      <c r="BE11" s="94">
        <v>4</v>
      </c>
      <c r="BF11" s="432"/>
      <c r="BG11" s="94"/>
      <c r="BH11" s="94">
        <f t="shared" si="11"/>
        <v>-4</v>
      </c>
      <c r="BI11" s="94">
        <v>4</v>
      </c>
      <c r="BJ11" s="432"/>
      <c r="BK11" s="94"/>
      <c r="BL11" s="94">
        <f t="shared" si="25"/>
        <v>-4</v>
      </c>
      <c r="BM11" s="94">
        <v>4</v>
      </c>
      <c r="BN11" s="432"/>
      <c r="BO11" s="94">
        <f>BN11/BM11*100</f>
        <v>0</v>
      </c>
      <c r="BP11" s="94">
        <f t="shared" si="26"/>
        <v>-4</v>
      </c>
      <c r="BQ11" s="94"/>
      <c r="BR11" s="419"/>
      <c r="BS11" s="92">
        <v>0</v>
      </c>
      <c r="BT11" s="92">
        <f t="shared" si="19"/>
        <v>0</v>
      </c>
      <c r="BU11" s="94"/>
      <c r="BV11" s="432"/>
      <c r="BW11" s="429"/>
      <c r="BX11" s="430">
        <f t="shared" si="34"/>
        <v>0</v>
      </c>
      <c r="BY11" s="429">
        <v>353</v>
      </c>
      <c r="BZ11" s="496">
        <v>74.642120000000006</v>
      </c>
      <c r="CA11" s="441">
        <f>BZ11/BY11*100</f>
        <v>21.145076487252126</v>
      </c>
      <c r="CB11" s="430">
        <f t="shared" si="27"/>
        <v>-278.35788000000002</v>
      </c>
      <c r="CC11" s="430"/>
      <c r="CD11" s="442"/>
      <c r="CE11" s="430"/>
      <c r="CF11" s="430"/>
      <c r="CG11" s="108"/>
      <c r="CH11" s="428"/>
      <c r="CI11" s="108"/>
      <c r="CJ11" s="108"/>
      <c r="CK11" s="418">
        <f t="shared" si="20"/>
        <v>599</v>
      </c>
      <c r="CL11" s="16">
        <f>AH11+BB11+BF11+BJ11+BN11+BR11+BV11+BZ11+CD11+CH11</f>
        <v>121.48116</v>
      </c>
      <c r="CM11" s="419">
        <f t="shared" si="13"/>
        <v>20.280661101836394</v>
      </c>
      <c r="CN11" s="419">
        <f t="shared" si="14"/>
        <v>-477.51884000000001</v>
      </c>
      <c r="CO11" s="98">
        <v>54.6</v>
      </c>
      <c r="CP11" s="128">
        <f t="shared" si="15"/>
        <v>121.48116</v>
      </c>
      <c r="CQ11" s="123">
        <f t="shared" si="16"/>
        <v>599</v>
      </c>
      <c r="CS11" s="132">
        <f t="shared" si="17"/>
        <v>121.48116</v>
      </c>
      <c r="CT11" s="123">
        <f t="shared" si="21"/>
        <v>121.48116</v>
      </c>
      <c r="CU11" s="123">
        <f t="shared" si="22"/>
        <v>121.48116</v>
      </c>
      <c r="CV11" s="123">
        <f t="shared" si="23"/>
        <v>46.839039999999997</v>
      </c>
      <c r="CW11" s="123">
        <f t="shared" si="24"/>
        <v>599</v>
      </c>
      <c r="CX11" s="425"/>
      <c r="CY11" s="425"/>
    </row>
    <row r="12" spans="1:183" s="426" customFormat="1" ht="13.5">
      <c r="A12" s="428">
        <v>222</v>
      </c>
      <c r="B12" s="895" t="s">
        <v>204</v>
      </c>
      <c r="C12" s="896"/>
      <c r="D12" s="897"/>
      <c r="E12" s="468">
        <f>E13</f>
        <v>0</v>
      </c>
      <c r="F12" s="469">
        <f>F13</f>
        <v>0</v>
      </c>
      <c r="G12" s="418"/>
      <c r="H12" s="468">
        <f t="shared" si="0"/>
        <v>0</v>
      </c>
      <c r="I12" s="468">
        <f>I13</f>
        <v>0</v>
      </c>
      <c r="J12" s="469"/>
      <c r="K12" s="468"/>
      <c r="L12" s="467">
        <f t="shared" si="28"/>
        <v>0</v>
      </c>
      <c r="M12" s="468">
        <f>M13</f>
        <v>0</v>
      </c>
      <c r="N12" s="468">
        <f>N13</f>
        <v>0</v>
      </c>
      <c r="O12" s="468"/>
      <c r="P12" s="470">
        <f t="shared" si="29"/>
        <v>0</v>
      </c>
      <c r="Q12" s="440">
        <f>Q13</f>
        <v>0</v>
      </c>
      <c r="R12" s="471">
        <f>R13</f>
        <v>0</v>
      </c>
      <c r="S12" s="468"/>
      <c r="T12" s="468">
        <f>R12-Q12</f>
        <v>0</v>
      </c>
      <c r="U12" s="440">
        <f>U13</f>
        <v>0</v>
      </c>
      <c r="V12" s="471"/>
      <c r="W12" s="440"/>
      <c r="X12" s="470">
        <f t="shared" si="31"/>
        <v>0</v>
      </c>
      <c r="Y12" s="440">
        <f>Y13</f>
        <v>0</v>
      </c>
      <c r="Z12" s="471">
        <f>Z13</f>
        <v>0</v>
      </c>
      <c r="AA12" s="440"/>
      <c r="AB12" s="470">
        <f t="shared" si="1"/>
        <v>0</v>
      </c>
      <c r="AC12" s="440">
        <f>AC13</f>
        <v>0</v>
      </c>
      <c r="AD12" s="471">
        <f>AD13</f>
        <v>0</v>
      </c>
      <c r="AE12" s="440"/>
      <c r="AF12" s="470">
        <f t="shared" si="2"/>
        <v>0</v>
      </c>
      <c r="AG12" s="435">
        <f t="shared" si="3"/>
        <v>0</v>
      </c>
      <c r="AH12" s="471">
        <f>AH13</f>
        <v>0</v>
      </c>
      <c r="AI12" s="440"/>
      <c r="AJ12" s="470">
        <f t="shared" si="32"/>
        <v>0</v>
      </c>
      <c r="AK12" s="440">
        <f>AK13</f>
        <v>0</v>
      </c>
      <c r="AL12" s="471"/>
      <c r="AM12" s="435"/>
      <c r="AN12" s="468">
        <f t="shared" si="4"/>
        <v>0</v>
      </c>
      <c r="AO12" s="468">
        <f>AO13</f>
        <v>0</v>
      </c>
      <c r="AP12" s="468"/>
      <c r="AQ12" s="418"/>
      <c r="AR12" s="468">
        <f t="shared" si="5"/>
        <v>0</v>
      </c>
      <c r="AS12" s="468">
        <f>AS13</f>
        <v>0</v>
      </c>
      <c r="AT12" s="468">
        <f>AT13</f>
        <v>0</v>
      </c>
      <c r="AU12" s="418"/>
      <c r="AV12" s="468">
        <f t="shared" si="6"/>
        <v>0</v>
      </c>
      <c r="AW12" s="468">
        <f>AW13</f>
        <v>0</v>
      </c>
      <c r="AX12" s="469"/>
      <c r="AY12" s="418"/>
      <c r="AZ12" s="468">
        <f t="shared" si="7"/>
        <v>0</v>
      </c>
      <c r="BA12" s="418">
        <f t="shared" si="8"/>
        <v>0</v>
      </c>
      <c r="BB12" s="15">
        <f t="shared" si="9"/>
        <v>0</v>
      </c>
      <c r="BC12" s="418"/>
      <c r="BD12" s="468">
        <f t="shared" si="10"/>
        <v>0</v>
      </c>
      <c r="BE12" s="468">
        <f>BE13</f>
        <v>0</v>
      </c>
      <c r="BF12" s="468">
        <f>BF13</f>
        <v>0</v>
      </c>
      <c r="BG12" s="418"/>
      <c r="BH12" s="468">
        <f t="shared" si="11"/>
        <v>0</v>
      </c>
      <c r="BI12" s="468">
        <f>BI13</f>
        <v>0</v>
      </c>
      <c r="BJ12" s="468">
        <f>BJ13</f>
        <v>0</v>
      </c>
      <c r="BK12" s="418"/>
      <c r="BL12" s="468">
        <f t="shared" si="25"/>
        <v>0</v>
      </c>
      <c r="BM12" s="468">
        <f>BM13</f>
        <v>0</v>
      </c>
      <c r="BN12" s="468">
        <f>BN13</f>
        <v>0</v>
      </c>
      <c r="BO12" s="419"/>
      <c r="BP12" s="468">
        <f t="shared" si="26"/>
        <v>0</v>
      </c>
      <c r="BQ12" s="468">
        <f>BQ13</f>
        <v>20</v>
      </c>
      <c r="BR12" s="468">
        <f>BR13</f>
        <v>0</v>
      </c>
      <c r="BS12" s="418">
        <f t="shared" si="18"/>
        <v>0</v>
      </c>
      <c r="BT12" s="418">
        <f t="shared" si="19"/>
        <v>-20</v>
      </c>
      <c r="BU12" s="468">
        <f>BU13</f>
        <v>11.1</v>
      </c>
      <c r="BV12" s="471">
        <f>BV13</f>
        <v>0</v>
      </c>
      <c r="BW12" s="440">
        <v>0</v>
      </c>
      <c r="BX12" s="470">
        <f>BV12-BU12</f>
        <v>-11.1</v>
      </c>
      <c r="BY12" s="440">
        <f>BY13</f>
        <v>35</v>
      </c>
      <c r="BZ12" s="496">
        <f>BZ13</f>
        <v>0</v>
      </c>
      <c r="CA12" s="472">
        <f>BZ12/BY12*100</f>
        <v>0</v>
      </c>
      <c r="CB12" s="470">
        <f t="shared" si="27"/>
        <v>-35</v>
      </c>
      <c r="CC12" s="471">
        <f>CC13</f>
        <v>10.8</v>
      </c>
      <c r="CD12" s="471">
        <f>CD13</f>
        <v>0</v>
      </c>
      <c r="CE12" s="472">
        <f>CD12/CC12*100</f>
        <v>0</v>
      </c>
      <c r="CF12" s="470">
        <f>CD12-CC12</f>
        <v>-10.8</v>
      </c>
      <c r="CG12" s="468">
        <f>CG13</f>
        <v>10</v>
      </c>
      <c r="CH12" s="469">
        <f>CH13</f>
        <v>9.891</v>
      </c>
      <c r="CI12" s="473"/>
      <c r="CJ12" s="467">
        <f>CH12-CG12</f>
        <v>-0.10899999999999999</v>
      </c>
      <c r="CK12" s="418">
        <f t="shared" si="20"/>
        <v>76.900000000000006</v>
      </c>
      <c r="CL12" s="469">
        <f>CL13</f>
        <v>9.891</v>
      </c>
      <c r="CM12" s="468">
        <f t="shared" si="13"/>
        <v>12.862158647594276</v>
      </c>
      <c r="CN12" s="468">
        <f t="shared" si="14"/>
        <v>-67.009</v>
      </c>
      <c r="CP12" s="425">
        <f t="shared" si="15"/>
        <v>0</v>
      </c>
      <c r="CQ12" s="425">
        <f t="shared" si="16"/>
        <v>56.900000000000006</v>
      </c>
      <c r="CS12" s="425">
        <f t="shared" si="17"/>
        <v>0</v>
      </c>
      <c r="CT12" s="425">
        <f t="shared" si="21"/>
        <v>9.891</v>
      </c>
      <c r="CU12" s="425">
        <f t="shared" si="22"/>
        <v>9.891</v>
      </c>
      <c r="CV12" s="425">
        <f t="shared" si="23"/>
        <v>0</v>
      </c>
      <c r="CW12" s="425">
        <f t="shared" si="24"/>
        <v>86.899999999999991</v>
      </c>
      <c r="CX12" s="425"/>
      <c r="CY12" s="425"/>
    </row>
    <row r="13" spans="1:183" ht="24" customHeight="1">
      <c r="A13" s="108"/>
      <c r="B13" s="799" t="s">
        <v>205</v>
      </c>
      <c r="C13" s="800"/>
      <c r="D13" s="801"/>
      <c r="E13" s="94"/>
      <c r="F13" s="16"/>
      <c r="G13" s="94"/>
      <c r="H13" s="94">
        <f t="shared" si="0"/>
        <v>0</v>
      </c>
      <c r="I13" s="94"/>
      <c r="J13" s="16"/>
      <c r="K13" s="94"/>
      <c r="L13" s="108">
        <f t="shared" si="28"/>
        <v>0</v>
      </c>
      <c r="M13" s="94"/>
      <c r="N13" s="16"/>
      <c r="O13" s="94"/>
      <c r="P13" s="430">
        <f t="shared" si="29"/>
        <v>0</v>
      </c>
      <c r="Q13" s="429">
        <v>0</v>
      </c>
      <c r="R13" s="202"/>
      <c r="S13" s="95"/>
      <c r="T13" s="94">
        <f>R13-Q13</f>
        <v>0</v>
      </c>
      <c r="U13" s="429"/>
      <c r="V13" s="202"/>
      <c r="W13" s="429"/>
      <c r="X13" s="430">
        <f t="shared" si="31"/>
        <v>0</v>
      </c>
      <c r="Y13" s="429"/>
      <c r="Z13" s="202"/>
      <c r="AA13" s="429"/>
      <c r="AB13" s="430">
        <f t="shared" si="1"/>
        <v>0</v>
      </c>
      <c r="AC13" s="429"/>
      <c r="AD13" s="202"/>
      <c r="AE13" s="429"/>
      <c r="AF13" s="430">
        <f t="shared" si="2"/>
        <v>0</v>
      </c>
      <c r="AG13" s="435">
        <f t="shared" si="3"/>
        <v>0</v>
      </c>
      <c r="AH13" s="432">
        <f>F13+J13+N13+R13+V13+Z13+AD13</f>
        <v>0</v>
      </c>
      <c r="AI13" s="432"/>
      <c r="AJ13" s="442">
        <f t="shared" si="32"/>
        <v>0</v>
      </c>
      <c r="AK13" s="429"/>
      <c r="AL13" s="202"/>
      <c r="AM13" s="429"/>
      <c r="AN13" s="94">
        <f t="shared" si="4"/>
        <v>0</v>
      </c>
      <c r="AO13" s="94"/>
      <c r="AP13" s="419"/>
      <c r="AQ13" s="94"/>
      <c r="AR13" s="94">
        <f t="shared" si="5"/>
        <v>0</v>
      </c>
      <c r="AS13" s="94"/>
      <c r="AT13" s="432"/>
      <c r="AU13" s="94"/>
      <c r="AV13" s="94">
        <f t="shared" si="6"/>
        <v>0</v>
      </c>
      <c r="AW13" s="94"/>
      <c r="AX13" s="16"/>
      <c r="AY13" s="94"/>
      <c r="AZ13" s="94">
        <f t="shared" si="7"/>
        <v>0</v>
      </c>
      <c r="BA13" s="418">
        <f t="shared" si="8"/>
        <v>0</v>
      </c>
      <c r="BB13" s="15">
        <f t="shared" si="9"/>
        <v>0</v>
      </c>
      <c r="BC13" s="419"/>
      <c r="BD13" s="419">
        <f t="shared" si="10"/>
        <v>0</v>
      </c>
      <c r="BE13" s="94"/>
      <c r="BF13" s="419"/>
      <c r="BG13" s="94"/>
      <c r="BH13" s="94">
        <f t="shared" si="11"/>
        <v>0</v>
      </c>
      <c r="BI13" s="94"/>
      <c r="BJ13" s="419"/>
      <c r="BK13" s="94"/>
      <c r="BL13" s="94">
        <f t="shared" si="25"/>
        <v>0</v>
      </c>
      <c r="BM13" s="94"/>
      <c r="BN13" s="419"/>
      <c r="BO13" s="94"/>
      <c r="BP13" s="94">
        <f t="shared" si="26"/>
        <v>0</v>
      </c>
      <c r="BQ13" s="94">
        <v>20</v>
      </c>
      <c r="BR13" s="419"/>
      <c r="BS13" s="92">
        <f t="shared" si="18"/>
        <v>0</v>
      </c>
      <c r="BT13" s="92">
        <f t="shared" si="19"/>
        <v>-20</v>
      </c>
      <c r="BU13" s="94">
        <v>11.1</v>
      </c>
      <c r="BV13" s="202"/>
      <c r="BW13" s="429">
        <v>0</v>
      </c>
      <c r="BX13" s="430">
        <f t="shared" si="34"/>
        <v>-11.1</v>
      </c>
      <c r="BY13" s="429">
        <v>35</v>
      </c>
      <c r="BZ13" s="202"/>
      <c r="CA13" s="441">
        <f>BZ13/BY13*100</f>
        <v>0</v>
      </c>
      <c r="CB13" s="430">
        <f t="shared" si="27"/>
        <v>-35</v>
      </c>
      <c r="CC13" s="430">
        <v>10.8</v>
      </c>
      <c r="CD13" s="206"/>
      <c r="CE13" s="430"/>
      <c r="CF13" s="430"/>
      <c r="CG13" s="108">
        <v>10</v>
      </c>
      <c r="CH13" s="16">
        <v>9.891</v>
      </c>
      <c r="CI13" s="108"/>
      <c r="CJ13" s="108"/>
      <c r="CK13" s="418">
        <f t="shared" si="20"/>
        <v>76.900000000000006</v>
      </c>
      <c r="CL13" s="16">
        <f>AH13+BB13+BF13+BJ13+BN13+BR13+BV13+BZ13+CD13+CH13</f>
        <v>9.891</v>
      </c>
      <c r="CM13" s="419">
        <f t="shared" si="13"/>
        <v>12.862158647594276</v>
      </c>
      <c r="CN13" s="419">
        <f t="shared" si="14"/>
        <v>-67.009</v>
      </c>
      <c r="CP13" s="128">
        <f t="shared" si="15"/>
        <v>0</v>
      </c>
      <c r="CQ13" s="123">
        <f t="shared" si="16"/>
        <v>56.900000000000006</v>
      </c>
      <c r="CS13" s="132">
        <f t="shared" si="17"/>
        <v>0</v>
      </c>
      <c r="CT13" s="123">
        <f t="shared" si="21"/>
        <v>9.891</v>
      </c>
      <c r="CU13" s="123">
        <f t="shared" si="22"/>
        <v>9.891</v>
      </c>
      <c r="CV13" s="123">
        <f t="shared" si="23"/>
        <v>0</v>
      </c>
      <c r="CW13" s="123">
        <f t="shared" si="24"/>
        <v>86.899999999999991</v>
      </c>
      <c r="CX13" s="425"/>
      <c r="CY13" s="425"/>
    </row>
    <row r="14" spans="1:183" s="128" customFormat="1" ht="13.5" hidden="1">
      <c r="A14" s="110">
        <v>223</v>
      </c>
      <c r="B14" s="808" t="s">
        <v>621</v>
      </c>
      <c r="C14" s="809"/>
      <c r="D14" s="810"/>
      <c r="E14" s="92"/>
      <c r="F14" s="15"/>
      <c r="G14" s="92"/>
      <c r="H14" s="92"/>
      <c r="I14" s="92"/>
      <c r="J14" s="15"/>
      <c r="K14" s="92"/>
      <c r="L14" s="129"/>
      <c r="M14" s="92"/>
      <c r="N14" s="15"/>
      <c r="O14" s="92"/>
      <c r="P14" s="451"/>
      <c r="Q14" s="436"/>
      <c r="R14" s="496"/>
      <c r="S14" s="97"/>
      <c r="T14" s="92"/>
      <c r="U14" s="436"/>
      <c r="V14" s="496"/>
      <c r="W14" s="436"/>
      <c r="X14" s="451"/>
      <c r="Y14" s="436"/>
      <c r="Z14" s="496"/>
      <c r="AA14" s="436"/>
      <c r="AB14" s="451"/>
      <c r="AC14" s="436"/>
      <c r="AD14" s="496"/>
      <c r="AE14" s="436"/>
      <c r="AF14" s="451"/>
      <c r="AG14" s="434">
        <f t="shared" si="3"/>
        <v>0</v>
      </c>
      <c r="AH14" s="435">
        <f>F14+J14+N14+R14+V14+Z14+AD14</f>
        <v>0</v>
      </c>
      <c r="AI14" s="434"/>
      <c r="AJ14" s="454">
        <f t="shared" si="32"/>
        <v>0</v>
      </c>
      <c r="AK14" s="436"/>
      <c r="AL14" s="496"/>
      <c r="AM14" s="436"/>
      <c r="AN14" s="92"/>
      <c r="AO14" s="92"/>
      <c r="AP14" s="418"/>
      <c r="AQ14" s="92"/>
      <c r="AR14" s="92"/>
      <c r="AS14" s="92"/>
      <c r="AT14" s="418"/>
      <c r="AU14" s="92"/>
      <c r="AV14" s="92"/>
      <c r="AW14" s="92"/>
      <c r="AX14" s="15"/>
      <c r="AY14" s="92"/>
      <c r="AZ14" s="92"/>
      <c r="BA14" s="418">
        <f t="shared" si="8"/>
        <v>0</v>
      </c>
      <c r="BB14" s="15">
        <f t="shared" si="9"/>
        <v>0</v>
      </c>
      <c r="BC14" s="418"/>
      <c r="BD14" s="418"/>
      <c r="BE14" s="92"/>
      <c r="BF14" s="418"/>
      <c r="BG14" s="92"/>
      <c r="BH14" s="92"/>
      <c r="BI14" s="92"/>
      <c r="BJ14" s="418"/>
      <c r="BK14" s="92"/>
      <c r="BL14" s="92"/>
      <c r="BM14" s="92"/>
      <c r="BN14" s="418"/>
      <c r="BO14" s="94"/>
      <c r="BP14" s="92"/>
      <c r="BQ14" s="92"/>
      <c r="BR14" s="418"/>
      <c r="BS14" s="92" t="e">
        <f t="shared" si="18"/>
        <v>#DIV/0!</v>
      </c>
      <c r="BT14" s="92">
        <f t="shared" si="19"/>
        <v>0</v>
      </c>
      <c r="BU14" s="92"/>
      <c r="BV14" s="435"/>
      <c r="BW14" s="436"/>
      <c r="BX14" s="451"/>
      <c r="BY14" s="436"/>
      <c r="BZ14" s="496"/>
      <c r="CA14" s="452"/>
      <c r="CB14" s="451"/>
      <c r="CC14" s="451"/>
      <c r="CD14" s="499"/>
      <c r="CE14" s="451"/>
      <c r="CF14" s="451"/>
      <c r="CG14" s="129"/>
      <c r="CH14" s="495"/>
      <c r="CI14" s="129"/>
      <c r="CJ14" s="129"/>
      <c r="CK14" s="418">
        <f t="shared" si="20"/>
        <v>0</v>
      </c>
      <c r="CL14" s="15">
        <f>R14+V14+Z14+AD14+BV14+BZ14+F14+J14+N14+AL14+CD14+AP14+AT14+AX14+BF14</f>
        <v>0</v>
      </c>
      <c r="CM14" s="266" t="e">
        <f>CL14/CK14*100</f>
        <v>#DIV/0!</v>
      </c>
      <c r="CN14" s="266">
        <f>CL14-CK14</f>
        <v>0</v>
      </c>
      <c r="CP14" s="128">
        <f t="shared" si="15"/>
        <v>0</v>
      </c>
      <c r="CQ14" s="123">
        <f t="shared" si="16"/>
        <v>0</v>
      </c>
      <c r="CS14" s="132">
        <f t="shared" si="17"/>
        <v>0</v>
      </c>
      <c r="CT14" s="123">
        <f t="shared" si="21"/>
        <v>0</v>
      </c>
      <c r="CU14" s="123">
        <f t="shared" si="22"/>
        <v>0</v>
      </c>
      <c r="CV14" s="123">
        <f t="shared" si="23"/>
        <v>0</v>
      </c>
      <c r="CW14" s="123">
        <f t="shared" si="24"/>
        <v>0</v>
      </c>
      <c r="CX14" s="425"/>
      <c r="CY14" s="425"/>
      <c r="CZ14" s="425"/>
      <c r="DA14" s="425"/>
      <c r="DB14" s="425"/>
      <c r="DC14" s="425"/>
      <c r="DD14" s="425"/>
      <c r="DE14" s="425"/>
      <c r="DF14" s="425"/>
      <c r="DG14" s="425"/>
      <c r="DH14" s="425"/>
      <c r="DI14" s="425"/>
      <c r="DJ14" s="425"/>
      <c r="DK14" s="425"/>
      <c r="DL14" s="425"/>
      <c r="DM14" s="425"/>
      <c r="DN14" s="425"/>
      <c r="DO14" s="425"/>
      <c r="DP14" s="425"/>
      <c r="DQ14" s="425"/>
      <c r="DR14" s="425"/>
      <c r="DS14" s="425"/>
      <c r="DT14" s="425"/>
      <c r="DU14" s="425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  <c r="FL14" s="425"/>
      <c r="FM14" s="425"/>
      <c r="FN14" s="425"/>
      <c r="FO14" s="425"/>
      <c r="FP14" s="425"/>
      <c r="FQ14" s="425"/>
      <c r="FR14" s="425"/>
      <c r="FS14" s="425"/>
      <c r="FT14" s="425"/>
      <c r="FU14" s="425"/>
      <c r="FV14" s="425"/>
      <c r="FW14" s="425"/>
      <c r="FX14" s="425"/>
      <c r="FY14" s="425"/>
      <c r="FZ14" s="425"/>
      <c r="GA14" s="425"/>
    </row>
    <row r="15" spans="1:183" hidden="1">
      <c r="A15" s="111">
        <v>224</v>
      </c>
      <c r="B15" s="811" t="s">
        <v>400</v>
      </c>
      <c r="C15" s="812"/>
      <c r="D15" s="813"/>
      <c r="E15" s="94"/>
      <c r="F15" s="16"/>
      <c r="G15" s="94"/>
      <c r="H15" s="94"/>
      <c r="I15" s="94"/>
      <c r="J15" s="16"/>
      <c r="K15" s="94"/>
      <c r="L15" s="108"/>
      <c r="M15" s="94"/>
      <c r="N15" s="16"/>
      <c r="O15" s="94"/>
      <c r="P15" s="430"/>
      <c r="Q15" s="429"/>
      <c r="R15" s="202"/>
      <c r="S15" s="95"/>
      <c r="T15" s="94"/>
      <c r="U15" s="429"/>
      <c r="V15" s="202"/>
      <c r="W15" s="429"/>
      <c r="X15" s="430"/>
      <c r="Y15" s="429"/>
      <c r="Z15" s="202"/>
      <c r="AA15" s="429"/>
      <c r="AB15" s="430"/>
      <c r="AC15" s="429"/>
      <c r="AD15" s="202"/>
      <c r="AE15" s="429"/>
      <c r="AF15" s="430"/>
      <c r="AG15" s="434">
        <f t="shared" si="3"/>
        <v>0</v>
      </c>
      <c r="AH15" s="432"/>
      <c r="AI15" s="455"/>
      <c r="AJ15" s="456"/>
      <c r="AK15" s="429"/>
      <c r="AL15" s="202"/>
      <c r="AM15" s="429"/>
      <c r="AN15" s="94"/>
      <c r="AO15" s="94"/>
      <c r="AP15" s="419"/>
      <c r="AQ15" s="94"/>
      <c r="AR15" s="94"/>
      <c r="AS15" s="94"/>
      <c r="AT15" s="419"/>
      <c r="AU15" s="94"/>
      <c r="AV15" s="94"/>
      <c r="AW15" s="94"/>
      <c r="AX15" s="16"/>
      <c r="AY15" s="94"/>
      <c r="AZ15" s="94"/>
      <c r="BA15" s="418">
        <f t="shared" si="8"/>
        <v>0</v>
      </c>
      <c r="BB15" s="15">
        <f t="shared" si="9"/>
        <v>0</v>
      </c>
      <c r="BC15" s="419"/>
      <c r="BD15" s="419"/>
      <c r="BE15" s="94"/>
      <c r="BF15" s="419"/>
      <c r="BG15" s="94"/>
      <c r="BH15" s="94"/>
      <c r="BI15" s="94"/>
      <c r="BJ15" s="419"/>
      <c r="BK15" s="94"/>
      <c r="BL15" s="94"/>
      <c r="BM15" s="94"/>
      <c r="BN15" s="419"/>
      <c r="BO15" s="94"/>
      <c r="BP15" s="94"/>
      <c r="BQ15" s="94"/>
      <c r="BR15" s="419"/>
      <c r="BS15" s="92" t="e">
        <f t="shared" si="18"/>
        <v>#DIV/0!</v>
      </c>
      <c r="BT15" s="92">
        <f t="shared" si="19"/>
        <v>0</v>
      </c>
      <c r="BU15" s="94"/>
      <c r="BV15" s="432"/>
      <c r="BW15" s="429"/>
      <c r="BX15" s="430"/>
      <c r="BY15" s="429"/>
      <c r="BZ15" s="202"/>
      <c r="CA15" s="441"/>
      <c r="CB15" s="430"/>
      <c r="CC15" s="430"/>
      <c r="CD15" s="442"/>
      <c r="CE15" s="453"/>
      <c r="CF15" s="430"/>
      <c r="CG15" s="108"/>
      <c r="CH15" s="428"/>
      <c r="CI15" s="130"/>
      <c r="CJ15" s="108"/>
      <c r="CK15" s="418">
        <f t="shared" si="20"/>
        <v>0</v>
      </c>
      <c r="CL15" s="16">
        <f>R15+V15+Z15+AD15+BV15+BZ15+F15+J15+N15+AL15+CD15+AP15+AT15+AX15+BF15</f>
        <v>0</v>
      </c>
      <c r="CM15" s="268"/>
      <c r="CN15" s="268"/>
      <c r="CP15" s="128">
        <f t="shared" si="15"/>
        <v>0</v>
      </c>
      <c r="CQ15" s="123">
        <f t="shared" si="16"/>
        <v>0</v>
      </c>
      <c r="CS15" s="132">
        <f t="shared" si="17"/>
        <v>0</v>
      </c>
      <c r="CT15" s="123">
        <f t="shared" si="21"/>
        <v>0</v>
      </c>
      <c r="CU15" s="123">
        <f t="shared" si="22"/>
        <v>0</v>
      </c>
      <c r="CV15" s="123">
        <f t="shared" si="23"/>
        <v>0</v>
      </c>
      <c r="CW15" s="123">
        <f t="shared" si="24"/>
        <v>0</v>
      </c>
      <c r="CX15" s="425"/>
      <c r="CY15" s="425"/>
    </row>
    <row r="16" spans="1:183" s="426" customFormat="1" ht="13.5">
      <c r="A16" s="428">
        <v>225</v>
      </c>
      <c r="B16" s="898" t="s">
        <v>206</v>
      </c>
      <c r="C16" s="899"/>
      <c r="D16" s="900"/>
      <c r="E16" s="468">
        <f>SUM(E17:E26)</f>
        <v>11</v>
      </c>
      <c r="F16" s="469">
        <f>SUM(F17:F26)</f>
        <v>8.6</v>
      </c>
      <c r="G16" s="418">
        <f>F16/E16*100</f>
        <v>78.181818181818173</v>
      </c>
      <c r="H16" s="468">
        <f t="shared" si="0"/>
        <v>-2.4000000000000004</v>
      </c>
      <c r="I16" s="468">
        <f>SUM(I17:I26)</f>
        <v>15</v>
      </c>
      <c r="J16" s="469">
        <f>SUM(J17:J26)</f>
        <v>35</v>
      </c>
      <c r="K16" s="468">
        <f>J16/I16*100</f>
        <v>233.33333333333334</v>
      </c>
      <c r="L16" s="467">
        <f t="shared" si="28"/>
        <v>20</v>
      </c>
      <c r="M16" s="468">
        <f>SUM(M17:M26)</f>
        <v>26</v>
      </c>
      <c r="N16" s="469">
        <f>SUM(N17:N26)</f>
        <v>0</v>
      </c>
      <c r="O16" s="468">
        <f>N16/M16*100</f>
        <v>0</v>
      </c>
      <c r="P16" s="470">
        <f t="shared" si="29"/>
        <v>-26</v>
      </c>
      <c r="Q16" s="440">
        <f>SUM(Q17:Q26)</f>
        <v>22</v>
      </c>
      <c r="R16" s="471">
        <f>SUM(R17:R26)</f>
        <v>99.2</v>
      </c>
      <c r="S16" s="468">
        <f t="shared" si="30"/>
        <v>450.90909090909088</v>
      </c>
      <c r="T16" s="468">
        <f>R16-Q16</f>
        <v>77.2</v>
      </c>
      <c r="U16" s="440">
        <f>SUM(U17:U26)</f>
        <v>27</v>
      </c>
      <c r="V16" s="471">
        <f>SUM(V17:V26)</f>
        <v>20</v>
      </c>
      <c r="W16" s="440">
        <f>V16/U16*100</f>
        <v>74.074074074074076</v>
      </c>
      <c r="X16" s="470">
        <f t="shared" si="31"/>
        <v>-7</v>
      </c>
      <c r="Y16" s="440">
        <f>SUM(Y17:Y26)</f>
        <v>19</v>
      </c>
      <c r="Z16" s="471">
        <f>SUM(Z17:Z26)</f>
        <v>15</v>
      </c>
      <c r="AA16" s="436">
        <f>Z16/Y16*100</f>
        <v>78.94736842105263</v>
      </c>
      <c r="AB16" s="470">
        <f t="shared" si="1"/>
        <v>-4</v>
      </c>
      <c r="AC16" s="440">
        <f>SUM(AC17:AC26)</f>
        <v>14</v>
      </c>
      <c r="AD16" s="471">
        <f>SUM(AD17:AD26)</f>
        <v>0</v>
      </c>
      <c r="AE16" s="440">
        <f>AD16/AC16*100</f>
        <v>0</v>
      </c>
      <c r="AF16" s="470">
        <f t="shared" si="2"/>
        <v>-14</v>
      </c>
      <c r="AG16" s="435">
        <f t="shared" si="3"/>
        <v>134</v>
      </c>
      <c r="AH16" s="471">
        <f>SUM(AH17:AH26)</f>
        <v>177.8</v>
      </c>
      <c r="AI16" s="440">
        <f t="shared" ref="AI16:AI37" si="35">AH16/AG16*100</f>
        <v>132.68656716417911</v>
      </c>
      <c r="AJ16" s="470">
        <f t="shared" si="32"/>
        <v>43.800000000000011</v>
      </c>
      <c r="AK16" s="440">
        <f>SUM(AK17:AK25)</f>
        <v>20</v>
      </c>
      <c r="AL16" s="471">
        <f>SUM(AL17:AL25)</f>
        <v>0</v>
      </c>
      <c r="AM16" s="435">
        <f t="shared" si="33"/>
        <v>0</v>
      </c>
      <c r="AN16" s="468">
        <f t="shared" si="4"/>
        <v>-20</v>
      </c>
      <c r="AO16" s="468">
        <f>SUM(AO17:AO25)</f>
        <v>10</v>
      </c>
      <c r="AP16" s="469">
        <f>SUM(AP17:AP26)</f>
        <v>0</v>
      </c>
      <c r="AQ16" s="418">
        <f>AP16/AO16*100</f>
        <v>0</v>
      </c>
      <c r="AR16" s="468">
        <f>AP16-AO16</f>
        <v>-10</v>
      </c>
      <c r="AS16" s="468">
        <f>SUM(AS17:AS25)</f>
        <v>20</v>
      </c>
      <c r="AT16" s="468">
        <f>SUM(AT17:AT25)</f>
        <v>0</v>
      </c>
      <c r="AU16" s="418">
        <f>AT16/AS16*100</f>
        <v>0</v>
      </c>
      <c r="AV16" s="468">
        <f>AT16-AS16</f>
        <v>-20</v>
      </c>
      <c r="AW16" s="468">
        <f>SUM(AW17:AW25)</f>
        <v>20</v>
      </c>
      <c r="AX16" s="468">
        <f>SUM(AX17:AX26)</f>
        <v>0</v>
      </c>
      <c r="AY16" s="418">
        <f>AX16/AW16*100</f>
        <v>0</v>
      </c>
      <c r="AZ16" s="468">
        <f>AX16-AW16</f>
        <v>-20</v>
      </c>
      <c r="BA16" s="418">
        <f t="shared" si="8"/>
        <v>70</v>
      </c>
      <c r="BB16" s="15">
        <f t="shared" si="9"/>
        <v>0</v>
      </c>
      <c r="BC16" s="418">
        <f>BB16/BA16*100</f>
        <v>0</v>
      </c>
      <c r="BD16" s="468">
        <f>BB16-BA16</f>
        <v>-70</v>
      </c>
      <c r="BE16" s="468">
        <f>SUM(BE17:BE25)</f>
        <v>0</v>
      </c>
      <c r="BF16" s="468">
        <f>SUM(BF17:BF25)</f>
        <v>0</v>
      </c>
      <c r="BG16" s="418"/>
      <c r="BH16" s="468">
        <f>BF16-BE16</f>
        <v>0</v>
      </c>
      <c r="BI16" s="468">
        <f>SUM(BI17:BI25)</f>
        <v>0</v>
      </c>
      <c r="BJ16" s="468">
        <f>SUM(BJ17:BJ25)</f>
        <v>0</v>
      </c>
      <c r="BK16" s="418"/>
      <c r="BL16" s="468">
        <f>BJ16-BI16</f>
        <v>0</v>
      </c>
      <c r="BM16" s="468">
        <f>SUM(BM17:BM25)</f>
        <v>0</v>
      </c>
      <c r="BN16" s="468">
        <f>SUM(BN17:BN25)</f>
        <v>0</v>
      </c>
      <c r="BO16" s="419"/>
      <c r="BP16" s="468">
        <f t="shared" ref="BP16:BP25" si="36">BN16-BM16</f>
        <v>0</v>
      </c>
      <c r="BQ16" s="468">
        <f>SUM(BQ17:BQ25)</f>
        <v>0</v>
      </c>
      <c r="BR16" s="468">
        <f>SUM(BR17:BR25)</f>
        <v>0</v>
      </c>
      <c r="BS16" s="418"/>
      <c r="BT16" s="418">
        <f t="shared" si="19"/>
        <v>0</v>
      </c>
      <c r="BU16" s="468">
        <f>SUM(BU17:BU25)</f>
        <v>2.2000000000000002</v>
      </c>
      <c r="BV16" s="440">
        <f>SUM(BV17:BV25)</f>
        <v>0.499</v>
      </c>
      <c r="BW16" s="440">
        <v>0</v>
      </c>
      <c r="BX16" s="470">
        <f t="shared" si="34"/>
        <v>-1.7010000000000001</v>
      </c>
      <c r="BY16" s="471">
        <f>SUM(BY17:BY25)</f>
        <v>140</v>
      </c>
      <c r="BZ16" s="471">
        <f>SUM(BZ17:BZ25)</f>
        <v>3</v>
      </c>
      <c r="CA16" s="472">
        <f>BZ16/BY16*100</f>
        <v>2.1428571428571428</v>
      </c>
      <c r="CB16" s="470">
        <f t="shared" si="27"/>
        <v>-137</v>
      </c>
      <c r="CC16" s="440">
        <f>SUM(CC17:CC25)</f>
        <v>7.7</v>
      </c>
      <c r="CD16" s="440">
        <f>SUM(CD17:CD25)</f>
        <v>0</v>
      </c>
      <c r="CE16" s="472">
        <f>CD16/CC16*100</f>
        <v>0</v>
      </c>
      <c r="CF16" s="470">
        <f>CD16-CC16</f>
        <v>-7.7</v>
      </c>
      <c r="CG16" s="469">
        <f>SUM(CG17:CG25)</f>
        <v>0</v>
      </c>
      <c r="CH16" s="468">
        <f>SUM(CH17:CH25)</f>
        <v>0</v>
      </c>
      <c r="CI16" s="473"/>
      <c r="CJ16" s="467">
        <f>CH16-CG16</f>
        <v>0</v>
      </c>
      <c r="CK16" s="418">
        <f t="shared" si="20"/>
        <v>353.9</v>
      </c>
      <c r="CL16" s="469">
        <f>SUM(CL17:CL26)</f>
        <v>181.29900000000001</v>
      </c>
      <c r="CM16" s="468">
        <f t="shared" si="13"/>
        <v>51.228878214184803</v>
      </c>
      <c r="CN16" s="468">
        <f t="shared" si="14"/>
        <v>-172.60099999999997</v>
      </c>
      <c r="CO16" s="426">
        <v>66.5</v>
      </c>
      <c r="CP16" s="425">
        <f t="shared" si="15"/>
        <v>181.29900000000001</v>
      </c>
      <c r="CQ16" s="425">
        <f t="shared" si="16"/>
        <v>353.9</v>
      </c>
      <c r="CS16" s="425">
        <f t="shared" si="17"/>
        <v>181.29900000000001</v>
      </c>
      <c r="CT16" s="425">
        <f t="shared" si="21"/>
        <v>181.29900000000001</v>
      </c>
      <c r="CU16" s="425">
        <f t="shared" si="22"/>
        <v>181.29900000000001</v>
      </c>
      <c r="CV16" s="425">
        <f t="shared" si="23"/>
        <v>177.8</v>
      </c>
      <c r="CW16" s="425">
        <f t="shared" si="24"/>
        <v>353.9</v>
      </c>
      <c r="CX16" s="425"/>
      <c r="CY16" s="425"/>
    </row>
    <row r="17" spans="1:103" ht="12.75" hidden="1" customHeight="1">
      <c r="A17" s="108"/>
      <c r="B17" s="799" t="s">
        <v>265</v>
      </c>
      <c r="C17" s="800"/>
      <c r="D17" s="801"/>
      <c r="E17" s="94"/>
      <c r="F17" s="16"/>
      <c r="G17" s="99" t="e">
        <f>F17/E17*100</f>
        <v>#DIV/0!</v>
      </c>
      <c r="H17" s="94">
        <f t="shared" si="0"/>
        <v>0</v>
      </c>
      <c r="I17" s="94"/>
      <c r="J17" s="16"/>
      <c r="K17" s="94"/>
      <c r="L17" s="108">
        <f t="shared" si="28"/>
        <v>0</v>
      </c>
      <c r="M17" s="94"/>
      <c r="N17" s="16"/>
      <c r="O17" s="94"/>
      <c r="P17" s="430">
        <f t="shared" si="29"/>
        <v>0</v>
      </c>
      <c r="Q17" s="429"/>
      <c r="R17" s="202"/>
      <c r="S17" s="95" t="e">
        <f t="shared" si="30"/>
        <v>#DIV/0!</v>
      </c>
      <c r="T17" s="95">
        <f t="shared" ref="T17:T30" si="37">R17-Q17</f>
        <v>0</v>
      </c>
      <c r="U17" s="429"/>
      <c r="V17" s="202"/>
      <c r="W17" s="429"/>
      <c r="X17" s="430">
        <f t="shared" si="31"/>
        <v>0</v>
      </c>
      <c r="Y17" s="429"/>
      <c r="Z17" s="202"/>
      <c r="AA17" s="429"/>
      <c r="AB17" s="430">
        <f t="shared" si="1"/>
        <v>0</v>
      </c>
      <c r="AC17" s="429"/>
      <c r="AD17" s="202"/>
      <c r="AE17" s="429"/>
      <c r="AF17" s="430">
        <f t="shared" si="2"/>
        <v>0</v>
      </c>
      <c r="AG17" s="434">
        <f t="shared" si="3"/>
        <v>0</v>
      </c>
      <c r="AH17" s="432">
        <f t="shared" si="3"/>
        <v>0</v>
      </c>
      <c r="AI17" s="455" t="e">
        <f t="shared" si="35"/>
        <v>#DIV/0!</v>
      </c>
      <c r="AJ17" s="456">
        <f t="shared" si="32"/>
        <v>0</v>
      </c>
      <c r="AK17" s="429"/>
      <c r="AL17" s="202"/>
      <c r="AM17" s="429" t="e">
        <f t="shared" si="33"/>
        <v>#DIV/0!</v>
      </c>
      <c r="AN17" s="94">
        <f t="shared" si="4"/>
        <v>0</v>
      </c>
      <c r="AO17" s="94"/>
      <c r="AP17" s="419"/>
      <c r="AQ17" s="94" t="e">
        <f>AP17/AO17*100</f>
        <v>#DIV/0!</v>
      </c>
      <c r="AR17" s="94">
        <f>AP17-AO17</f>
        <v>0</v>
      </c>
      <c r="AS17" s="94"/>
      <c r="AT17" s="419"/>
      <c r="AU17" s="94" t="e">
        <f>AT17/AS17*100</f>
        <v>#DIV/0!</v>
      </c>
      <c r="AV17" s="94">
        <f>AT17-AS17</f>
        <v>0</v>
      </c>
      <c r="AW17" s="94"/>
      <c r="AX17" s="16"/>
      <c r="AY17" s="94" t="e">
        <f>AX17/AW17*100</f>
        <v>#DIV/0!</v>
      </c>
      <c r="AZ17" s="94">
        <f>AX17-AW17</f>
        <v>0</v>
      </c>
      <c r="BA17" s="418">
        <f t="shared" si="8"/>
        <v>0</v>
      </c>
      <c r="BB17" s="15">
        <f t="shared" si="9"/>
        <v>0</v>
      </c>
      <c r="BC17" s="419" t="e">
        <f>BB17/BA17*100</f>
        <v>#DIV/0!</v>
      </c>
      <c r="BD17" s="419">
        <f>BB17-BA17</f>
        <v>0</v>
      </c>
      <c r="BE17" s="94"/>
      <c r="BF17" s="419"/>
      <c r="BG17" s="94" t="e">
        <f>BF17/BE17*100</f>
        <v>#DIV/0!</v>
      </c>
      <c r="BH17" s="94">
        <f>BF17-BE17</f>
        <v>0</v>
      </c>
      <c r="BI17" s="94"/>
      <c r="BJ17" s="419"/>
      <c r="BK17" s="94" t="e">
        <f>BJ17/BI17*100</f>
        <v>#DIV/0!</v>
      </c>
      <c r="BL17" s="94">
        <f>BJ17-BI17</f>
        <v>0</v>
      </c>
      <c r="BM17" s="94"/>
      <c r="BN17" s="419"/>
      <c r="BO17" s="94"/>
      <c r="BP17" s="94">
        <f t="shared" si="36"/>
        <v>0</v>
      </c>
      <c r="BQ17" s="94"/>
      <c r="BR17" s="419"/>
      <c r="BS17" s="92" t="e">
        <f t="shared" si="18"/>
        <v>#DIV/0!</v>
      </c>
      <c r="BT17" s="92">
        <f t="shared" si="19"/>
        <v>0</v>
      </c>
      <c r="BU17" s="94"/>
      <c r="BV17" s="432"/>
      <c r="BW17" s="429"/>
      <c r="BX17" s="430">
        <f t="shared" si="34"/>
        <v>0</v>
      </c>
      <c r="BY17" s="429"/>
      <c r="BZ17" s="202"/>
      <c r="CA17" s="441"/>
      <c r="CB17" s="430">
        <f t="shared" si="27"/>
        <v>0</v>
      </c>
      <c r="CC17" s="430"/>
      <c r="CD17" s="442"/>
      <c r="CE17" s="430"/>
      <c r="CF17" s="430"/>
      <c r="CG17" s="108"/>
      <c r="CH17" s="428"/>
      <c r="CI17" s="108"/>
      <c r="CJ17" s="108"/>
      <c r="CK17" s="418">
        <f t="shared" si="20"/>
        <v>0</v>
      </c>
      <c r="CL17" s="16">
        <f t="shared" ref="CL17:CL18" si="38">R17+V17+Z17+AD17+BV17+BZ17+F17+J17+N17+AL17+CD17+AP17+AT17+AX17+BF17+CH17</f>
        <v>0</v>
      </c>
      <c r="CM17" s="273" t="e">
        <f t="shared" si="13"/>
        <v>#DIV/0!</v>
      </c>
      <c r="CN17" s="268">
        <f t="shared" si="14"/>
        <v>0</v>
      </c>
      <c r="CP17" s="128">
        <f t="shared" si="15"/>
        <v>0</v>
      </c>
      <c r="CQ17" s="123">
        <f t="shared" si="16"/>
        <v>0</v>
      </c>
      <c r="CS17" s="132">
        <f t="shared" si="17"/>
        <v>0</v>
      </c>
      <c r="CT17" s="123">
        <f t="shared" si="21"/>
        <v>0</v>
      </c>
      <c r="CU17" s="123">
        <f t="shared" si="22"/>
        <v>0</v>
      </c>
      <c r="CV17" s="123">
        <f t="shared" si="23"/>
        <v>0</v>
      </c>
      <c r="CW17" s="123">
        <f t="shared" si="24"/>
        <v>0</v>
      </c>
      <c r="CX17" s="425"/>
      <c r="CY17" s="425"/>
    </row>
    <row r="18" spans="1:103" ht="13.5" hidden="1" customHeight="1">
      <c r="A18" s="108"/>
      <c r="B18" s="799" t="s">
        <v>406</v>
      </c>
      <c r="C18" s="800"/>
      <c r="D18" s="801"/>
      <c r="E18" s="94"/>
      <c r="F18" s="16"/>
      <c r="G18" s="99" t="e">
        <f>F18/E18*100</f>
        <v>#DIV/0!</v>
      </c>
      <c r="H18" s="94"/>
      <c r="I18" s="94"/>
      <c r="J18" s="16"/>
      <c r="K18" s="94"/>
      <c r="L18" s="108"/>
      <c r="M18" s="94"/>
      <c r="N18" s="16"/>
      <c r="O18" s="94"/>
      <c r="P18" s="430"/>
      <c r="Q18" s="429"/>
      <c r="R18" s="202"/>
      <c r="S18" s="95"/>
      <c r="T18" s="95"/>
      <c r="U18" s="429"/>
      <c r="V18" s="202"/>
      <c r="W18" s="429"/>
      <c r="X18" s="430"/>
      <c r="Y18" s="429"/>
      <c r="Z18" s="202"/>
      <c r="AA18" s="429"/>
      <c r="AB18" s="430"/>
      <c r="AC18" s="429"/>
      <c r="AD18" s="202"/>
      <c r="AE18" s="429"/>
      <c r="AF18" s="430"/>
      <c r="AG18" s="434">
        <f t="shared" si="3"/>
        <v>0</v>
      </c>
      <c r="AH18" s="432">
        <f t="shared" si="3"/>
        <v>0</v>
      </c>
      <c r="AI18" s="455" t="e">
        <f t="shared" si="35"/>
        <v>#DIV/0!</v>
      </c>
      <c r="AJ18" s="456">
        <f t="shared" si="32"/>
        <v>0</v>
      </c>
      <c r="AK18" s="429"/>
      <c r="AL18" s="202"/>
      <c r="AM18" s="429"/>
      <c r="AN18" s="94"/>
      <c r="AO18" s="94"/>
      <c r="AP18" s="419"/>
      <c r="AQ18" s="94"/>
      <c r="AR18" s="94"/>
      <c r="AS18" s="94"/>
      <c r="AT18" s="419"/>
      <c r="AU18" s="94"/>
      <c r="AV18" s="94"/>
      <c r="AW18" s="94"/>
      <c r="AX18" s="16"/>
      <c r="AY18" s="94"/>
      <c r="AZ18" s="94"/>
      <c r="BA18" s="418">
        <f t="shared" si="8"/>
        <v>0</v>
      </c>
      <c r="BB18" s="15">
        <f t="shared" si="9"/>
        <v>0</v>
      </c>
      <c r="BC18" s="419"/>
      <c r="BD18" s="419"/>
      <c r="BE18" s="94"/>
      <c r="BF18" s="419"/>
      <c r="BG18" s="94"/>
      <c r="BH18" s="94"/>
      <c r="BI18" s="94"/>
      <c r="BJ18" s="419"/>
      <c r="BK18" s="94"/>
      <c r="BL18" s="94"/>
      <c r="BM18" s="94"/>
      <c r="BN18" s="419"/>
      <c r="BO18" s="94"/>
      <c r="BP18" s="94">
        <f t="shared" si="36"/>
        <v>0</v>
      </c>
      <c r="BQ18" s="94"/>
      <c r="BR18" s="419"/>
      <c r="BS18" s="92" t="e">
        <f t="shared" si="18"/>
        <v>#DIV/0!</v>
      </c>
      <c r="BT18" s="92">
        <f t="shared" si="19"/>
        <v>0</v>
      </c>
      <c r="BU18" s="94"/>
      <c r="BV18" s="432"/>
      <c r="BW18" s="429"/>
      <c r="BX18" s="430"/>
      <c r="BY18" s="429"/>
      <c r="BZ18" s="202"/>
      <c r="CA18" s="441"/>
      <c r="CB18" s="430"/>
      <c r="CC18" s="430"/>
      <c r="CD18" s="206"/>
      <c r="CE18" s="430"/>
      <c r="CF18" s="430"/>
      <c r="CG18" s="108"/>
      <c r="CH18" s="428"/>
      <c r="CI18" s="108"/>
      <c r="CJ18" s="108"/>
      <c r="CK18" s="418">
        <f t="shared" si="20"/>
        <v>0</v>
      </c>
      <c r="CL18" s="16">
        <f t="shared" si="38"/>
        <v>0</v>
      </c>
      <c r="CM18" s="273" t="e">
        <f t="shared" si="13"/>
        <v>#DIV/0!</v>
      </c>
      <c r="CN18" s="268">
        <f>CL18-CK18</f>
        <v>0</v>
      </c>
      <c r="CP18" s="128">
        <f t="shared" si="15"/>
        <v>0</v>
      </c>
      <c r="CQ18" s="123">
        <f t="shared" si="16"/>
        <v>0</v>
      </c>
      <c r="CS18" s="132">
        <f t="shared" si="17"/>
        <v>0</v>
      </c>
      <c r="CT18" s="123">
        <f t="shared" si="21"/>
        <v>0</v>
      </c>
      <c r="CU18" s="123">
        <f t="shared" si="22"/>
        <v>0</v>
      </c>
      <c r="CV18" s="123">
        <f t="shared" si="23"/>
        <v>0</v>
      </c>
      <c r="CW18" s="123">
        <f t="shared" si="24"/>
        <v>0</v>
      </c>
      <c r="CX18" s="425"/>
      <c r="CY18" s="425"/>
    </row>
    <row r="19" spans="1:103" ht="13.5" customHeight="1">
      <c r="A19" s="108"/>
      <c r="B19" s="799" t="s">
        <v>811</v>
      </c>
      <c r="C19" s="800"/>
      <c r="D19" s="801"/>
      <c r="E19" s="94"/>
      <c r="F19" s="16">
        <v>8.6</v>
      </c>
      <c r="G19" s="418"/>
      <c r="H19" s="94"/>
      <c r="I19" s="94">
        <v>0</v>
      </c>
      <c r="J19" s="16"/>
      <c r="K19" s="94"/>
      <c r="L19" s="108">
        <f t="shared" si="28"/>
        <v>0</v>
      </c>
      <c r="M19" s="94"/>
      <c r="N19" s="16"/>
      <c r="O19" s="94"/>
      <c r="P19" s="430">
        <f t="shared" si="29"/>
        <v>0</v>
      </c>
      <c r="Q19" s="429"/>
      <c r="R19" s="202">
        <v>19.2</v>
      </c>
      <c r="S19" s="95"/>
      <c r="T19" s="95">
        <f t="shared" si="37"/>
        <v>19.2</v>
      </c>
      <c r="U19" s="429"/>
      <c r="V19" s="202"/>
      <c r="W19" s="429"/>
      <c r="X19" s="430"/>
      <c r="Y19" s="429"/>
      <c r="Z19" s="202"/>
      <c r="AA19" s="429"/>
      <c r="AB19" s="430">
        <f t="shared" si="1"/>
        <v>0</v>
      </c>
      <c r="AC19" s="429"/>
      <c r="AD19" s="202"/>
      <c r="AE19" s="429"/>
      <c r="AF19" s="430">
        <f t="shared" si="2"/>
        <v>0</v>
      </c>
      <c r="AG19" s="435">
        <f t="shared" si="3"/>
        <v>0</v>
      </c>
      <c r="AH19" s="432">
        <f>F19+J19+N19+R19+V19+Z19+AD19</f>
        <v>27.799999999999997</v>
      </c>
      <c r="AI19" s="432"/>
      <c r="AJ19" s="442">
        <f t="shared" si="32"/>
        <v>27.799999999999997</v>
      </c>
      <c r="AK19" s="429"/>
      <c r="AL19" s="202"/>
      <c r="AM19" s="429"/>
      <c r="AN19" s="94"/>
      <c r="AO19" s="94"/>
      <c r="AP19" s="419"/>
      <c r="AQ19" s="94"/>
      <c r="AR19" s="94"/>
      <c r="AS19" s="94"/>
      <c r="AT19" s="419"/>
      <c r="AU19" s="94"/>
      <c r="AV19" s="94"/>
      <c r="AW19" s="94"/>
      <c r="AX19" s="16"/>
      <c r="AY19" s="94"/>
      <c r="AZ19" s="94"/>
      <c r="BA19" s="418">
        <f t="shared" si="8"/>
        <v>0</v>
      </c>
      <c r="BB19" s="15">
        <f t="shared" si="9"/>
        <v>0</v>
      </c>
      <c r="BC19" s="419"/>
      <c r="BD19" s="419"/>
      <c r="BE19" s="94"/>
      <c r="BF19" s="419"/>
      <c r="BG19" s="94"/>
      <c r="BH19" s="94"/>
      <c r="BI19" s="94"/>
      <c r="BJ19" s="419"/>
      <c r="BK19" s="94"/>
      <c r="BL19" s="94"/>
      <c r="BM19" s="94"/>
      <c r="BN19" s="419"/>
      <c r="BO19" s="94"/>
      <c r="BP19" s="94">
        <f t="shared" si="36"/>
        <v>0</v>
      </c>
      <c r="BQ19" s="94"/>
      <c r="BR19" s="419"/>
      <c r="BS19" s="92">
        <v>0</v>
      </c>
      <c r="BT19" s="92">
        <f t="shared" si="19"/>
        <v>0</v>
      </c>
      <c r="BU19" s="94">
        <v>2.2000000000000002</v>
      </c>
      <c r="BV19" s="432"/>
      <c r="BW19" s="429"/>
      <c r="BX19" s="430"/>
      <c r="BY19" s="429">
        <v>40</v>
      </c>
      <c r="BZ19" s="202">
        <v>3</v>
      </c>
      <c r="CA19" s="441"/>
      <c r="CB19" s="430">
        <f t="shared" si="27"/>
        <v>-37</v>
      </c>
      <c r="CC19" s="430">
        <v>7.7</v>
      </c>
      <c r="CD19" s="206"/>
      <c r="CE19" s="430"/>
      <c r="CF19" s="430"/>
      <c r="CG19" s="108"/>
      <c r="CH19" s="428"/>
      <c r="CI19" s="108"/>
      <c r="CJ19" s="108"/>
      <c r="CK19" s="418">
        <f t="shared" si="20"/>
        <v>49.900000000000006</v>
      </c>
      <c r="CL19" s="16">
        <f>+AH19+BB19+BF19+BJ19+BN19+BR19+BV19+BZ19+CD19+CH19</f>
        <v>30.799999999999997</v>
      </c>
      <c r="CM19" s="420">
        <f t="shared" si="13"/>
        <v>61.72344689378756</v>
      </c>
      <c r="CN19" s="419">
        <f>CL19-CK19</f>
        <v>-19.100000000000009</v>
      </c>
      <c r="CP19" s="128">
        <f t="shared" si="15"/>
        <v>30.799999999999997</v>
      </c>
      <c r="CQ19" s="123">
        <f t="shared" si="16"/>
        <v>49.900000000000006</v>
      </c>
      <c r="CS19" s="132">
        <f t="shared" si="17"/>
        <v>30.799999999999997</v>
      </c>
      <c r="CT19" s="123">
        <f t="shared" si="21"/>
        <v>30.799999999999997</v>
      </c>
      <c r="CU19" s="123">
        <f t="shared" si="22"/>
        <v>30.799999999999997</v>
      </c>
      <c r="CV19" s="123">
        <f t="shared" si="23"/>
        <v>27.799999999999997</v>
      </c>
      <c r="CW19" s="123">
        <f t="shared" si="24"/>
        <v>49.900000000000006</v>
      </c>
      <c r="CX19" s="425"/>
      <c r="CY19" s="425"/>
    </row>
    <row r="20" spans="1:103" ht="13.5" customHeight="1">
      <c r="A20" s="108"/>
      <c r="B20" s="799" t="s">
        <v>814</v>
      </c>
      <c r="C20" s="800"/>
      <c r="D20" s="801"/>
      <c r="E20" s="94"/>
      <c r="F20" s="16"/>
      <c r="G20" s="94"/>
      <c r="H20" s="94"/>
      <c r="I20" s="94">
        <f t="shared" ref="I20:I25" si="39">J20</f>
        <v>0</v>
      </c>
      <c r="J20" s="16"/>
      <c r="K20" s="94"/>
      <c r="L20" s="108"/>
      <c r="M20" s="94">
        <v>0</v>
      </c>
      <c r="N20" s="16"/>
      <c r="O20" s="94"/>
      <c r="P20" s="430"/>
      <c r="Q20" s="429"/>
      <c r="R20" s="202">
        <v>20</v>
      </c>
      <c r="S20" s="95"/>
      <c r="T20" s="95">
        <f t="shared" si="37"/>
        <v>20</v>
      </c>
      <c r="U20" s="429"/>
      <c r="V20" s="202"/>
      <c r="W20" s="429"/>
      <c r="X20" s="430"/>
      <c r="Y20" s="429"/>
      <c r="Z20" s="202"/>
      <c r="AA20" s="429"/>
      <c r="AB20" s="430"/>
      <c r="AC20" s="429"/>
      <c r="AD20" s="202"/>
      <c r="AE20" s="429"/>
      <c r="AF20" s="430"/>
      <c r="AG20" s="435">
        <f t="shared" si="3"/>
        <v>0</v>
      </c>
      <c r="AH20" s="432">
        <f t="shared" ref="AH20:AH46" si="40">F20+J20+N20+R20+V20+Z20+AD20</f>
        <v>20</v>
      </c>
      <c r="AI20" s="432"/>
      <c r="AJ20" s="442">
        <f t="shared" si="32"/>
        <v>20</v>
      </c>
      <c r="AK20" s="429"/>
      <c r="AL20" s="202"/>
      <c r="AM20" s="429"/>
      <c r="AN20" s="94"/>
      <c r="AO20" s="94"/>
      <c r="AP20" s="419"/>
      <c r="AQ20" s="94"/>
      <c r="AR20" s="94"/>
      <c r="AS20" s="94"/>
      <c r="AT20" s="419"/>
      <c r="AU20" s="94"/>
      <c r="AV20" s="94"/>
      <c r="AW20" s="94"/>
      <c r="AX20" s="16"/>
      <c r="AY20" s="94"/>
      <c r="AZ20" s="94"/>
      <c r="BA20" s="418">
        <f t="shared" si="8"/>
        <v>0</v>
      </c>
      <c r="BB20" s="15">
        <f t="shared" si="9"/>
        <v>0</v>
      </c>
      <c r="BC20" s="419"/>
      <c r="BD20" s="419"/>
      <c r="BE20" s="94"/>
      <c r="BF20" s="419"/>
      <c r="BG20" s="94"/>
      <c r="BH20" s="94"/>
      <c r="BI20" s="94"/>
      <c r="BJ20" s="419"/>
      <c r="BK20" s="94"/>
      <c r="BL20" s="94"/>
      <c r="BM20" s="94"/>
      <c r="BN20" s="419"/>
      <c r="BO20" s="94"/>
      <c r="BP20" s="94">
        <f t="shared" si="36"/>
        <v>0</v>
      </c>
      <c r="BQ20" s="94"/>
      <c r="BR20" s="419"/>
      <c r="BS20" s="92"/>
      <c r="BT20" s="92">
        <f t="shared" si="19"/>
        <v>0</v>
      </c>
      <c r="BU20" s="94"/>
      <c r="BV20" s="432"/>
      <c r="BW20" s="429"/>
      <c r="BX20" s="430"/>
      <c r="BY20" s="429"/>
      <c r="BZ20" s="202"/>
      <c r="CA20" s="441"/>
      <c r="CB20" s="430">
        <f t="shared" si="27"/>
        <v>0</v>
      </c>
      <c r="CC20" s="430"/>
      <c r="CD20" s="206"/>
      <c r="CE20" s="430"/>
      <c r="CF20" s="430"/>
      <c r="CG20" s="108"/>
      <c r="CH20" s="428"/>
      <c r="CI20" s="108"/>
      <c r="CJ20" s="108"/>
      <c r="CK20" s="418">
        <f t="shared" si="20"/>
        <v>0</v>
      </c>
      <c r="CL20" s="16">
        <f t="shared" ref="CL20:CL26" si="41">+AH20+BB20+BF20+BJ20+BN20+BR20+BV20+BZ20+CD20+CH20</f>
        <v>20</v>
      </c>
      <c r="CM20" s="420">
        <v>0</v>
      </c>
      <c r="CN20" s="419">
        <f>CL20-CK20</f>
        <v>20</v>
      </c>
      <c r="CP20" s="128">
        <f t="shared" si="15"/>
        <v>20</v>
      </c>
      <c r="CQ20" s="123">
        <f t="shared" si="16"/>
        <v>0</v>
      </c>
      <c r="CS20" s="132">
        <f t="shared" si="17"/>
        <v>20</v>
      </c>
      <c r="CT20" s="123">
        <f t="shared" si="21"/>
        <v>20</v>
      </c>
      <c r="CU20" s="123">
        <f t="shared" si="22"/>
        <v>20</v>
      </c>
      <c r="CV20" s="123">
        <f t="shared" si="23"/>
        <v>20</v>
      </c>
      <c r="CW20" s="123">
        <f t="shared" si="24"/>
        <v>0</v>
      </c>
      <c r="CX20" s="425"/>
      <c r="CY20" s="425"/>
    </row>
    <row r="21" spans="1:103" ht="13.5" customHeight="1">
      <c r="A21" s="108"/>
      <c r="B21" s="799" t="s">
        <v>289</v>
      </c>
      <c r="C21" s="800"/>
      <c r="D21" s="801"/>
      <c r="E21" s="94"/>
      <c r="F21" s="16"/>
      <c r="G21" s="94"/>
      <c r="H21" s="94"/>
      <c r="I21" s="94">
        <f t="shared" si="39"/>
        <v>0</v>
      </c>
      <c r="J21" s="16"/>
      <c r="K21" s="94"/>
      <c r="L21" s="108"/>
      <c r="M21" s="94">
        <f t="shared" ref="M21:M25" si="42">N21</f>
        <v>0</v>
      </c>
      <c r="N21" s="16"/>
      <c r="O21" s="94"/>
      <c r="P21" s="430"/>
      <c r="Q21" s="429"/>
      <c r="R21" s="202"/>
      <c r="S21" s="95"/>
      <c r="T21" s="95"/>
      <c r="U21" s="429"/>
      <c r="V21" s="202"/>
      <c r="W21" s="429"/>
      <c r="X21" s="430"/>
      <c r="Y21" s="429"/>
      <c r="Z21" s="202"/>
      <c r="AA21" s="429"/>
      <c r="AB21" s="430"/>
      <c r="AC21" s="429"/>
      <c r="AD21" s="202"/>
      <c r="AE21" s="429"/>
      <c r="AF21" s="430"/>
      <c r="AG21" s="435">
        <f t="shared" si="3"/>
        <v>0</v>
      </c>
      <c r="AH21" s="432">
        <f t="shared" si="40"/>
        <v>0</v>
      </c>
      <c r="AI21" s="432"/>
      <c r="AJ21" s="442">
        <f t="shared" si="32"/>
        <v>0</v>
      </c>
      <c r="AK21" s="429">
        <v>20</v>
      </c>
      <c r="AL21" s="202"/>
      <c r="AM21" s="429"/>
      <c r="AN21" s="94"/>
      <c r="AO21" s="94">
        <v>10</v>
      </c>
      <c r="AP21" s="419"/>
      <c r="AQ21" s="94"/>
      <c r="AR21" s="94"/>
      <c r="AS21" s="94">
        <v>20</v>
      </c>
      <c r="AT21" s="419"/>
      <c r="AU21" s="94"/>
      <c r="AV21" s="94"/>
      <c r="AW21" s="94">
        <v>20</v>
      </c>
      <c r="AX21" s="16"/>
      <c r="AY21" s="94"/>
      <c r="AZ21" s="94"/>
      <c r="BA21" s="418">
        <f t="shared" si="8"/>
        <v>70</v>
      </c>
      <c r="BB21" s="15">
        <f t="shared" si="9"/>
        <v>0</v>
      </c>
      <c r="BC21" s="419"/>
      <c r="BD21" s="419"/>
      <c r="BE21" s="94"/>
      <c r="BF21" s="419"/>
      <c r="BG21" s="94"/>
      <c r="BH21" s="94"/>
      <c r="BI21" s="94"/>
      <c r="BJ21" s="419"/>
      <c r="BK21" s="94"/>
      <c r="BL21" s="94"/>
      <c r="BM21" s="94"/>
      <c r="BN21" s="419"/>
      <c r="BO21" s="94"/>
      <c r="BP21" s="94">
        <f t="shared" si="36"/>
        <v>0</v>
      </c>
      <c r="BQ21" s="139"/>
      <c r="BR21" s="16"/>
      <c r="BS21" s="92">
        <v>0</v>
      </c>
      <c r="BT21" s="92">
        <f t="shared" si="19"/>
        <v>0</v>
      </c>
      <c r="BU21" s="139"/>
      <c r="BV21" s="202">
        <v>0.499</v>
      </c>
      <c r="BW21" s="429"/>
      <c r="BX21" s="430"/>
      <c r="BY21" s="429"/>
      <c r="BZ21" s="202"/>
      <c r="CA21" s="441"/>
      <c r="CB21" s="430"/>
      <c r="CC21" s="430"/>
      <c r="CD21" s="206"/>
      <c r="CE21" s="430"/>
      <c r="CF21" s="430"/>
      <c r="CG21" s="108"/>
      <c r="CH21" s="428"/>
      <c r="CI21" s="108"/>
      <c r="CJ21" s="108"/>
      <c r="CK21" s="418">
        <f t="shared" si="20"/>
        <v>70</v>
      </c>
      <c r="CL21" s="16">
        <f t="shared" si="41"/>
        <v>0.499</v>
      </c>
      <c r="CM21" s="420">
        <f t="shared" si="13"/>
        <v>0.71285714285714286</v>
      </c>
      <c r="CN21" s="419">
        <f>CL21-CK21</f>
        <v>-69.501000000000005</v>
      </c>
      <c r="CP21" s="128">
        <f t="shared" si="15"/>
        <v>0.499</v>
      </c>
      <c r="CQ21" s="123">
        <f t="shared" si="16"/>
        <v>70</v>
      </c>
      <c r="CS21" s="132">
        <f t="shared" si="17"/>
        <v>0.499</v>
      </c>
      <c r="CT21" s="123">
        <f t="shared" si="21"/>
        <v>0.499</v>
      </c>
      <c r="CU21" s="123">
        <f t="shared" si="22"/>
        <v>0.499</v>
      </c>
      <c r="CV21" s="123">
        <f t="shared" si="23"/>
        <v>0</v>
      </c>
      <c r="CW21" s="123">
        <f t="shared" si="24"/>
        <v>70</v>
      </c>
      <c r="CX21" s="425"/>
      <c r="CY21" s="425"/>
    </row>
    <row r="22" spans="1:103" ht="13.5" customHeight="1">
      <c r="A22" s="108"/>
      <c r="B22" s="799" t="s">
        <v>784</v>
      </c>
      <c r="C22" s="800"/>
      <c r="D22" s="801"/>
      <c r="E22" s="94"/>
      <c r="F22" s="16"/>
      <c r="G22" s="94"/>
      <c r="H22" s="94"/>
      <c r="I22" s="94">
        <v>0</v>
      </c>
      <c r="J22" s="16"/>
      <c r="K22" s="94"/>
      <c r="L22" s="108"/>
      <c r="M22" s="94">
        <f t="shared" si="42"/>
        <v>0</v>
      </c>
      <c r="N22" s="16"/>
      <c r="O22" s="94"/>
      <c r="P22" s="430"/>
      <c r="Q22" s="429"/>
      <c r="R22" s="202"/>
      <c r="S22" s="95"/>
      <c r="T22" s="95"/>
      <c r="U22" s="429"/>
      <c r="V22" s="202"/>
      <c r="W22" s="429"/>
      <c r="X22" s="430"/>
      <c r="Y22" s="429"/>
      <c r="Z22" s="202"/>
      <c r="AA22" s="429"/>
      <c r="AB22" s="430"/>
      <c r="AC22" s="429"/>
      <c r="AD22" s="202"/>
      <c r="AE22" s="429"/>
      <c r="AF22" s="430"/>
      <c r="AG22" s="435"/>
      <c r="AH22" s="432">
        <f t="shared" si="40"/>
        <v>0</v>
      </c>
      <c r="AI22" s="432"/>
      <c r="AJ22" s="442"/>
      <c r="AK22" s="429"/>
      <c r="AL22" s="202"/>
      <c r="AM22" s="429"/>
      <c r="AN22" s="94"/>
      <c r="AO22" s="94"/>
      <c r="AP22" s="419"/>
      <c r="AQ22" s="94"/>
      <c r="AR22" s="94"/>
      <c r="AS22" s="94"/>
      <c r="AT22" s="419"/>
      <c r="AU22" s="94"/>
      <c r="AV22" s="94"/>
      <c r="AW22" s="94"/>
      <c r="AX22" s="16"/>
      <c r="AY22" s="94"/>
      <c r="AZ22" s="94"/>
      <c r="BA22" s="418">
        <f t="shared" si="8"/>
        <v>0</v>
      </c>
      <c r="BB22" s="15">
        <f t="shared" si="9"/>
        <v>0</v>
      </c>
      <c r="BC22" s="419"/>
      <c r="BD22" s="419"/>
      <c r="BE22" s="94"/>
      <c r="BF22" s="419"/>
      <c r="BG22" s="94"/>
      <c r="BH22" s="94"/>
      <c r="BI22" s="94"/>
      <c r="BJ22" s="419"/>
      <c r="BK22" s="94"/>
      <c r="BL22" s="94"/>
      <c r="BM22" s="94"/>
      <c r="BN22" s="419"/>
      <c r="BO22" s="94"/>
      <c r="BP22" s="94"/>
      <c r="BQ22" s="139"/>
      <c r="BR22" s="16"/>
      <c r="BS22" s="92"/>
      <c r="BT22" s="92"/>
      <c r="BU22" s="139"/>
      <c r="BV22" s="202"/>
      <c r="BW22" s="429"/>
      <c r="BX22" s="430"/>
      <c r="BY22" s="429"/>
      <c r="BZ22" s="202"/>
      <c r="CA22" s="441"/>
      <c r="CB22" s="430"/>
      <c r="CC22" s="430"/>
      <c r="CD22" s="206"/>
      <c r="CE22" s="430"/>
      <c r="CF22" s="430"/>
      <c r="CG22" s="108"/>
      <c r="CH22" s="428"/>
      <c r="CI22" s="108"/>
      <c r="CJ22" s="108"/>
      <c r="CK22" s="418"/>
      <c r="CL22" s="16">
        <f t="shared" si="41"/>
        <v>0</v>
      </c>
      <c r="CM22" s="420"/>
      <c r="CN22" s="419"/>
      <c r="CP22" s="128"/>
      <c r="CQ22" s="123"/>
      <c r="CS22" s="132"/>
      <c r="CT22" s="123"/>
      <c r="CU22" s="123"/>
      <c r="CV22" s="123"/>
      <c r="CW22" s="123"/>
      <c r="CX22" s="425"/>
      <c r="CY22" s="425"/>
    </row>
    <row r="23" spans="1:103" ht="13.5" customHeight="1">
      <c r="A23" s="108"/>
      <c r="B23" s="799" t="s">
        <v>774</v>
      </c>
      <c r="C23" s="800"/>
      <c r="D23" s="801"/>
      <c r="E23" s="419"/>
      <c r="F23" s="16"/>
      <c r="G23" s="94"/>
      <c r="H23" s="94"/>
      <c r="I23" s="94">
        <v>0</v>
      </c>
      <c r="J23" s="16">
        <v>35</v>
      </c>
      <c r="K23" s="94"/>
      <c r="L23" s="108"/>
      <c r="M23" s="94">
        <f t="shared" si="42"/>
        <v>0</v>
      </c>
      <c r="N23" s="16"/>
      <c r="O23" s="94"/>
      <c r="P23" s="430"/>
      <c r="Q23" s="429"/>
      <c r="R23" s="202">
        <v>60</v>
      </c>
      <c r="S23" s="95"/>
      <c r="T23" s="95"/>
      <c r="U23" s="429"/>
      <c r="V23" s="202">
        <v>20</v>
      </c>
      <c r="W23" s="429"/>
      <c r="X23" s="430"/>
      <c r="Y23" s="429"/>
      <c r="Z23" s="202">
        <v>15</v>
      </c>
      <c r="AA23" s="429"/>
      <c r="AB23" s="430"/>
      <c r="AC23" s="429"/>
      <c r="AD23" s="202"/>
      <c r="AE23" s="429"/>
      <c r="AF23" s="430"/>
      <c r="AG23" s="435"/>
      <c r="AH23" s="432">
        <f t="shared" si="40"/>
        <v>130</v>
      </c>
      <c r="AI23" s="432"/>
      <c r="AJ23" s="442"/>
      <c r="AK23" s="429"/>
      <c r="AL23" s="202"/>
      <c r="AM23" s="429"/>
      <c r="AN23" s="94"/>
      <c r="AO23" s="94"/>
      <c r="AP23" s="419"/>
      <c r="AQ23" s="94"/>
      <c r="AR23" s="94"/>
      <c r="AS23" s="94"/>
      <c r="AT23" s="419"/>
      <c r="AU23" s="94"/>
      <c r="AV23" s="94"/>
      <c r="AW23" s="94"/>
      <c r="AX23" s="16"/>
      <c r="AY23" s="94"/>
      <c r="AZ23" s="94"/>
      <c r="BA23" s="418">
        <f t="shared" si="8"/>
        <v>0</v>
      </c>
      <c r="BB23" s="15">
        <f t="shared" si="9"/>
        <v>0</v>
      </c>
      <c r="BC23" s="419"/>
      <c r="BD23" s="419"/>
      <c r="BE23" s="94"/>
      <c r="BF23" s="419"/>
      <c r="BG23" s="94"/>
      <c r="BH23" s="94"/>
      <c r="BI23" s="94"/>
      <c r="BJ23" s="419"/>
      <c r="BK23" s="94"/>
      <c r="BL23" s="94"/>
      <c r="BM23" s="94"/>
      <c r="BN23" s="419"/>
      <c r="BO23" s="94"/>
      <c r="BP23" s="94"/>
      <c r="BQ23" s="139"/>
      <c r="BR23" s="16"/>
      <c r="BS23" s="92"/>
      <c r="BT23" s="92"/>
      <c r="BU23" s="139"/>
      <c r="BV23" s="16"/>
      <c r="BW23" s="94"/>
      <c r="BX23" s="108"/>
      <c r="BY23" s="94"/>
      <c r="BZ23" s="16"/>
      <c r="CA23" s="96"/>
      <c r="CB23" s="108"/>
      <c r="CC23" s="108"/>
      <c r="CD23" s="208"/>
      <c r="CE23" s="108"/>
      <c r="CF23" s="108"/>
      <c r="CG23" s="108"/>
      <c r="CH23" s="428"/>
      <c r="CI23" s="108"/>
      <c r="CJ23" s="108"/>
      <c r="CK23" s="418"/>
      <c r="CL23" s="16">
        <f t="shared" si="41"/>
        <v>130</v>
      </c>
      <c r="CM23" s="420"/>
      <c r="CN23" s="419"/>
      <c r="CP23" s="128"/>
      <c r="CQ23" s="123"/>
      <c r="CS23" s="132"/>
      <c r="CT23" s="123"/>
      <c r="CU23" s="123"/>
      <c r="CV23" s="123"/>
      <c r="CW23" s="123"/>
      <c r="CX23" s="425"/>
      <c r="CY23" s="425"/>
    </row>
    <row r="24" spans="1:103" ht="12.6" customHeight="1">
      <c r="A24" s="108"/>
      <c r="B24" s="799" t="s">
        <v>830</v>
      </c>
      <c r="C24" s="800"/>
      <c r="D24" s="801"/>
      <c r="E24" s="419"/>
      <c r="F24" s="16"/>
      <c r="G24" s="94"/>
      <c r="H24" s="94"/>
      <c r="I24" s="94">
        <v>0</v>
      </c>
      <c r="J24" s="16"/>
      <c r="K24" s="94"/>
      <c r="L24" s="108">
        <f t="shared" ref="L24:L30" si="43">J24-I24</f>
        <v>0</v>
      </c>
      <c r="M24" s="94">
        <v>0</v>
      </c>
      <c r="N24" s="16"/>
      <c r="O24" s="94"/>
      <c r="P24" s="430">
        <f t="shared" si="29"/>
        <v>0</v>
      </c>
      <c r="Q24" s="429"/>
      <c r="R24" s="202"/>
      <c r="S24" s="94"/>
      <c r="T24" s="94">
        <f t="shared" si="37"/>
        <v>0</v>
      </c>
      <c r="U24" s="429"/>
      <c r="V24" s="202"/>
      <c r="W24" s="429"/>
      <c r="X24" s="430">
        <f>V24-U24</f>
        <v>0</v>
      </c>
      <c r="Y24" s="429"/>
      <c r="Z24" s="202"/>
      <c r="AA24" s="429"/>
      <c r="AB24" s="430">
        <f>Z24-Y24</f>
        <v>0</v>
      </c>
      <c r="AC24" s="429"/>
      <c r="AD24" s="202"/>
      <c r="AE24" s="429"/>
      <c r="AF24" s="430"/>
      <c r="AG24" s="435">
        <f t="shared" si="3"/>
        <v>0</v>
      </c>
      <c r="AH24" s="432">
        <f t="shared" si="40"/>
        <v>0</v>
      </c>
      <c r="AI24" s="432"/>
      <c r="AJ24" s="442">
        <f t="shared" si="32"/>
        <v>0</v>
      </c>
      <c r="AK24" s="429"/>
      <c r="AL24" s="202"/>
      <c r="AM24" s="429"/>
      <c r="AN24" s="94"/>
      <c r="AO24" s="94"/>
      <c r="AP24" s="432"/>
      <c r="AQ24" s="429"/>
      <c r="AR24" s="429"/>
      <c r="AS24" s="429"/>
      <c r="AT24" s="432"/>
      <c r="AU24" s="429"/>
      <c r="AV24" s="429"/>
      <c r="AW24" s="429"/>
      <c r="AX24" s="202"/>
      <c r="AY24" s="429"/>
      <c r="AZ24" s="94"/>
      <c r="BA24" s="418">
        <f t="shared" si="8"/>
        <v>0</v>
      </c>
      <c r="BB24" s="15">
        <f t="shared" si="9"/>
        <v>0</v>
      </c>
      <c r="BC24" s="419"/>
      <c r="BD24" s="419"/>
      <c r="BE24" s="94"/>
      <c r="BF24" s="419"/>
      <c r="BG24" s="94"/>
      <c r="BH24" s="94"/>
      <c r="BI24" s="94"/>
      <c r="BJ24" s="419"/>
      <c r="BK24" s="94"/>
      <c r="BL24" s="94"/>
      <c r="BM24" s="94"/>
      <c r="BN24" s="419"/>
      <c r="BO24" s="94"/>
      <c r="BP24" s="94">
        <f t="shared" si="36"/>
        <v>0</v>
      </c>
      <c r="BQ24" s="94"/>
      <c r="BR24" s="419"/>
      <c r="BS24" s="92">
        <v>0</v>
      </c>
      <c r="BT24" s="92">
        <f t="shared" si="19"/>
        <v>0</v>
      </c>
      <c r="BU24" s="94"/>
      <c r="BV24" s="419"/>
      <c r="BW24" s="94"/>
      <c r="BX24" s="108">
        <f>BV24-BU24</f>
        <v>0</v>
      </c>
      <c r="BY24" s="94">
        <v>100</v>
      </c>
      <c r="BZ24" s="16"/>
      <c r="CA24" s="96">
        <v>0</v>
      </c>
      <c r="CB24" s="108">
        <f t="shared" si="27"/>
        <v>-100</v>
      </c>
      <c r="CC24" s="142"/>
      <c r="CD24" s="208"/>
      <c r="CE24" s="108"/>
      <c r="CF24" s="108"/>
      <c r="CG24" s="142"/>
      <c r="CH24" s="428"/>
      <c r="CI24" s="108"/>
      <c r="CJ24" s="108"/>
      <c r="CK24" s="418">
        <f t="shared" si="20"/>
        <v>100</v>
      </c>
      <c r="CL24" s="16">
        <f t="shared" si="41"/>
        <v>0</v>
      </c>
      <c r="CM24" s="420">
        <f t="shared" si="13"/>
        <v>0</v>
      </c>
      <c r="CN24" s="419">
        <f>CL24-CK24</f>
        <v>-100</v>
      </c>
      <c r="CP24" s="128">
        <f t="shared" si="15"/>
        <v>0</v>
      </c>
      <c r="CQ24" s="123">
        <f t="shared" si="16"/>
        <v>100</v>
      </c>
      <c r="CS24" s="132">
        <f t="shared" si="17"/>
        <v>0</v>
      </c>
      <c r="CT24" s="123">
        <f t="shared" si="21"/>
        <v>0</v>
      </c>
      <c r="CU24" s="123">
        <f t="shared" si="22"/>
        <v>0</v>
      </c>
      <c r="CV24" s="123">
        <f t="shared" si="23"/>
        <v>0</v>
      </c>
      <c r="CW24" s="123">
        <f t="shared" si="24"/>
        <v>100</v>
      </c>
      <c r="CX24" s="425"/>
      <c r="CY24" s="425"/>
    </row>
    <row r="25" spans="1:103" ht="12.75" customHeight="1">
      <c r="A25" s="108"/>
      <c r="B25" s="799" t="s">
        <v>208</v>
      </c>
      <c r="C25" s="800"/>
      <c r="D25" s="801"/>
      <c r="E25" s="419"/>
      <c r="F25" s="16"/>
      <c r="G25" s="94"/>
      <c r="H25" s="94">
        <f t="shared" si="0"/>
        <v>0</v>
      </c>
      <c r="I25" s="94">
        <f t="shared" si="39"/>
        <v>0</v>
      </c>
      <c r="J25" s="16"/>
      <c r="K25" s="94"/>
      <c r="L25" s="108">
        <f t="shared" si="43"/>
        <v>0</v>
      </c>
      <c r="M25" s="94">
        <f t="shared" si="42"/>
        <v>0</v>
      </c>
      <c r="N25" s="16"/>
      <c r="O25" s="94"/>
      <c r="P25" s="430">
        <f t="shared" si="29"/>
        <v>0</v>
      </c>
      <c r="Q25" s="429"/>
      <c r="R25" s="202"/>
      <c r="S25" s="94"/>
      <c r="T25" s="94">
        <f t="shared" si="37"/>
        <v>0</v>
      </c>
      <c r="U25" s="429"/>
      <c r="V25" s="202"/>
      <c r="W25" s="429"/>
      <c r="X25" s="430"/>
      <c r="Y25" s="429"/>
      <c r="Z25" s="202"/>
      <c r="AA25" s="429"/>
      <c r="AB25" s="430">
        <f>Z25-Y25</f>
        <v>0</v>
      </c>
      <c r="AC25" s="429"/>
      <c r="AD25" s="202"/>
      <c r="AE25" s="429"/>
      <c r="AF25" s="430">
        <f>AD25-AC25</f>
        <v>0</v>
      </c>
      <c r="AG25" s="435">
        <f t="shared" si="3"/>
        <v>0</v>
      </c>
      <c r="AH25" s="432">
        <f t="shared" si="40"/>
        <v>0</v>
      </c>
      <c r="AI25" s="432"/>
      <c r="AJ25" s="442">
        <f t="shared" si="32"/>
        <v>0</v>
      </c>
      <c r="AK25" s="429"/>
      <c r="AL25" s="202"/>
      <c r="AM25" s="429"/>
      <c r="AN25" s="94">
        <f>AL25-AK25</f>
        <v>0</v>
      </c>
      <c r="AO25" s="94"/>
      <c r="AP25" s="432"/>
      <c r="AQ25" s="429"/>
      <c r="AR25" s="429">
        <f>AP25-AO25</f>
        <v>0</v>
      </c>
      <c r="AS25" s="429"/>
      <c r="AT25" s="432"/>
      <c r="AU25" s="429"/>
      <c r="AV25" s="429">
        <f>AT25-AS25</f>
        <v>0</v>
      </c>
      <c r="AW25" s="429"/>
      <c r="AX25" s="202"/>
      <c r="AY25" s="429"/>
      <c r="AZ25" s="94">
        <f>AX25-AW25</f>
        <v>0</v>
      </c>
      <c r="BA25" s="418">
        <f t="shared" si="8"/>
        <v>0</v>
      </c>
      <c r="BB25" s="15">
        <f t="shared" si="9"/>
        <v>0</v>
      </c>
      <c r="BC25" s="419"/>
      <c r="BD25" s="419">
        <f>BB25-BA25</f>
        <v>0</v>
      </c>
      <c r="BE25" s="94"/>
      <c r="BF25" s="419"/>
      <c r="BG25" s="94"/>
      <c r="BH25" s="94">
        <f>BF25-BE25</f>
        <v>0</v>
      </c>
      <c r="BI25" s="94"/>
      <c r="BJ25" s="419"/>
      <c r="BK25" s="94"/>
      <c r="BL25" s="94">
        <f>BJ25-BI25</f>
        <v>0</v>
      </c>
      <c r="BM25" s="94"/>
      <c r="BN25" s="419"/>
      <c r="BO25" s="94"/>
      <c r="BP25" s="94">
        <f t="shared" si="36"/>
        <v>0</v>
      </c>
      <c r="BQ25" s="94"/>
      <c r="BR25" s="419"/>
      <c r="BS25" s="92" t="e">
        <f t="shared" si="18"/>
        <v>#DIV/0!</v>
      </c>
      <c r="BT25" s="92">
        <f t="shared" si="19"/>
        <v>0</v>
      </c>
      <c r="BU25" s="94"/>
      <c r="BV25" s="419"/>
      <c r="BW25" s="94"/>
      <c r="BX25" s="108"/>
      <c r="BY25" s="94"/>
      <c r="BZ25" s="16"/>
      <c r="CA25" s="96"/>
      <c r="CB25" s="108"/>
      <c r="CC25" s="108"/>
      <c r="CD25" s="208"/>
      <c r="CE25" s="108"/>
      <c r="CF25" s="108"/>
      <c r="CG25" s="108"/>
      <c r="CH25" s="428"/>
      <c r="CI25" s="108"/>
      <c r="CJ25" s="108"/>
      <c r="CK25" s="418">
        <f t="shared" si="20"/>
        <v>0</v>
      </c>
      <c r="CL25" s="16">
        <f t="shared" si="41"/>
        <v>0</v>
      </c>
      <c r="CM25" s="419"/>
      <c r="CN25" s="419">
        <f t="shared" si="14"/>
        <v>0</v>
      </c>
      <c r="CP25" s="128">
        <f t="shared" si="15"/>
        <v>0</v>
      </c>
      <c r="CQ25" s="123">
        <f t="shared" si="16"/>
        <v>0</v>
      </c>
      <c r="CS25" s="132">
        <f t="shared" si="17"/>
        <v>0</v>
      </c>
      <c r="CT25" s="123">
        <f t="shared" si="21"/>
        <v>0</v>
      </c>
      <c r="CU25" s="123">
        <f t="shared" si="22"/>
        <v>0</v>
      </c>
      <c r="CV25" s="123">
        <f t="shared" si="23"/>
        <v>0</v>
      </c>
      <c r="CW25" s="123">
        <f t="shared" si="24"/>
        <v>0</v>
      </c>
      <c r="CX25" s="425"/>
      <c r="CY25" s="425"/>
    </row>
    <row r="26" spans="1:103" ht="12.75" customHeight="1">
      <c r="A26" s="108"/>
      <c r="B26" s="781" t="s">
        <v>245</v>
      </c>
      <c r="C26" s="782"/>
      <c r="D26" s="783"/>
      <c r="E26" s="419">
        <v>11</v>
      </c>
      <c r="F26" s="16"/>
      <c r="G26" s="94"/>
      <c r="H26" s="94"/>
      <c r="I26" s="94">
        <v>15</v>
      </c>
      <c r="J26" s="16"/>
      <c r="K26" s="95"/>
      <c r="L26" s="94">
        <f>J26-I26</f>
        <v>-15</v>
      </c>
      <c r="M26" s="94">
        <v>26</v>
      </c>
      <c r="N26" s="16"/>
      <c r="O26" s="94"/>
      <c r="P26" s="429"/>
      <c r="Q26" s="429">
        <v>22</v>
      </c>
      <c r="R26" s="202"/>
      <c r="S26" s="94"/>
      <c r="T26" s="108"/>
      <c r="U26" s="429">
        <v>27</v>
      </c>
      <c r="V26" s="202"/>
      <c r="W26" s="429"/>
      <c r="X26" s="430"/>
      <c r="Y26" s="429">
        <v>19</v>
      </c>
      <c r="Z26" s="202"/>
      <c r="AA26" s="429"/>
      <c r="AB26" s="430"/>
      <c r="AC26" s="429">
        <v>14</v>
      </c>
      <c r="AD26" s="202"/>
      <c r="AE26" s="429"/>
      <c r="AF26" s="430"/>
      <c r="AG26" s="435">
        <f>E26+I26+M26+Q26+U26+Y26+AC26</f>
        <v>134</v>
      </c>
      <c r="AH26" s="432">
        <f t="shared" si="40"/>
        <v>0</v>
      </c>
      <c r="AI26" s="432">
        <f>AH26/AG26*100</f>
        <v>0</v>
      </c>
      <c r="AJ26" s="432">
        <f>AH26-AG26</f>
        <v>-134</v>
      </c>
      <c r="AK26" s="429"/>
      <c r="AL26" s="202"/>
      <c r="AM26" s="429"/>
      <c r="AN26" s="94"/>
      <c r="AO26" s="94"/>
      <c r="AP26" s="432"/>
      <c r="AQ26" s="429"/>
      <c r="AR26" s="429"/>
      <c r="AS26" s="429"/>
      <c r="AT26" s="432"/>
      <c r="AU26" s="429"/>
      <c r="AV26" s="429"/>
      <c r="AW26" s="429"/>
      <c r="AX26" s="202"/>
      <c r="AY26" s="429"/>
      <c r="AZ26" s="94"/>
      <c r="BA26" s="418">
        <f>AK26+AO26+AS26+AW26</f>
        <v>0</v>
      </c>
      <c r="BB26" s="15">
        <f t="shared" ref="BB26" si="44">+AL26+AP26+AT26+AX26</f>
        <v>0</v>
      </c>
      <c r="BC26" s="419"/>
      <c r="BD26" s="419"/>
      <c r="BE26" s="94"/>
      <c r="BF26" s="419"/>
      <c r="BG26" s="94"/>
      <c r="BH26" s="94"/>
      <c r="BI26" s="94"/>
      <c r="BJ26" s="419"/>
      <c r="BK26" s="94"/>
      <c r="BL26" s="94"/>
      <c r="BM26" s="94"/>
      <c r="BN26" s="419"/>
      <c r="BO26" s="94"/>
      <c r="BP26" s="94"/>
      <c r="BQ26" s="94"/>
      <c r="BR26" s="419"/>
      <c r="BS26" s="92">
        <v>0</v>
      </c>
      <c r="BT26" s="92">
        <f t="shared" si="19"/>
        <v>0</v>
      </c>
      <c r="BU26" s="94"/>
      <c r="BV26" s="419"/>
      <c r="BW26" s="94"/>
      <c r="BX26" s="108"/>
      <c r="BY26" s="94"/>
      <c r="BZ26" s="16"/>
      <c r="CA26" s="96"/>
      <c r="CB26" s="108"/>
      <c r="CC26" s="108"/>
      <c r="CD26" s="208"/>
      <c r="CE26" s="108"/>
      <c r="CF26" s="108"/>
      <c r="CG26" s="108"/>
      <c r="CH26" s="428"/>
      <c r="CI26" s="108"/>
      <c r="CJ26" s="108"/>
      <c r="CK26" s="418">
        <f t="shared" si="20"/>
        <v>134</v>
      </c>
      <c r="CL26" s="16">
        <f t="shared" si="41"/>
        <v>0</v>
      </c>
      <c r="CM26" s="419">
        <f>CL26/CK26*100</f>
        <v>0</v>
      </c>
      <c r="CN26" s="419">
        <f>CL26-CK26</f>
        <v>-134</v>
      </c>
      <c r="CP26" s="128">
        <f t="shared" si="15"/>
        <v>0</v>
      </c>
      <c r="CQ26" s="123">
        <f t="shared" si="16"/>
        <v>134</v>
      </c>
      <c r="CS26" s="132">
        <f t="shared" si="17"/>
        <v>0</v>
      </c>
      <c r="CT26" s="123">
        <f t="shared" si="21"/>
        <v>0</v>
      </c>
      <c r="CU26" s="123">
        <f t="shared" si="22"/>
        <v>0</v>
      </c>
      <c r="CV26" s="123">
        <f t="shared" si="23"/>
        <v>0</v>
      </c>
      <c r="CW26" s="123">
        <f t="shared" si="24"/>
        <v>134</v>
      </c>
      <c r="CX26" s="425"/>
      <c r="CY26" s="425"/>
    </row>
    <row r="27" spans="1:103" s="425" customFormat="1" ht="15" customHeight="1">
      <c r="A27" s="495">
        <v>226</v>
      </c>
      <c r="B27" s="895" t="s">
        <v>118</v>
      </c>
      <c r="C27" s="896"/>
      <c r="D27" s="897"/>
      <c r="E27" s="418">
        <f>SUM(E28:E47)</f>
        <v>83</v>
      </c>
      <c r="F27" s="15">
        <f>SUM(F28:F47)</f>
        <v>15.2133</v>
      </c>
      <c r="G27" s="418">
        <f>F27/E27*100</f>
        <v>18.329277108433736</v>
      </c>
      <c r="H27" s="418">
        <f t="shared" si="0"/>
        <v>-67.786699999999996</v>
      </c>
      <c r="I27" s="418">
        <f>SUM(I28:I47)</f>
        <v>131</v>
      </c>
      <c r="J27" s="15">
        <f>SUM(J28:J47)</f>
        <v>44.109300000000005</v>
      </c>
      <c r="K27" s="418">
        <f>J27/I27*100</f>
        <v>33.671221374045807</v>
      </c>
      <c r="L27" s="495">
        <f t="shared" si="43"/>
        <v>-86.890699999999995</v>
      </c>
      <c r="M27" s="418">
        <f>SUM(M28:M47)</f>
        <v>161</v>
      </c>
      <c r="N27" s="15">
        <f>SUM(N28:N47)</f>
        <v>19.876449999999998</v>
      </c>
      <c r="O27" s="418">
        <f>N27/M27*100</f>
        <v>12.345621118012422</v>
      </c>
      <c r="P27" s="499">
        <f t="shared" si="29"/>
        <v>-141.12354999999999</v>
      </c>
      <c r="Q27" s="435">
        <f>SUM(Q28:Q47)</f>
        <v>134</v>
      </c>
      <c r="R27" s="496">
        <f>SUM(R28:R46)</f>
        <v>112.08930000000001</v>
      </c>
      <c r="S27" s="418">
        <f>R27/Q27*100</f>
        <v>83.648731343283586</v>
      </c>
      <c r="T27" s="418">
        <f t="shared" si="37"/>
        <v>-21.910699999999991</v>
      </c>
      <c r="U27" s="435">
        <f>SUM(U28:U47)</f>
        <v>142</v>
      </c>
      <c r="V27" s="496">
        <f>SUM(V28:V47)</f>
        <v>64.263360000000006</v>
      </c>
      <c r="W27" s="435">
        <f>V27/U27*100</f>
        <v>45.255887323943668</v>
      </c>
      <c r="X27" s="435">
        <f>V27-U27</f>
        <v>-77.736639999999994</v>
      </c>
      <c r="Y27" s="435">
        <f>SUM(Y28:Y47)</f>
        <v>128</v>
      </c>
      <c r="Z27" s="496">
        <f>SUM(Z28:Z47)</f>
        <v>62.413300000000007</v>
      </c>
      <c r="AA27" s="435">
        <f>Z27/Y27*100</f>
        <v>48.760390625000007</v>
      </c>
      <c r="AB27" s="499">
        <f>Z27-Y27</f>
        <v>-65.586699999999993</v>
      </c>
      <c r="AC27" s="435">
        <f>SUM(AC28:AC47)</f>
        <v>128</v>
      </c>
      <c r="AD27" s="496">
        <f>SUM(AD28:AD47)</f>
        <v>162.34402</v>
      </c>
      <c r="AE27" s="435">
        <f>AD27/AC27*100</f>
        <v>126.831265625</v>
      </c>
      <c r="AF27" s="499">
        <f>AD27-AC27</f>
        <v>34.34402</v>
      </c>
      <c r="AG27" s="435"/>
      <c r="AH27" s="496">
        <f>SUM(AH28:AH47)</f>
        <v>480.30903000000001</v>
      </c>
      <c r="AI27" s="435"/>
      <c r="AJ27" s="435">
        <f t="shared" si="32"/>
        <v>480.30903000000001</v>
      </c>
      <c r="AK27" s="435">
        <f>SUM(AK28:AK47)</f>
        <v>20</v>
      </c>
      <c r="AL27" s="496">
        <f>SUM(AL28:AL47)</f>
        <v>0</v>
      </c>
      <c r="AM27" s="435"/>
      <c r="AN27" s="418">
        <f>AL27-AK27</f>
        <v>-20</v>
      </c>
      <c r="AO27" s="418">
        <f>SUM(AO28:AO47)</f>
        <v>0</v>
      </c>
      <c r="AP27" s="15">
        <f>SUM(AP28:AP47)</f>
        <v>0</v>
      </c>
      <c r="AQ27" s="418"/>
      <c r="AR27" s="418">
        <f>AP27-AO27</f>
        <v>0</v>
      </c>
      <c r="AS27" s="418">
        <f>SUM(AS28:AS47)</f>
        <v>20</v>
      </c>
      <c r="AT27" s="418">
        <f>SUM(AT28:AT47)</f>
        <v>0</v>
      </c>
      <c r="AU27" s="418"/>
      <c r="AV27" s="418">
        <f>AT27-AS27</f>
        <v>-20</v>
      </c>
      <c r="AW27" s="418">
        <f>SUM(AW28:AW47)</f>
        <v>25</v>
      </c>
      <c r="AX27" s="15">
        <f>SUM(AX28:AX47)</f>
        <v>0</v>
      </c>
      <c r="AY27" s="418"/>
      <c r="AZ27" s="418">
        <f>AX27-AW27</f>
        <v>-25</v>
      </c>
      <c r="BA27" s="418">
        <f t="shared" si="8"/>
        <v>65</v>
      </c>
      <c r="BB27" s="15">
        <f>SUM(BB28+BB46)</f>
        <v>0</v>
      </c>
      <c r="BC27" s="418"/>
      <c r="BD27" s="418">
        <f>BB27-BA27</f>
        <v>-65</v>
      </c>
      <c r="BE27" s="418">
        <f>SUM(BE28:BE47)</f>
        <v>0</v>
      </c>
      <c r="BF27" s="418">
        <f>SUM(BF28:BF47)</f>
        <v>0</v>
      </c>
      <c r="BG27" s="418"/>
      <c r="BH27" s="418">
        <f>BF27-BE27</f>
        <v>0</v>
      </c>
      <c r="BI27" s="418">
        <f>SUM(BI28:BI47)</f>
        <v>0</v>
      </c>
      <c r="BJ27" s="418">
        <f>SUM(BJ28:BJ47)</f>
        <v>0</v>
      </c>
      <c r="BK27" s="418"/>
      <c r="BL27" s="418">
        <f>BJ27-BI27</f>
        <v>0</v>
      </c>
      <c r="BM27" s="418">
        <f>SUM(BM28:BM47)</f>
        <v>0</v>
      </c>
      <c r="BN27" s="418">
        <f>SUM(BN28:BN47)</f>
        <v>0</v>
      </c>
      <c r="BO27" s="418"/>
      <c r="BP27" s="418">
        <f>BN27-BM27</f>
        <v>0</v>
      </c>
      <c r="BQ27" s="418">
        <f>SUM(BQ28:BQ47)</f>
        <v>0</v>
      </c>
      <c r="BR27" s="418">
        <f>SUM(BR28:BR47)</f>
        <v>0</v>
      </c>
      <c r="BS27" s="418"/>
      <c r="BT27" s="418">
        <f t="shared" si="19"/>
        <v>0</v>
      </c>
      <c r="BU27" s="418">
        <f>SUM(BU28:BU47)</f>
        <v>7</v>
      </c>
      <c r="BV27" s="418">
        <f>SUM(BV28:BV47)</f>
        <v>0</v>
      </c>
      <c r="BW27" s="418">
        <v>0</v>
      </c>
      <c r="BX27" s="495">
        <f>BV27-BU27</f>
        <v>-7</v>
      </c>
      <c r="BY27" s="418">
        <f>SUM(BY28:BY46)</f>
        <v>787</v>
      </c>
      <c r="BZ27" s="15">
        <f>SUM(BZ28:BZ47)</f>
        <v>400.13694000000004</v>
      </c>
      <c r="CA27" s="699">
        <f>BZ27/BY27*100</f>
        <v>50.843321473951718</v>
      </c>
      <c r="CB27" s="495">
        <f t="shared" si="27"/>
        <v>-386.86305999999996</v>
      </c>
      <c r="CC27" s="15">
        <f>SUM(CC28:CC47)</f>
        <v>2</v>
      </c>
      <c r="CD27" s="15">
        <f>SUM(CD28:CD47)</f>
        <v>4</v>
      </c>
      <c r="CE27" s="699">
        <f>CD27/CC27*100</f>
        <v>200</v>
      </c>
      <c r="CF27" s="495">
        <f>CD27-CC27</f>
        <v>2</v>
      </c>
      <c r="CG27" s="15">
        <f>SUM(CG28:CG47)</f>
        <v>63</v>
      </c>
      <c r="CH27" s="15">
        <f>SUM(CH28:CH47)</f>
        <v>36.01379</v>
      </c>
      <c r="CI27" s="699">
        <f>CH27/CG27*100</f>
        <v>57.164746031746027</v>
      </c>
      <c r="CJ27" s="495">
        <f>CH27-CG27</f>
        <v>-26.98621</v>
      </c>
      <c r="CK27" s="15">
        <f>SUM(CK28:CK47)</f>
        <v>1831</v>
      </c>
      <c r="CL27" s="15">
        <f>SUM(CL28:CL47)</f>
        <v>920.45976000000007</v>
      </c>
      <c r="CM27" s="418">
        <f t="shared" si="13"/>
        <v>50.270877116329885</v>
      </c>
      <c r="CN27" s="418">
        <f t="shared" si="14"/>
        <v>-910.54023999999993</v>
      </c>
      <c r="CO27" s="425">
        <v>9.6</v>
      </c>
      <c r="CP27" s="425">
        <f t="shared" si="15"/>
        <v>884.44596999999999</v>
      </c>
      <c r="CQ27" s="425">
        <f t="shared" si="16"/>
        <v>1768</v>
      </c>
      <c r="CS27" s="425">
        <f t="shared" si="17"/>
        <v>884.44596999999999</v>
      </c>
      <c r="CT27" s="425">
        <f t="shared" si="21"/>
        <v>920.45975999999996</v>
      </c>
      <c r="CU27" s="425">
        <f t="shared" si="22"/>
        <v>920.45975999999996</v>
      </c>
      <c r="CV27" s="425">
        <f t="shared" si="23"/>
        <v>480.30903000000001</v>
      </c>
      <c r="CW27" s="425">
        <f t="shared" si="24"/>
        <v>1831</v>
      </c>
    </row>
    <row r="28" spans="1:103" ht="22.5" customHeight="1">
      <c r="A28" s="108"/>
      <c r="B28" s="799" t="s">
        <v>209</v>
      </c>
      <c r="C28" s="800"/>
      <c r="D28" s="801"/>
      <c r="E28" s="419"/>
      <c r="F28" s="16"/>
      <c r="G28" s="94"/>
      <c r="H28" s="94"/>
      <c r="I28" s="94">
        <f>J28</f>
        <v>0</v>
      </c>
      <c r="J28" s="16"/>
      <c r="K28" s="95"/>
      <c r="L28" s="108">
        <f t="shared" si="43"/>
        <v>0</v>
      </c>
      <c r="M28" s="94">
        <f>N28</f>
        <v>0</v>
      </c>
      <c r="N28" s="16"/>
      <c r="O28" s="94"/>
      <c r="P28" s="430">
        <f t="shared" si="29"/>
        <v>0</v>
      </c>
      <c r="Q28" s="429"/>
      <c r="R28" s="202"/>
      <c r="S28" s="94"/>
      <c r="T28" s="108">
        <f t="shared" si="37"/>
        <v>0</v>
      </c>
      <c r="U28" s="429"/>
      <c r="V28" s="202"/>
      <c r="W28" s="429"/>
      <c r="X28" s="430">
        <f>V28-U28</f>
        <v>0</v>
      </c>
      <c r="Y28" s="429"/>
      <c r="Z28" s="202"/>
      <c r="AA28" s="429"/>
      <c r="AB28" s="430">
        <f>Z28-Y28</f>
        <v>0</v>
      </c>
      <c r="AC28" s="429"/>
      <c r="AD28" s="202"/>
      <c r="AE28" s="429"/>
      <c r="AF28" s="430"/>
      <c r="AG28" s="435">
        <f t="shared" si="3"/>
        <v>0</v>
      </c>
      <c r="AH28" s="432">
        <f t="shared" si="40"/>
        <v>0</v>
      </c>
      <c r="AI28" s="432">
        <v>0</v>
      </c>
      <c r="AJ28" s="432">
        <f t="shared" si="32"/>
        <v>0</v>
      </c>
      <c r="AK28" s="429"/>
      <c r="AL28" s="202"/>
      <c r="AM28" s="429"/>
      <c r="AN28" s="94"/>
      <c r="AO28" s="94"/>
      <c r="AP28" s="432"/>
      <c r="AQ28" s="429"/>
      <c r="AR28" s="429"/>
      <c r="AS28" s="429"/>
      <c r="AT28" s="432"/>
      <c r="AU28" s="429"/>
      <c r="AV28" s="429"/>
      <c r="AW28" s="429"/>
      <c r="AX28" s="202"/>
      <c r="AY28" s="429"/>
      <c r="AZ28" s="429"/>
      <c r="BA28" s="418">
        <f t="shared" si="8"/>
        <v>0</v>
      </c>
      <c r="BB28" s="15">
        <f t="shared" ref="BB28:BB64" si="45">+AL28+AP28+AT28+AX28</f>
        <v>0</v>
      </c>
      <c r="BC28" s="419"/>
      <c r="BD28" s="419">
        <f>BB28-BA28</f>
        <v>0</v>
      </c>
      <c r="BE28" s="94"/>
      <c r="BF28" s="419"/>
      <c r="BG28" s="94"/>
      <c r="BH28" s="94"/>
      <c r="BI28" s="94"/>
      <c r="BJ28" s="419"/>
      <c r="BK28" s="418"/>
      <c r="BL28" s="419"/>
      <c r="BM28" s="94"/>
      <c r="BN28" s="419"/>
      <c r="BO28" s="94"/>
      <c r="BP28" s="94"/>
      <c r="BQ28" s="94"/>
      <c r="BR28" s="419"/>
      <c r="BS28" s="92">
        <v>0</v>
      </c>
      <c r="BT28" s="92">
        <f t="shared" si="19"/>
        <v>0</v>
      </c>
      <c r="BU28" s="94"/>
      <c r="BV28" s="419"/>
      <c r="BW28" s="94"/>
      <c r="BX28" s="108">
        <f>BV28-BU28</f>
        <v>0</v>
      </c>
      <c r="BY28" s="94"/>
      <c r="BZ28" s="16"/>
      <c r="CA28" s="474"/>
      <c r="CB28" s="108"/>
      <c r="CC28" s="108"/>
      <c r="CD28" s="208"/>
      <c r="CE28" s="108"/>
      <c r="CF28" s="108"/>
      <c r="CG28" s="108"/>
      <c r="CH28" s="428"/>
      <c r="CI28" s="108"/>
      <c r="CJ28" s="108"/>
      <c r="CK28" s="418">
        <f>AG28+BA28+BE28+BI28+BM28+BU28+BY28+CC28+BQ28+CG28</f>
        <v>0</v>
      </c>
      <c r="CL28" s="16">
        <f t="shared" ref="CL28:CL46" si="46">AH28+BB28+BF28+BJ28+BN28+BR28+BV28+BZ28+CD28+CH28</f>
        <v>0</v>
      </c>
      <c r="CM28" s="419">
        <v>0</v>
      </c>
      <c r="CN28" s="419">
        <f>CL28-CK28</f>
        <v>0</v>
      </c>
      <c r="CP28" s="128">
        <f t="shared" si="15"/>
        <v>0</v>
      </c>
      <c r="CQ28" s="123">
        <f t="shared" si="16"/>
        <v>0</v>
      </c>
      <c r="CS28" s="132">
        <f t="shared" si="17"/>
        <v>0</v>
      </c>
      <c r="CT28" s="123">
        <f t="shared" si="21"/>
        <v>0</v>
      </c>
      <c r="CU28" s="123">
        <f t="shared" si="22"/>
        <v>0</v>
      </c>
      <c r="CV28" s="123">
        <f t="shared" si="23"/>
        <v>0</v>
      </c>
      <c r="CW28" s="123">
        <f t="shared" si="24"/>
        <v>0</v>
      </c>
      <c r="CX28" s="425"/>
      <c r="CY28" s="425"/>
    </row>
    <row r="29" spans="1:103" ht="13.5" customHeight="1">
      <c r="A29" s="108"/>
      <c r="B29" s="799" t="s">
        <v>408</v>
      </c>
      <c r="C29" s="800"/>
      <c r="D29" s="801"/>
      <c r="E29" s="419"/>
      <c r="F29" s="16"/>
      <c r="G29" s="94">
        <v>23.714839999999999</v>
      </c>
      <c r="H29" s="94"/>
      <c r="I29" s="94">
        <v>0</v>
      </c>
      <c r="J29" s="16"/>
      <c r="K29" s="95"/>
      <c r="L29" s="108">
        <f t="shared" si="43"/>
        <v>0</v>
      </c>
      <c r="M29" s="429">
        <f t="shared" ref="M29:M41" si="47">N29</f>
        <v>0</v>
      </c>
      <c r="N29" s="202"/>
      <c r="O29" s="429"/>
      <c r="P29" s="430">
        <f t="shared" si="29"/>
        <v>0</v>
      </c>
      <c r="Q29" s="429"/>
      <c r="R29" s="202"/>
      <c r="S29" s="94"/>
      <c r="T29" s="108"/>
      <c r="U29" s="429"/>
      <c r="V29" s="202"/>
      <c r="W29" s="429"/>
      <c r="X29" s="430"/>
      <c r="Y29" s="429"/>
      <c r="Z29" s="202"/>
      <c r="AA29" s="429"/>
      <c r="AB29" s="430"/>
      <c r="AC29" s="429"/>
      <c r="AD29" s="202"/>
      <c r="AE29" s="429"/>
      <c r="AF29" s="430"/>
      <c r="AG29" s="435">
        <f t="shared" si="3"/>
        <v>0</v>
      </c>
      <c r="AH29" s="432">
        <f t="shared" si="40"/>
        <v>0</v>
      </c>
      <c r="AI29" s="432"/>
      <c r="AJ29" s="432">
        <f>AH29-AG29</f>
        <v>0</v>
      </c>
      <c r="AK29" s="429"/>
      <c r="AL29" s="202"/>
      <c r="AM29" s="429"/>
      <c r="AN29" s="94"/>
      <c r="AO29" s="94"/>
      <c r="AP29" s="432"/>
      <c r="AQ29" s="429"/>
      <c r="AR29" s="429"/>
      <c r="AS29" s="429"/>
      <c r="AT29" s="432"/>
      <c r="AU29" s="429"/>
      <c r="AV29" s="429"/>
      <c r="AW29" s="429"/>
      <c r="AX29" s="202"/>
      <c r="AY29" s="429"/>
      <c r="AZ29" s="429"/>
      <c r="BA29" s="418">
        <f t="shared" si="8"/>
        <v>0</v>
      </c>
      <c r="BB29" s="15">
        <f t="shared" si="45"/>
        <v>0</v>
      </c>
      <c r="BC29" s="419"/>
      <c r="BD29" s="419">
        <f>BB29-BA29</f>
        <v>0</v>
      </c>
      <c r="BE29" s="94"/>
      <c r="BF29" s="419"/>
      <c r="BG29" s="94"/>
      <c r="BH29" s="94"/>
      <c r="BI29" s="94"/>
      <c r="BJ29" s="419"/>
      <c r="BK29" s="418"/>
      <c r="BL29" s="419"/>
      <c r="BM29" s="94"/>
      <c r="BN29" s="419"/>
      <c r="BO29" s="94"/>
      <c r="BP29" s="94"/>
      <c r="BQ29" s="94"/>
      <c r="BR29" s="419"/>
      <c r="BS29" s="92"/>
      <c r="BT29" s="92">
        <f t="shared" si="19"/>
        <v>0</v>
      </c>
      <c r="BU29" s="94"/>
      <c r="BV29" s="419"/>
      <c r="BW29" s="94"/>
      <c r="BX29" s="108"/>
      <c r="BY29" s="94"/>
      <c r="BZ29" s="202"/>
      <c r="CA29" s="474"/>
      <c r="CB29" s="108"/>
      <c r="CC29" s="108"/>
      <c r="CD29" s="208"/>
      <c r="CE29" s="108"/>
      <c r="CF29" s="108"/>
      <c r="CG29" s="108"/>
      <c r="CH29" s="428"/>
      <c r="CI29" s="108"/>
      <c r="CJ29" s="108"/>
      <c r="CK29" s="418">
        <f t="shared" ref="CK29:CK46" si="48">AG29+BA29+BE29+BI29+BM29+BU29+BY29+CC29+BQ29+CG29</f>
        <v>0</v>
      </c>
      <c r="CL29" s="16">
        <f t="shared" si="46"/>
        <v>0</v>
      </c>
      <c r="CM29" s="419">
        <v>0</v>
      </c>
      <c r="CN29" s="419">
        <f>CL29-CK29</f>
        <v>0</v>
      </c>
      <c r="CP29" s="128">
        <f t="shared" si="15"/>
        <v>0</v>
      </c>
      <c r="CQ29" s="123">
        <f t="shared" si="16"/>
        <v>0</v>
      </c>
      <c r="CS29" s="132">
        <f t="shared" si="17"/>
        <v>0</v>
      </c>
      <c r="CT29" s="123">
        <f t="shared" si="21"/>
        <v>0</v>
      </c>
      <c r="CU29" s="123">
        <f t="shared" si="22"/>
        <v>0</v>
      </c>
      <c r="CV29" s="123">
        <f t="shared" si="23"/>
        <v>0</v>
      </c>
      <c r="CW29" s="123">
        <f t="shared" si="24"/>
        <v>0</v>
      </c>
      <c r="CX29" s="425"/>
      <c r="CY29" s="425"/>
    </row>
    <row r="30" spans="1:103" ht="12.75" hidden="1" customHeight="1">
      <c r="A30" s="108"/>
      <c r="B30" s="781" t="s">
        <v>210</v>
      </c>
      <c r="C30" s="782"/>
      <c r="D30" s="783"/>
      <c r="E30" s="419"/>
      <c r="F30" s="16"/>
      <c r="G30" s="94"/>
      <c r="H30" s="94"/>
      <c r="I30" s="94">
        <f t="shared" ref="I30:I45" si="49">J30</f>
        <v>0</v>
      </c>
      <c r="J30" s="16"/>
      <c r="K30" s="95"/>
      <c r="L30" s="108">
        <f t="shared" si="43"/>
        <v>0</v>
      </c>
      <c r="M30" s="429">
        <f t="shared" si="47"/>
        <v>0</v>
      </c>
      <c r="N30" s="202"/>
      <c r="O30" s="429"/>
      <c r="P30" s="430">
        <f t="shared" si="29"/>
        <v>0</v>
      </c>
      <c r="Q30" s="429"/>
      <c r="R30" s="202"/>
      <c r="S30" s="94"/>
      <c r="T30" s="108">
        <f t="shared" si="37"/>
        <v>0</v>
      </c>
      <c r="U30" s="429"/>
      <c r="V30" s="202"/>
      <c r="W30" s="429"/>
      <c r="X30" s="430">
        <f>V30-U30</f>
        <v>0</v>
      </c>
      <c r="Y30" s="429"/>
      <c r="Z30" s="202"/>
      <c r="AA30" s="429"/>
      <c r="AB30" s="430">
        <f>Z30-Y30</f>
        <v>0</v>
      </c>
      <c r="AC30" s="429"/>
      <c r="AD30" s="202"/>
      <c r="AE30" s="429"/>
      <c r="AF30" s="430"/>
      <c r="AG30" s="435">
        <f t="shared" si="3"/>
        <v>0</v>
      </c>
      <c r="AH30" s="432">
        <f t="shared" si="40"/>
        <v>0</v>
      </c>
      <c r="AI30" s="432"/>
      <c r="AJ30" s="432">
        <f t="shared" si="32"/>
        <v>0</v>
      </c>
      <c r="AK30" s="429"/>
      <c r="AL30" s="202"/>
      <c r="AM30" s="429"/>
      <c r="AN30" s="94"/>
      <c r="AO30" s="94"/>
      <c r="AP30" s="432"/>
      <c r="AQ30" s="429"/>
      <c r="AR30" s="429"/>
      <c r="AS30" s="429"/>
      <c r="AT30" s="432"/>
      <c r="AU30" s="429"/>
      <c r="AV30" s="429"/>
      <c r="AW30" s="429"/>
      <c r="AX30" s="202"/>
      <c r="AY30" s="429"/>
      <c r="AZ30" s="429"/>
      <c r="BA30" s="418">
        <f t="shared" si="8"/>
        <v>0</v>
      </c>
      <c r="BB30" s="15">
        <f t="shared" si="45"/>
        <v>0</v>
      </c>
      <c r="BC30" s="419"/>
      <c r="BD30" s="419">
        <f>BB30-BA30</f>
        <v>0</v>
      </c>
      <c r="BE30" s="94"/>
      <c r="BF30" s="419"/>
      <c r="BG30" s="94"/>
      <c r="BH30" s="94"/>
      <c r="BI30" s="94"/>
      <c r="BJ30" s="419"/>
      <c r="BK30" s="418"/>
      <c r="BL30" s="419"/>
      <c r="BM30" s="94"/>
      <c r="BN30" s="419"/>
      <c r="BO30" s="94"/>
      <c r="BP30" s="94"/>
      <c r="BQ30" s="94"/>
      <c r="BR30" s="419"/>
      <c r="BS30" s="92"/>
      <c r="BT30" s="92">
        <f t="shared" si="19"/>
        <v>0</v>
      </c>
      <c r="BU30" s="94"/>
      <c r="BV30" s="419"/>
      <c r="BW30" s="94"/>
      <c r="BX30" s="108">
        <f>BV30-BU30</f>
        <v>0</v>
      </c>
      <c r="BY30" s="94"/>
      <c r="BZ30" s="16"/>
      <c r="CA30" s="474"/>
      <c r="CB30" s="108">
        <f t="shared" si="27"/>
        <v>0</v>
      </c>
      <c r="CC30" s="108"/>
      <c r="CD30" s="208"/>
      <c r="CE30" s="108"/>
      <c r="CF30" s="108"/>
      <c r="CG30" s="108"/>
      <c r="CH30" s="428"/>
      <c r="CI30" s="108"/>
      <c r="CJ30" s="108"/>
      <c r="CK30" s="418">
        <f t="shared" si="48"/>
        <v>0</v>
      </c>
      <c r="CL30" s="16">
        <f t="shared" si="46"/>
        <v>0</v>
      </c>
      <c r="CM30" s="419"/>
      <c r="CN30" s="419">
        <f t="shared" si="14"/>
        <v>0</v>
      </c>
      <c r="CP30" s="128">
        <f t="shared" si="15"/>
        <v>0</v>
      </c>
      <c r="CQ30" s="123">
        <f t="shared" si="16"/>
        <v>0</v>
      </c>
      <c r="CS30" s="132">
        <f t="shared" si="17"/>
        <v>0</v>
      </c>
      <c r="CT30" s="123">
        <f t="shared" si="21"/>
        <v>0</v>
      </c>
      <c r="CU30" s="123">
        <f t="shared" si="22"/>
        <v>0</v>
      </c>
      <c r="CV30" s="123">
        <f t="shared" si="23"/>
        <v>0</v>
      </c>
      <c r="CW30" s="123">
        <f t="shared" si="24"/>
        <v>0</v>
      </c>
      <c r="CX30" s="425"/>
      <c r="CY30" s="425"/>
    </row>
    <row r="31" spans="1:103" ht="12.75" customHeight="1">
      <c r="A31" s="108"/>
      <c r="B31" s="799" t="s">
        <v>775</v>
      </c>
      <c r="C31" s="800"/>
      <c r="D31" s="801"/>
      <c r="E31" s="419"/>
      <c r="F31" s="16"/>
      <c r="G31" s="94"/>
      <c r="H31" s="94"/>
      <c r="I31" s="94">
        <v>0</v>
      </c>
      <c r="J31" s="16"/>
      <c r="K31" s="95"/>
      <c r="L31" s="108"/>
      <c r="M31" s="429">
        <v>0</v>
      </c>
      <c r="N31" s="202">
        <v>7.48</v>
      </c>
      <c r="O31" s="429"/>
      <c r="P31" s="430"/>
      <c r="Q31" s="429"/>
      <c r="R31" s="202">
        <v>7.48</v>
      </c>
      <c r="S31" s="94"/>
      <c r="T31" s="108"/>
      <c r="U31" s="429"/>
      <c r="V31" s="202">
        <v>0.13675999999999999</v>
      </c>
      <c r="W31" s="429"/>
      <c r="X31" s="430"/>
      <c r="Y31" s="429"/>
      <c r="Z31" s="202"/>
      <c r="AA31" s="429"/>
      <c r="AB31" s="430"/>
      <c r="AC31" s="429"/>
      <c r="AD31" s="202">
        <v>8.68</v>
      </c>
      <c r="AE31" s="429"/>
      <c r="AF31" s="430"/>
      <c r="AG31" s="435"/>
      <c r="AH31" s="432">
        <f t="shared" si="40"/>
        <v>23.776760000000003</v>
      </c>
      <c r="AI31" s="432"/>
      <c r="AJ31" s="432"/>
      <c r="AK31" s="429"/>
      <c r="AL31" s="202"/>
      <c r="AM31" s="429"/>
      <c r="AN31" s="94"/>
      <c r="AO31" s="94"/>
      <c r="AP31" s="432"/>
      <c r="AQ31" s="429"/>
      <c r="AR31" s="429"/>
      <c r="AS31" s="429"/>
      <c r="AT31" s="432"/>
      <c r="AU31" s="429"/>
      <c r="AV31" s="429"/>
      <c r="AW31" s="429"/>
      <c r="AX31" s="202"/>
      <c r="AY31" s="429"/>
      <c r="AZ31" s="429"/>
      <c r="BA31" s="418"/>
      <c r="BB31" s="15">
        <f t="shared" si="45"/>
        <v>0</v>
      </c>
      <c r="BC31" s="419"/>
      <c r="BD31" s="419"/>
      <c r="BE31" s="94"/>
      <c r="BF31" s="419"/>
      <c r="BG31" s="94"/>
      <c r="BH31" s="94"/>
      <c r="BI31" s="94"/>
      <c r="BJ31" s="419"/>
      <c r="BK31" s="418"/>
      <c r="BL31" s="419"/>
      <c r="BM31" s="94"/>
      <c r="BN31" s="419"/>
      <c r="BO31" s="94"/>
      <c r="BP31" s="94"/>
      <c r="BQ31" s="94"/>
      <c r="BR31" s="419"/>
      <c r="BS31" s="92"/>
      <c r="BT31" s="92"/>
      <c r="BU31" s="94"/>
      <c r="BV31" s="419"/>
      <c r="BW31" s="94"/>
      <c r="BX31" s="108"/>
      <c r="BY31" s="94"/>
      <c r="BZ31" s="16"/>
      <c r="CA31" s="474"/>
      <c r="CB31" s="108"/>
      <c r="CC31" s="108"/>
      <c r="CD31" s="208"/>
      <c r="CE31" s="108"/>
      <c r="CF31" s="108"/>
      <c r="CG31" s="108">
        <v>13</v>
      </c>
      <c r="CH31" s="419">
        <v>7</v>
      </c>
      <c r="CI31" s="108"/>
      <c r="CJ31" s="108"/>
      <c r="CK31" s="418">
        <f t="shared" si="48"/>
        <v>13</v>
      </c>
      <c r="CL31" s="16">
        <f t="shared" si="46"/>
        <v>30.776760000000003</v>
      </c>
      <c r="CM31" s="419"/>
      <c r="CN31" s="419">
        <f t="shared" si="14"/>
        <v>17.776760000000003</v>
      </c>
      <c r="CP31" s="128"/>
      <c r="CQ31" s="123"/>
      <c r="CS31" s="132"/>
      <c r="CT31" s="123"/>
      <c r="CU31" s="123"/>
      <c r="CV31" s="123"/>
      <c r="CW31" s="123"/>
      <c r="CX31" s="425"/>
      <c r="CY31" s="425"/>
    </row>
    <row r="32" spans="1:103" ht="12.75" customHeight="1">
      <c r="A32" s="108"/>
      <c r="B32" s="781" t="s">
        <v>211</v>
      </c>
      <c r="C32" s="782"/>
      <c r="D32" s="783"/>
      <c r="E32" s="419"/>
      <c r="F32" s="16"/>
      <c r="G32" s="94"/>
      <c r="H32" s="94"/>
      <c r="I32" s="94"/>
      <c r="J32" s="16"/>
      <c r="K32" s="95"/>
      <c r="L32" s="108"/>
      <c r="M32" s="429"/>
      <c r="N32" s="202"/>
      <c r="O32" s="429"/>
      <c r="P32" s="430">
        <f t="shared" si="29"/>
        <v>0</v>
      </c>
      <c r="Q32" s="429"/>
      <c r="R32" s="202"/>
      <c r="S32" s="94"/>
      <c r="T32" s="108"/>
      <c r="U32" s="429"/>
      <c r="V32" s="202"/>
      <c r="W32" s="429"/>
      <c r="X32" s="430"/>
      <c r="Y32" s="429"/>
      <c r="Z32" s="202"/>
      <c r="AA32" s="429"/>
      <c r="AB32" s="430"/>
      <c r="AC32" s="429"/>
      <c r="AD32" s="202"/>
      <c r="AE32" s="429"/>
      <c r="AF32" s="430"/>
      <c r="AG32" s="435">
        <f t="shared" si="3"/>
        <v>0</v>
      </c>
      <c r="AH32" s="432">
        <f t="shared" si="40"/>
        <v>0</v>
      </c>
      <c r="AI32" s="432"/>
      <c r="AJ32" s="432">
        <f t="shared" si="32"/>
        <v>0</v>
      </c>
      <c r="AK32" s="429"/>
      <c r="AL32" s="202"/>
      <c r="AM32" s="429"/>
      <c r="AN32" s="94">
        <f t="shared" ref="AN32:AN46" si="50">AL32-AK32</f>
        <v>0</v>
      </c>
      <c r="AO32" s="94"/>
      <c r="AP32" s="432"/>
      <c r="AQ32" s="429"/>
      <c r="AR32" s="429">
        <f t="shared" ref="AR32:AR46" si="51">AP32-AO32</f>
        <v>0</v>
      </c>
      <c r="AS32" s="429"/>
      <c r="AT32" s="432"/>
      <c r="AU32" s="429"/>
      <c r="AV32" s="429">
        <f t="shared" ref="AV32:AV46" si="52">AT32-AS32</f>
        <v>0</v>
      </c>
      <c r="AW32" s="429"/>
      <c r="AX32" s="202"/>
      <c r="AY32" s="429"/>
      <c r="AZ32" s="429">
        <f t="shared" ref="AZ32:AZ46" si="53">AX32-AW32</f>
        <v>0</v>
      </c>
      <c r="BA32" s="418">
        <f t="shared" si="8"/>
        <v>0</v>
      </c>
      <c r="BB32" s="15">
        <f t="shared" si="45"/>
        <v>0</v>
      </c>
      <c r="BC32" s="419"/>
      <c r="BD32" s="419">
        <f t="shared" ref="BD32:BD46" si="54">BB32-BA32</f>
        <v>0</v>
      </c>
      <c r="BE32" s="94"/>
      <c r="BF32" s="419"/>
      <c r="BG32" s="94"/>
      <c r="BH32" s="94">
        <f t="shared" ref="BH32:BH46" si="55">BF32-BE32</f>
        <v>0</v>
      </c>
      <c r="BI32" s="94"/>
      <c r="BJ32" s="419"/>
      <c r="BK32" s="418"/>
      <c r="BL32" s="419">
        <f t="shared" ref="BL32:BL46" si="56">BJ32-BI32</f>
        <v>0</v>
      </c>
      <c r="BM32" s="94"/>
      <c r="BN32" s="419"/>
      <c r="BO32" s="94"/>
      <c r="BP32" s="94">
        <f t="shared" ref="BP32:BP46" si="57">BN32-BM32</f>
        <v>0</v>
      </c>
      <c r="BQ32" s="94"/>
      <c r="BR32" s="419"/>
      <c r="BS32" s="92">
        <v>0</v>
      </c>
      <c r="BT32" s="92">
        <f t="shared" si="19"/>
        <v>0</v>
      </c>
      <c r="BU32" s="94"/>
      <c r="BV32" s="419"/>
      <c r="BW32" s="94"/>
      <c r="BX32" s="108">
        <f t="shared" ref="BX32:BX43" si="58">BV32-BU32</f>
        <v>0</v>
      </c>
      <c r="BY32" s="94"/>
      <c r="BZ32" s="16"/>
      <c r="CA32" s="474"/>
      <c r="CB32" s="108"/>
      <c r="CC32" s="108"/>
      <c r="CD32" s="208"/>
      <c r="CE32" s="108"/>
      <c r="CF32" s="108"/>
      <c r="CG32" s="108"/>
      <c r="CH32" s="428"/>
      <c r="CI32" s="108"/>
      <c r="CJ32" s="108"/>
      <c r="CK32" s="418">
        <f t="shared" si="48"/>
        <v>0</v>
      </c>
      <c r="CL32" s="16">
        <f t="shared" si="46"/>
        <v>0</v>
      </c>
      <c r="CM32" s="419"/>
      <c r="CN32" s="419">
        <f t="shared" si="14"/>
        <v>0</v>
      </c>
      <c r="CP32" s="128">
        <f t="shared" si="15"/>
        <v>0</v>
      </c>
      <c r="CQ32" s="123">
        <f t="shared" si="16"/>
        <v>0</v>
      </c>
      <c r="CS32" s="132">
        <f t="shared" si="17"/>
        <v>0</v>
      </c>
      <c r="CT32" s="123">
        <f t="shared" si="21"/>
        <v>0</v>
      </c>
      <c r="CU32" s="123">
        <f t="shared" si="22"/>
        <v>0</v>
      </c>
      <c r="CV32" s="123">
        <f t="shared" si="23"/>
        <v>0</v>
      </c>
      <c r="CW32" s="123">
        <f t="shared" si="24"/>
        <v>0</v>
      </c>
      <c r="CX32" s="425"/>
      <c r="CY32" s="425"/>
    </row>
    <row r="33" spans="1:103" ht="12.75" hidden="1" customHeight="1">
      <c r="A33" s="108"/>
      <c r="B33" s="781" t="s">
        <v>450</v>
      </c>
      <c r="C33" s="782"/>
      <c r="D33" s="783"/>
      <c r="E33" s="419"/>
      <c r="F33" s="16"/>
      <c r="G33" s="94"/>
      <c r="H33" s="94">
        <f t="shared" si="0"/>
        <v>0</v>
      </c>
      <c r="I33" s="94"/>
      <c r="J33" s="16"/>
      <c r="K33" s="95" t="e">
        <f>J33/I33*100</f>
        <v>#DIV/0!</v>
      </c>
      <c r="L33" s="94">
        <f>J33-I33</f>
        <v>0</v>
      </c>
      <c r="M33" s="429">
        <f t="shared" si="47"/>
        <v>0</v>
      </c>
      <c r="N33" s="202"/>
      <c r="O33" s="429" t="e">
        <f>N33/M33*100</f>
        <v>#DIV/0!</v>
      </c>
      <c r="P33" s="430">
        <f t="shared" si="29"/>
        <v>0</v>
      </c>
      <c r="Q33" s="429"/>
      <c r="R33" s="202"/>
      <c r="S33" s="94" t="e">
        <f>R33/Q33*100</f>
        <v>#DIV/0!</v>
      </c>
      <c r="T33" s="108">
        <f t="shared" ref="T33:T47" si="59">R33-Q33</f>
        <v>0</v>
      </c>
      <c r="U33" s="429"/>
      <c r="V33" s="202"/>
      <c r="W33" s="429"/>
      <c r="X33" s="430">
        <f t="shared" ref="X33:X48" si="60">V33-U33</f>
        <v>0</v>
      </c>
      <c r="Y33" s="429"/>
      <c r="Z33" s="202"/>
      <c r="AA33" s="429" t="e">
        <f>Z33/Y33*100</f>
        <v>#DIV/0!</v>
      </c>
      <c r="AB33" s="430">
        <f>Z33-Y33</f>
        <v>0</v>
      </c>
      <c r="AC33" s="429"/>
      <c r="AD33" s="202"/>
      <c r="AE33" s="429"/>
      <c r="AF33" s="430">
        <f>AD33-AC33</f>
        <v>0</v>
      </c>
      <c r="AG33" s="435">
        <f t="shared" si="3"/>
        <v>0</v>
      </c>
      <c r="AH33" s="432">
        <f t="shared" si="40"/>
        <v>0</v>
      </c>
      <c r="AI33" s="432" t="e">
        <f t="shared" si="35"/>
        <v>#DIV/0!</v>
      </c>
      <c r="AJ33" s="432">
        <f t="shared" si="32"/>
        <v>0</v>
      </c>
      <c r="AK33" s="429"/>
      <c r="AL33" s="202"/>
      <c r="AM33" s="429"/>
      <c r="AN33" s="94">
        <f t="shared" si="50"/>
        <v>0</v>
      </c>
      <c r="AO33" s="94"/>
      <c r="AP33" s="432"/>
      <c r="AQ33" s="429"/>
      <c r="AR33" s="429">
        <f t="shared" si="51"/>
        <v>0</v>
      </c>
      <c r="AS33" s="429"/>
      <c r="AT33" s="432"/>
      <c r="AU33" s="429"/>
      <c r="AV33" s="429">
        <f t="shared" si="52"/>
        <v>0</v>
      </c>
      <c r="AW33" s="429"/>
      <c r="AX33" s="202"/>
      <c r="AY33" s="429"/>
      <c r="AZ33" s="429">
        <f t="shared" si="53"/>
        <v>0</v>
      </c>
      <c r="BA33" s="418">
        <f t="shared" si="8"/>
        <v>0</v>
      </c>
      <c r="BB33" s="15">
        <f t="shared" si="45"/>
        <v>0</v>
      </c>
      <c r="BC33" s="419"/>
      <c r="BD33" s="419">
        <f t="shared" si="54"/>
        <v>0</v>
      </c>
      <c r="BE33" s="94"/>
      <c r="BF33" s="419"/>
      <c r="BG33" s="94"/>
      <c r="BH33" s="94">
        <f t="shared" si="55"/>
        <v>0</v>
      </c>
      <c r="BI33" s="94"/>
      <c r="BJ33" s="419"/>
      <c r="BK33" s="418"/>
      <c r="BL33" s="419">
        <f t="shared" si="56"/>
        <v>0</v>
      </c>
      <c r="BM33" s="94"/>
      <c r="BN33" s="419"/>
      <c r="BO33" s="94"/>
      <c r="BP33" s="94">
        <f t="shared" si="57"/>
        <v>0</v>
      </c>
      <c r="BQ33" s="94"/>
      <c r="BR33" s="419"/>
      <c r="BS33" s="92" t="e">
        <f t="shared" si="18"/>
        <v>#DIV/0!</v>
      </c>
      <c r="BT33" s="92">
        <f t="shared" si="19"/>
        <v>0</v>
      </c>
      <c r="BU33" s="94"/>
      <c r="BV33" s="419"/>
      <c r="BW33" s="94"/>
      <c r="BX33" s="108">
        <f t="shared" si="58"/>
        <v>0</v>
      </c>
      <c r="BY33" s="94"/>
      <c r="BZ33" s="16"/>
      <c r="CA33" s="474" t="e">
        <f t="shared" ref="CA33:CA47" si="61">BZ33/BY33*100</f>
        <v>#DIV/0!</v>
      </c>
      <c r="CB33" s="108">
        <f t="shared" si="27"/>
        <v>0</v>
      </c>
      <c r="CC33" s="108"/>
      <c r="CD33" s="208"/>
      <c r="CE33" s="108"/>
      <c r="CF33" s="108"/>
      <c r="CG33" s="108"/>
      <c r="CH33" s="428"/>
      <c r="CI33" s="108"/>
      <c r="CJ33" s="108"/>
      <c r="CK33" s="418">
        <f t="shared" si="48"/>
        <v>0</v>
      </c>
      <c r="CL33" s="16">
        <f t="shared" si="46"/>
        <v>0</v>
      </c>
      <c r="CM33" s="419"/>
      <c r="CN33" s="419">
        <f t="shared" si="14"/>
        <v>0</v>
      </c>
      <c r="CP33" s="128">
        <f t="shared" si="15"/>
        <v>0</v>
      </c>
      <c r="CQ33" s="123">
        <f t="shared" si="16"/>
        <v>0</v>
      </c>
      <c r="CS33" s="132">
        <f t="shared" si="17"/>
        <v>0</v>
      </c>
      <c r="CT33" s="123">
        <f t="shared" si="21"/>
        <v>0</v>
      </c>
      <c r="CU33" s="123">
        <f t="shared" si="22"/>
        <v>0</v>
      </c>
      <c r="CV33" s="123">
        <f t="shared" si="23"/>
        <v>0</v>
      </c>
      <c r="CW33" s="123">
        <f t="shared" si="24"/>
        <v>0</v>
      </c>
      <c r="CX33" s="425"/>
      <c r="CY33" s="425"/>
    </row>
    <row r="34" spans="1:103" ht="12.75" customHeight="1">
      <c r="A34" s="108"/>
      <c r="B34" s="802" t="s">
        <v>816</v>
      </c>
      <c r="C34" s="803"/>
      <c r="D34" s="804"/>
      <c r="E34" s="419"/>
      <c r="F34" s="16"/>
      <c r="G34" s="94"/>
      <c r="H34" s="94">
        <f t="shared" si="0"/>
        <v>0</v>
      </c>
      <c r="I34" s="94"/>
      <c r="J34" s="16"/>
      <c r="K34" s="95"/>
      <c r="L34" s="94">
        <f>J34-I34</f>
        <v>0</v>
      </c>
      <c r="M34" s="429">
        <f t="shared" si="47"/>
        <v>0</v>
      </c>
      <c r="N34" s="202"/>
      <c r="O34" s="429"/>
      <c r="P34" s="430">
        <f t="shared" si="29"/>
        <v>0</v>
      </c>
      <c r="Q34" s="429"/>
      <c r="R34" s="202"/>
      <c r="S34" s="94"/>
      <c r="T34" s="108">
        <f t="shared" si="59"/>
        <v>0</v>
      </c>
      <c r="U34" s="429"/>
      <c r="V34" s="202"/>
      <c r="W34" s="429"/>
      <c r="X34" s="430">
        <f t="shared" si="60"/>
        <v>0</v>
      </c>
      <c r="Y34" s="429"/>
      <c r="Z34" s="202"/>
      <c r="AA34" s="429"/>
      <c r="AB34" s="430">
        <f>Z34-Y34</f>
        <v>0</v>
      </c>
      <c r="AC34" s="429"/>
      <c r="AD34" s="202"/>
      <c r="AE34" s="429"/>
      <c r="AF34" s="430"/>
      <c r="AG34" s="435">
        <f t="shared" si="3"/>
        <v>0</v>
      </c>
      <c r="AH34" s="432">
        <f t="shared" si="40"/>
        <v>0</v>
      </c>
      <c r="AI34" s="432"/>
      <c r="AJ34" s="432">
        <f t="shared" si="32"/>
        <v>0</v>
      </c>
      <c r="AK34" s="429"/>
      <c r="AL34" s="202"/>
      <c r="AM34" s="429"/>
      <c r="AN34" s="94">
        <f t="shared" si="50"/>
        <v>0</v>
      </c>
      <c r="AO34" s="94"/>
      <c r="AP34" s="432"/>
      <c r="AQ34" s="429"/>
      <c r="AR34" s="429">
        <f t="shared" si="51"/>
        <v>0</v>
      </c>
      <c r="AS34" s="429"/>
      <c r="AT34" s="432"/>
      <c r="AU34" s="429"/>
      <c r="AV34" s="429">
        <f t="shared" si="52"/>
        <v>0</v>
      </c>
      <c r="AW34" s="429"/>
      <c r="AX34" s="202"/>
      <c r="AY34" s="429"/>
      <c r="AZ34" s="429">
        <f t="shared" si="53"/>
        <v>0</v>
      </c>
      <c r="BA34" s="418">
        <f t="shared" si="8"/>
        <v>0</v>
      </c>
      <c r="BB34" s="15">
        <f t="shared" si="45"/>
        <v>0</v>
      </c>
      <c r="BC34" s="419"/>
      <c r="BD34" s="419">
        <f t="shared" si="54"/>
        <v>0</v>
      </c>
      <c r="BE34" s="94"/>
      <c r="BF34" s="419"/>
      <c r="BG34" s="94"/>
      <c r="BH34" s="94">
        <f t="shared" si="55"/>
        <v>0</v>
      </c>
      <c r="BI34" s="94"/>
      <c r="BJ34" s="419"/>
      <c r="BK34" s="418"/>
      <c r="BL34" s="419">
        <f t="shared" si="56"/>
        <v>0</v>
      </c>
      <c r="BM34" s="94"/>
      <c r="BN34" s="419"/>
      <c r="BO34" s="94"/>
      <c r="BP34" s="94">
        <f t="shared" si="57"/>
        <v>0</v>
      </c>
      <c r="BQ34" s="94"/>
      <c r="BR34" s="419"/>
      <c r="BS34" s="92">
        <v>0</v>
      </c>
      <c r="BT34" s="92">
        <f t="shared" si="19"/>
        <v>0</v>
      </c>
      <c r="BU34" s="94"/>
      <c r="BV34" s="419"/>
      <c r="BW34" s="94"/>
      <c r="BX34" s="108">
        <f t="shared" si="58"/>
        <v>0</v>
      </c>
      <c r="BY34" s="94"/>
      <c r="BZ34" s="16">
        <v>87.656000000000006</v>
      </c>
      <c r="CA34" s="474"/>
      <c r="CB34" s="108">
        <f t="shared" si="27"/>
        <v>87.656000000000006</v>
      </c>
      <c r="CC34" s="108"/>
      <c r="CD34" s="208">
        <v>4</v>
      </c>
      <c r="CE34" s="108"/>
      <c r="CF34" s="108"/>
      <c r="CG34" s="108"/>
      <c r="CH34" s="428"/>
      <c r="CI34" s="108"/>
      <c r="CJ34" s="108"/>
      <c r="CK34" s="418">
        <f t="shared" si="48"/>
        <v>0</v>
      </c>
      <c r="CL34" s="16">
        <f t="shared" si="46"/>
        <v>91.656000000000006</v>
      </c>
      <c r="CM34" s="419">
        <v>0</v>
      </c>
      <c r="CN34" s="419">
        <f t="shared" si="14"/>
        <v>91.656000000000006</v>
      </c>
      <c r="CP34" s="128">
        <f t="shared" si="15"/>
        <v>91.656000000000006</v>
      </c>
      <c r="CQ34" s="123">
        <f t="shared" si="16"/>
        <v>0</v>
      </c>
      <c r="CS34" s="132">
        <f t="shared" si="17"/>
        <v>91.656000000000006</v>
      </c>
      <c r="CT34" s="123">
        <f t="shared" si="21"/>
        <v>91.656000000000006</v>
      </c>
      <c r="CU34" s="123">
        <f t="shared" si="22"/>
        <v>91.656000000000006</v>
      </c>
      <c r="CV34" s="123">
        <f t="shared" si="23"/>
        <v>0</v>
      </c>
      <c r="CW34" s="123">
        <f t="shared" si="24"/>
        <v>0</v>
      </c>
      <c r="CX34" s="425"/>
      <c r="CY34" s="425"/>
    </row>
    <row r="35" spans="1:103" ht="12.75" customHeight="1">
      <c r="A35" s="108"/>
      <c r="B35" s="802" t="s">
        <v>817</v>
      </c>
      <c r="C35" s="803"/>
      <c r="D35" s="804"/>
      <c r="E35" s="94"/>
      <c r="F35" s="16"/>
      <c r="G35" s="94"/>
      <c r="H35" s="94">
        <f t="shared" si="0"/>
        <v>0</v>
      </c>
      <c r="I35" s="94"/>
      <c r="J35" s="16"/>
      <c r="K35" s="95"/>
      <c r="L35" s="94"/>
      <c r="M35" s="429">
        <f t="shared" si="47"/>
        <v>0</v>
      </c>
      <c r="N35" s="202"/>
      <c r="O35" s="429"/>
      <c r="P35" s="430">
        <f t="shared" si="29"/>
        <v>0</v>
      </c>
      <c r="Q35" s="429"/>
      <c r="R35" s="202"/>
      <c r="S35" s="429"/>
      <c r="T35" s="108">
        <f t="shared" si="59"/>
        <v>0</v>
      </c>
      <c r="U35" s="429"/>
      <c r="V35" s="202"/>
      <c r="W35" s="429"/>
      <c r="X35" s="430">
        <f t="shared" si="60"/>
        <v>0</v>
      </c>
      <c r="Y35" s="429"/>
      <c r="Z35" s="202"/>
      <c r="AA35" s="429"/>
      <c r="AB35" s="430"/>
      <c r="AC35" s="429"/>
      <c r="AD35" s="202"/>
      <c r="AE35" s="429"/>
      <c r="AF35" s="430">
        <f>AD35-AC35</f>
        <v>0</v>
      </c>
      <c r="AG35" s="435">
        <f t="shared" si="3"/>
        <v>0</v>
      </c>
      <c r="AH35" s="432">
        <f t="shared" si="40"/>
        <v>0</v>
      </c>
      <c r="AI35" s="432"/>
      <c r="AJ35" s="432">
        <f t="shared" si="32"/>
        <v>0</v>
      </c>
      <c r="AK35" s="429"/>
      <c r="AL35" s="202"/>
      <c r="AM35" s="429"/>
      <c r="AN35" s="94">
        <f t="shared" si="50"/>
        <v>0</v>
      </c>
      <c r="AO35" s="94"/>
      <c r="AP35" s="432"/>
      <c r="AQ35" s="429"/>
      <c r="AR35" s="429">
        <f t="shared" si="51"/>
        <v>0</v>
      </c>
      <c r="AS35" s="429"/>
      <c r="AT35" s="432"/>
      <c r="AU35" s="429"/>
      <c r="AV35" s="429">
        <f t="shared" si="52"/>
        <v>0</v>
      </c>
      <c r="AW35" s="429"/>
      <c r="AX35" s="202"/>
      <c r="AY35" s="429"/>
      <c r="AZ35" s="429">
        <f t="shared" si="53"/>
        <v>0</v>
      </c>
      <c r="BA35" s="418">
        <f t="shared" si="8"/>
        <v>0</v>
      </c>
      <c r="BB35" s="15">
        <f t="shared" si="45"/>
        <v>0</v>
      </c>
      <c r="BC35" s="419"/>
      <c r="BD35" s="419">
        <f t="shared" si="54"/>
        <v>0</v>
      </c>
      <c r="BE35" s="94"/>
      <c r="BF35" s="432"/>
      <c r="BG35" s="429"/>
      <c r="BH35" s="429">
        <f t="shared" si="55"/>
        <v>0</v>
      </c>
      <c r="BI35" s="429"/>
      <c r="BJ35" s="432"/>
      <c r="BK35" s="435"/>
      <c r="BL35" s="432">
        <f t="shared" si="56"/>
        <v>0</v>
      </c>
      <c r="BM35" s="429"/>
      <c r="BN35" s="432"/>
      <c r="BO35" s="429"/>
      <c r="BP35" s="429">
        <f t="shared" si="57"/>
        <v>0</v>
      </c>
      <c r="BQ35" s="429"/>
      <c r="BR35" s="432"/>
      <c r="BS35" s="436">
        <v>0</v>
      </c>
      <c r="BT35" s="92">
        <f t="shared" si="19"/>
        <v>0</v>
      </c>
      <c r="BU35" s="94"/>
      <c r="BV35" s="419"/>
      <c r="BW35" s="94"/>
      <c r="BX35" s="108">
        <f t="shared" si="58"/>
        <v>0</v>
      </c>
      <c r="BY35" s="203">
        <v>720</v>
      </c>
      <c r="BZ35" s="202">
        <v>253.714</v>
      </c>
      <c r="CA35" s="474">
        <f t="shared" si="61"/>
        <v>35.238055555555555</v>
      </c>
      <c r="CB35" s="430"/>
      <c r="CC35" s="430"/>
      <c r="CD35" s="206"/>
      <c r="CE35" s="430"/>
      <c r="CF35" s="430"/>
      <c r="CG35" s="430"/>
      <c r="CH35" s="442"/>
      <c r="CI35" s="430"/>
      <c r="CJ35" s="430"/>
      <c r="CK35" s="418">
        <f t="shared" si="48"/>
        <v>720</v>
      </c>
      <c r="CL35" s="202">
        <f t="shared" si="46"/>
        <v>253.714</v>
      </c>
      <c r="CM35" s="419"/>
      <c r="CN35" s="419">
        <f t="shared" si="14"/>
        <v>-466.286</v>
      </c>
      <c r="CP35" s="128">
        <f t="shared" si="15"/>
        <v>253.714</v>
      </c>
      <c r="CQ35" s="123">
        <f t="shared" si="16"/>
        <v>720</v>
      </c>
      <c r="CS35" s="132">
        <f t="shared" si="17"/>
        <v>253.714</v>
      </c>
      <c r="CT35" s="123">
        <f t="shared" si="21"/>
        <v>253.714</v>
      </c>
      <c r="CU35" s="123">
        <f t="shared" si="22"/>
        <v>253.714</v>
      </c>
      <c r="CV35" s="123">
        <f t="shared" si="23"/>
        <v>0</v>
      </c>
      <c r="CW35" s="123">
        <f t="shared" si="24"/>
        <v>720</v>
      </c>
      <c r="CX35" s="425"/>
      <c r="CY35" s="425"/>
    </row>
    <row r="36" spans="1:103">
      <c r="A36" s="108"/>
      <c r="B36" s="802" t="s">
        <v>242</v>
      </c>
      <c r="C36" s="803"/>
      <c r="D36" s="804"/>
      <c r="E36" s="94"/>
      <c r="F36" s="16"/>
      <c r="G36" s="94"/>
      <c r="H36" s="94">
        <f t="shared" si="0"/>
        <v>0</v>
      </c>
      <c r="I36" s="94"/>
      <c r="J36" s="16"/>
      <c r="K36" s="95"/>
      <c r="L36" s="94"/>
      <c r="M36" s="94">
        <f t="shared" si="47"/>
        <v>0</v>
      </c>
      <c r="N36" s="202"/>
      <c r="O36" s="429"/>
      <c r="P36" s="430">
        <f>N36-M36</f>
        <v>0</v>
      </c>
      <c r="Q36" s="429"/>
      <c r="R36" s="202"/>
      <c r="S36" s="429"/>
      <c r="T36" s="108">
        <f t="shared" si="59"/>
        <v>0</v>
      </c>
      <c r="U36" s="429"/>
      <c r="V36" s="202"/>
      <c r="W36" s="429"/>
      <c r="X36" s="430">
        <f t="shared" si="60"/>
        <v>0</v>
      </c>
      <c r="Y36" s="429"/>
      <c r="Z36" s="202"/>
      <c r="AA36" s="429"/>
      <c r="AB36" s="430">
        <f t="shared" ref="AB36:AB49" si="62">Z36-Y36</f>
        <v>0</v>
      </c>
      <c r="AC36" s="429"/>
      <c r="AD36" s="202"/>
      <c r="AE36" s="429"/>
      <c r="AF36" s="430"/>
      <c r="AG36" s="435">
        <f t="shared" si="3"/>
        <v>0</v>
      </c>
      <c r="AH36" s="432">
        <f t="shared" si="40"/>
        <v>0</v>
      </c>
      <c r="AI36" s="432"/>
      <c r="AJ36" s="432">
        <f t="shared" si="32"/>
        <v>0</v>
      </c>
      <c r="AK36" s="429"/>
      <c r="AL36" s="202"/>
      <c r="AM36" s="429"/>
      <c r="AN36" s="94">
        <f t="shared" si="50"/>
        <v>0</v>
      </c>
      <c r="AO36" s="94"/>
      <c r="AP36" s="432"/>
      <c r="AQ36" s="429"/>
      <c r="AR36" s="429">
        <f t="shared" si="51"/>
        <v>0</v>
      </c>
      <c r="AS36" s="429"/>
      <c r="AT36" s="432"/>
      <c r="AU36" s="429"/>
      <c r="AV36" s="429">
        <f t="shared" si="52"/>
        <v>0</v>
      </c>
      <c r="AW36" s="429"/>
      <c r="AX36" s="202"/>
      <c r="AY36" s="429"/>
      <c r="AZ36" s="429">
        <f t="shared" si="53"/>
        <v>0</v>
      </c>
      <c r="BA36" s="418">
        <f t="shared" si="8"/>
        <v>0</v>
      </c>
      <c r="BB36" s="15">
        <f t="shared" si="45"/>
        <v>0</v>
      </c>
      <c r="BC36" s="419"/>
      <c r="BD36" s="419">
        <f t="shared" si="54"/>
        <v>0</v>
      </c>
      <c r="BE36" s="94"/>
      <c r="BF36" s="432"/>
      <c r="BG36" s="429"/>
      <c r="BH36" s="429">
        <f t="shared" si="55"/>
        <v>0</v>
      </c>
      <c r="BI36" s="429"/>
      <c r="BJ36" s="432"/>
      <c r="BK36" s="435"/>
      <c r="BL36" s="432">
        <f t="shared" si="56"/>
        <v>0</v>
      </c>
      <c r="BM36" s="429"/>
      <c r="BN36" s="432"/>
      <c r="BO36" s="429"/>
      <c r="BP36" s="429">
        <f t="shared" si="57"/>
        <v>0</v>
      </c>
      <c r="BQ36" s="429"/>
      <c r="BR36" s="432"/>
      <c r="BS36" s="436"/>
      <c r="BT36" s="92">
        <f t="shared" si="19"/>
        <v>0</v>
      </c>
      <c r="BU36" s="94"/>
      <c r="BV36" s="419"/>
      <c r="BW36" s="94"/>
      <c r="BX36" s="108">
        <f t="shared" si="58"/>
        <v>0</v>
      </c>
      <c r="BY36" s="429"/>
      <c r="BZ36" s="202"/>
      <c r="CA36" s="474"/>
      <c r="CB36" s="430"/>
      <c r="CC36" s="430"/>
      <c r="CD36" s="206"/>
      <c r="CE36" s="430"/>
      <c r="CF36" s="430"/>
      <c r="CG36" s="430"/>
      <c r="CH36" s="442"/>
      <c r="CI36" s="430"/>
      <c r="CJ36" s="430"/>
      <c r="CK36" s="418">
        <f t="shared" si="48"/>
        <v>0</v>
      </c>
      <c r="CL36" s="202">
        <f t="shared" si="46"/>
        <v>0</v>
      </c>
      <c r="CM36" s="419"/>
      <c r="CN36" s="419">
        <f t="shared" si="14"/>
        <v>0</v>
      </c>
      <c r="CP36" s="128">
        <f t="shared" si="15"/>
        <v>0</v>
      </c>
      <c r="CQ36" s="123">
        <f t="shared" si="16"/>
        <v>0</v>
      </c>
      <c r="CS36" s="132">
        <f t="shared" si="17"/>
        <v>0</v>
      </c>
      <c r="CT36" s="123">
        <f t="shared" si="21"/>
        <v>0</v>
      </c>
      <c r="CU36" s="123">
        <f t="shared" si="22"/>
        <v>0</v>
      </c>
      <c r="CV36" s="123">
        <f t="shared" si="23"/>
        <v>0</v>
      </c>
      <c r="CW36" s="123">
        <f t="shared" si="24"/>
        <v>0</v>
      </c>
      <c r="CX36" s="425"/>
      <c r="CY36" s="425"/>
    </row>
    <row r="37" spans="1:103" ht="13.5" customHeight="1">
      <c r="A37" s="108"/>
      <c r="B37" s="802" t="s">
        <v>451</v>
      </c>
      <c r="C37" s="803"/>
      <c r="D37" s="804"/>
      <c r="E37" s="419">
        <v>5</v>
      </c>
      <c r="F37" s="16"/>
      <c r="G37" s="94"/>
      <c r="H37" s="94">
        <f t="shared" si="0"/>
        <v>-5</v>
      </c>
      <c r="I37" s="94">
        <v>28</v>
      </c>
      <c r="J37" s="16">
        <v>25.896000000000001</v>
      </c>
      <c r="K37" s="95">
        <f>J37/I37*100</f>
        <v>92.485714285714295</v>
      </c>
      <c r="L37" s="94">
        <f>J37-I37</f>
        <v>-2.1039999999999992</v>
      </c>
      <c r="M37" s="94">
        <v>23</v>
      </c>
      <c r="N37" s="202"/>
      <c r="O37" s="429"/>
      <c r="P37" s="430">
        <f>N37-M37</f>
        <v>-23</v>
      </c>
      <c r="Q37" s="429">
        <v>36</v>
      </c>
      <c r="R37" s="202">
        <v>48.362000000000002</v>
      </c>
      <c r="S37" s="429">
        <f>R37/Q37*100</f>
        <v>134.3388888888889</v>
      </c>
      <c r="T37" s="108">
        <f t="shared" si="59"/>
        <v>12.362000000000002</v>
      </c>
      <c r="U37" s="429">
        <v>10</v>
      </c>
      <c r="V37" s="202"/>
      <c r="W37" s="429"/>
      <c r="X37" s="430">
        <f t="shared" si="60"/>
        <v>-10</v>
      </c>
      <c r="Y37" s="429">
        <v>15</v>
      </c>
      <c r="Z37" s="202"/>
      <c r="AA37" s="429"/>
      <c r="AB37" s="430">
        <f t="shared" si="62"/>
        <v>-15</v>
      </c>
      <c r="AC37" s="429">
        <v>15</v>
      </c>
      <c r="AD37" s="202">
        <v>13.898999999999999</v>
      </c>
      <c r="AE37" s="429">
        <f>AD37/AC37*100</f>
        <v>92.66</v>
      </c>
      <c r="AF37" s="430">
        <f>AD37-AC37</f>
        <v>-1.1010000000000009</v>
      </c>
      <c r="AG37" s="435">
        <f t="shared" si="3"/>
        <v>132</v>
      </c>
      <c r="AH37" s="432">
        <f t="shared" si="40"/>
        <v>88.157000000000011</v>
      </c>
      <c r="AI37" s="432">
        <f t="shared" si="35"/>
        <v>66.785606060606071</v>
      </c>
      <c r="AJ37" s="432">
        <f t="shared" si="32"/>
        <v>-43.842999999999989</v>
      </c>
      <c r="AK37" s="429"/>
      <c r="AL37" s="202"/>
      <c r="AM37" s="429"/>
      <c r="AN37" s="94">
        <f t="shared" si="50"/>
        <v>0</v>
      </c>
      <c r="AO37" s="94"/>
      <c r="AP37" s="432"/>
      <c r="AQ37" s="429"/>
      <c r="AR37" s="429">
        <f t="shared" si="51"/>
        <v>0</v>
      </c>
      <c r="AS37" s="429"/>
      <c r="AT37" s="432"/>
      <c r="AU37" s="429"/>
      <c r="AV37" s="429">
        <f t="shared" si="52"/>
        <v>0</v>
      </c>
      <c r="AW37" s="429"/>
      <c r="AX37" s="202"/>
      <c r="AY37" s="429"/>
      <c r="AZ37" s="429">
        <f t="shared" si="53"/>
        <v>0</v>
      </c>
      <c r="BA37" s="418">
        <f t="shared" si="8"/>
        <v>0</v>
      </c>
      <c r="BB37" s="15">
        <f t="shared" si="45"/>
        <v>0</v>
      </c>
      <c r="BC37" s="419"/>
      <c r="BD37" s="419">
        <f t="shared" si="54"/>
        <v>0</v>
      </c>
      <c r="BE37" s="94"/>
      <c r="BF37" s="432"/>
      <c r="BG37" s="429"/>
      <c r="BH37" s="429">
        <f t="shared" si="55"/>
        <v>0</v>
      </c>
      <c r="BI37" s="429"/>
      <c r="BJ37" s="432"/>
      <c r="BK37" s="435"/>
      <c r="BL37" s="432">
        <f t="shared" si="56"/>
        <v>0</v>
      </c>
      <c r="BM37" s="429"/>
      <c r="BN37" s="432"/>
      <c r="BO37" s="429"/>
      <c r="BP37" s="429">
        <f t="shared" si="57"/>
        <v>0</v>
      </c>
      <c r="BQ37" s="429"/>
      <c r="BR37" s="432"/>
      <c r="BS37" s="436">
        <v>0</v>
      </c>
      <c r="BT37" s="92">
        <f t="shared" si="19"/>
        <v>0</v>
      </c>
      <c r="BU37" s="94"/>
      <c r="BV37" s="419"/>
      <c r="BW37" s="94"/>
      <c r="BX37" s="108">
        <f t="shared" si="58"/>
        <v>0</v>
      </c>
      <c r="BY37" s="429"/>
      <c r="BZ37" s="202"/>
      <c r="CA37" s="474"/>
      <c r="CB37" s="430">
        <f t="shared" si="27"/>
        <v>0</v>
      </c>
      <c r="CC37" s="430"/>
      <c r="CD37" s="206"/>
      <c r="CE37" s="430"/>
      <c r="CF37" s="430"/>
      <c r="CG37" s="430"/>
      <c r="CH37" s="442"/>
      <c r="CI37" s="430"/>
      <c r="CJ37" s="430"/>
      <c r="CK37" s="418">
        <f t="shared" si="48"/>
        <v>132</v>
      </c>
      <c r="CL37" s="202">
        <f t="shared" si="46"/>
        <v>88.157000000000011</v>
      </c>
      <c r="CM37" s="419">
        <f t="shared" si="13"/>
        <v>66.785606060606071</v>
      </c>
      <c r="CN37" s="419">
        <f t="shared" si="14"/>
        <v>-43.842999999999989</v>
      </c>
      <c r="CP37" s="128">
        <f t="shared" si="15"/>
        <v>88.157000000000011</v>
      </c>
      <c r="CQ37" s="123">
        <f t="shared" si="16"/>
        <v>132</v>
      </c>
      <c r="CS37" s="132">
        <f t="shared" si="17"/>
        <v>88.157000000000011</v>
      </c>
      <c r="CT37" s="123">
        <f t="shared" si="21"/>
        <v>88.157000000000011</v>
      </c>
      <c r="CU37" s="123">
        <f t="shared" si="22"/>
        <v>88.157000000000011</v>
      </c>
      <c r="CV37" s="123">
        <f t="shared" si="23"/>
        <v>88.157000000000011</v>
      </c>
      <c r="CW37" s="123">
        <f t="shared" si="24"/>
        <v>132</v>
      </c>
      <c r="CX37" s="425"/>
      <c r="CY37" s="425"/>
    </row>
    <row r="38" spans="1:103">
      <c r="A38" s="108"/>
      <c r="B38" s="802" t="s">
        <v>212</v>
      </c>
      <c r="C38" s="803"/>
      <c r="D38" s="804"/>
      <c r="E38" s="419"/>
      <c r="F38" s="16"/>
      <c r="G38" s="94"/>
      <c r="H38" s="94">
        <f t="shared" si="0"/>
        <v>0</v>
      </c>
      <c r="I38" s="94"/>
      <c r="J38" s="16"/>
      <c r="K38" s="95"/>
      <c r="L38" s="94">
        <f>J38-I38</f>
        <v>0</v>
      </c>
      <c r="M38" s="94">
        <f t="shared" si="47"/>
        <v>0</v>
      </c>
      <c r="N38" s="202"/>
      <c r="O38" s="429"/>
      <c r="P38" s="430">
        <f t="shared" si="29"/>
        <v>0</v>
      </c>
      <c r="Q38" s="429"/>
      <c r="R38" s="202"/>
      <c r="S38" s="429"/>
      <c r="T38" s="108">
        <f t="shared" si="59"/>
        <v>0</v>
      </c>
      <c r="U38" s="429"/>
      <c r="V38" s="202"/>
      <c r="W38" s="429"/>
      <c r="X38" s="430">
        <f t="shared" si="60"/>
        <v>0</v>
      </c>
      <c r="Y38" s="429"/>
      <c r="Z38" s="202"/>
      <c r="AA38" s="429"/>
      <c r="AB38" s="430">
        <f t="shared" si="62"/>
        <v>0</v>
      </c>
      <c r="AC38" s="429"/>
      <c r="AD38" s="202"/>
      <c r="AE38" s="429"/>
      <c r="AF38" s="430">
        <f>AD38-AC38</f>
        <v>0</v>
      </c>
      <c r="AG38" s="435">
        <f t="shared" si="3"/>
        <v>0</v>
      </c>
      <c r="AH38" s="432">
        <f t="shared" si="40"/>
        <v>0</v>
      </c>
      <c r="AI38" s="432"/>
      <c r="AJ38" s="432">
        <f t="shared" si="32"/>
        <v>0</v>
      </c>
      <c r="AK38" s="429"/>
      <c r="AL38" s="202"/>
      <c r="AM38" s="429"/>
      <c r="AN38" s="94">
        <f t="shared" si="50"/>
        <v>0</v>
      </c>
      <c r="AO38" s="94"/>
      <c r="AP38" s="432"/>
      <c r="AQ38" s="429"/>
      <c r="AR38" s="429">
        <f t="shared" si="51"/>
        <v>0</v>
      </c>
      <c r="AS38" s="429"/>
      <c r="AT38" s="432"/>
      <c r="AU38" s="429"/>
      <c r="AV38" s="429">
        <f t="shared" si="52"/>
        <v>0</v>
      </c>
      <c r="AW38" s="429"/>
      <c r="AX38" s="202"/>
      <c r="AY38" s="429"/>
      <c r="AZ38" s="429">
        <f t="shared" si="53"/>
        <v>0</v>
      </c>
      <c r="BA38" s="418">
        <f t="shared" si="8"/>
        <v>0</v>
      </c>
      <c r="BB38" s="15">
        <f t="shared" si="45"/>
        <v>0</v>
      </c>
      <c r="BC38" s="419"/>
      <c r="BD38" s="419">
        <f t="shared" si="54"/>
        <v>0</v>
      </c>
      <c r="BE38" s="94"/>
      <c r="BF38" s="432"/>
      <c r="BG38" s="429"/>
      <c r="BH38" s="429">
        <f t="shared" si="55"/>
        <v>0</v>
      </c>
      <c r="BI38" s="429"/>
      <c r="BJ38" s="432"/>
      <c r="BK38" s="435"/>
      <c r="BL38" s="432">
        <f t="shared" si="56"/>
        <v>0</v>
      </c>
      <c r="BM38" s="429"/>
      <c r="BN38" s="432"/>
      <c r="BO38" s="429"/>
      <c r="BP38" s="429">
        <f t="shared" si="57"/>
        <v>0</v>
      </c>
      <c r="BQ38" s="429"/>
      <c r="BR38" s="432"/>
      <c r="BS38" s="436">
        <v>0</v>
      </c>
      <c r="BT38" s="92">
        <f t="shared" si="19"/>
        <v>0</v>
      </c>
      <c r="BU38" s="94">
        <v>7</v>
      </c>
      <c r="BV38" s="419"/>
      <c r="BW38" s="95"/>
      <c r="BX38" s="108">
        <f t="shared" si="58"/>
        <v>-7</v>
      </c>
      <c r="BY38" s="203">
        <v>20</v>
      </c>
      <c r="BZ38" s="202">
        <v>12.8</v>
      </c>
      <c r="CA38" s="474">
        <f t="shared" si="61"/>
        <v>64</v>
      </c>
      <c r="CB38" s="430">
        <f t="shared" si="27"/>
        <v>-7.1999999999999993</v>
      </c>
      <c r="CC38" s="205">
        <v>2</v>
      </c>
      <c r="CD38" s="206"/>
      <c r="CE38" s="430"/>
      <c r="CF38" s="430"/>
      <c r="CG38" s="205"/>
      <c r="CH38" s="442"/>
      <c r="CI38" s="430"/>
      <c r="CJ38" s="430"/>
      <c r="CK38" s="418">
        <f t="shared" si="48"/>
        <v>29</v>
      </c>
      <c r="CL38" s="202">
        <f t="shared" si="46"/>
        <v>12.8</v>
      </c>
      <c r="CM38" s="419">
        <f t="shared" si="13"/>
        <v>44.137931034482762</v>
      </c>
      <c r="CN38" s="419">
        <f t="shared" si="14"/>
        <v>-16.2</v>
      </c>
      <c r="CP38" s="128">
        <f t="shared" si="15"/>
        <v>12.8</v>
      </c>
      <c r="CQ38" s="123">
        <f t="shared" si="16"/>
        <v>29</v>
      </c>
      <c r="CS38" s="132">
        <f t="shared" si="17"/>
        <v>12.8</v>
      </c>
      <c r="CT38" s="123">
        <f t="shared" si="21"/>
        <v>12.8</v>
      </c>
      <c r="CU38" s="123">
        <f t="shared" si="22"/>
        <v>12.8</v>
      </c>
      <c r="CV38" s="123">
        <f t="shared" si="23"/>
        <v>0</v>
      </c>
      <c r="CW38" s="123">
        <f t="shared" si="24"/>
        <v>29</v>
      </c>
      <c r="CX38" s="425"/>
      <c r="CY38" s="425"/>
    </row>
    <row r="39" spans="1:103">
      <c r="A39" s="108"/>
      <c r="B39" s="802" t="s">
        <v>815</v>
      </c>
      <c r="C39" s="803"/>
      <c r="D39" s="804"/>
      <c r="E39" s="419"/>
      <c r="F39" s="16"/>
      <c r="G39" s="94"/>
      <c r="H39" s="94">
        <f t="shared" si="0"/>
        <v>0</v>
      </c>
      <c r="I39" s="94"/>
      <c r="J39" s="16"/>
      <c r="K39" s="95"/>
      <c r="L39" s="94"/>
      <c r="M39" s="94">
        <f t="shared" si="47"/>
        <v>0</v>
      </c>
      <c r="N39" s="202"/>
      <c r="O39" s="429"/>
      <c r="P39" s="430"/>
      <c r="Q39" s="429"/>
      <c r="R39" s="202"/>
      <c r="S39" s="429"/>
      <c r="T39" s="108"/>
      <c r="U39" s="429"/>
      <c r="V39" s="202"/>
      <c r="W39" s="429"/>
      <c r="X39" s="430">
        <f t="shared" si="60"/>
        <v>0</v>
      </c>
      <c r="Y39" s="429"/>
      <c r="Z39" s="202"/>
      <c r="AA39" s="429"/>
      <c r="AB39" s="430">
        <f t="shared" si="62"/>
        <v>0</v>
      </c>
      <c r="AC39" s="429"/>
      <c r="AD39" s="202"/>
      <c r="AE39" s="429"/>
      <c r="AF39" s="430"/>
      <c r="AG39" s="435">
        <f t="shared" si="3"/>
        <v>0</v>
      </c>
      <c r="AH39" s="432">
        <f t="shared" si="40"/>
        <v>0</v>
      </c>
      <c r="AI39" s="432"/>
      <c r="AJ39" s="432">
        <f t="shared" si="32"/>
        <v>0</v>
      </c>
      <c r="AK39" s="429"/>
      <c r="AL39" s="202"/>
      <c r="AM39" s="429"/>
      <c r="AN39" s="94">
        <f t="shared" si="50"/>
        <v>0</v>
      </c>
      <c r="AO39" s="94"/>
      <c r="AP39" s="432"/>
      <c r="AQ39" s="429"/>
      <c r="AR39" s="429">
        <f t="shared" si="51"/>
        <v>0</v>
      </c>
      <c r="AS39" s="429"/>
      <c r="AT39" s="432"/>
      <c r="AU39" s="429"/>
      <c r="AV39" s="429">
        <f t="shared" si="52"/>
        <v>0</v>
      </c>
      <c r="AW39" s="429"/>
      <c r="AX39" s="202"/>
      <c r="AY39" s="429"/>
      <c r="AZ39" s="429">
        <f t="shared" si="53"/>
        <v>0</v>
      </c>
      <c r="BA39" s="418">
        <f t="shared" si="8"/>
        <v>0</v>
      </c>
      <c r="BB39" s="15">
        <f t="shared" si="45"/>
        <v>0</v>
      </c>
      <c r="BC39" s="419"/>
      <c r="BD39" s="419">
        <f t="shared" si="54"/>
        <v>0</v>
      </c>
      <c r="BE39" s="94"/>
      <c r="BF39" s="432"/>
      <c r="BG39" s="429"/>
      <c r="BH39" s="429">
        <f t="shared" si="55"/>
        <v>0</v>
      </c>
      <c r="BI39" s="429"/>
      <c r="BJ39" s="432"/>
      <c r="BK39" s="435"/>
      <c r="BL39" s="432">
        <f t="shared" si="56"/>
        <v>0</v>
      </c>
      <c r="BM39" s="429"/>
      <c r="BN39" s="432"/>
      <c r="BO39" s="429"/>
      <c r="BP39" s="429">
        <f t="shared" si="57"/>
        <v>0</v>
      </c>
      <c r="BQ39" s="429"/>
      <c r="BR39" s="432"/>
      <c r="BS39" s="436"/>
      <c r="BT39" s="92">
        <f t="shared" si="19"/>
        <v>0</v>
      </c>
      <c r="BU39" s="94"/>
      <c r="BV39" s="419"/>
      <c r="BW39" s="94"/>
      <c r="BX39" s="108">
        <f t="shared" si="58"/>
        <v>0</v>
      </c>
      <c r="BY39" s="429"/>
      <c r="BZ39" s="202"/>
      <c r="CA39" s="474"/>
      <c r="CB39" s="430"/>
      <c r="CC39" s="430"/>
      <c r="CD39" s="206"/>
      <c r="CE39" s="430"/>
      <c r="CF39" s="430"/>
      <c r="CG39" s="430"/>
      <c r="CH39" s="442"/>
      <c r="CI39" s="430"/>
      <c r="CJ39" s="430"/>
      <c r="CK39" s="418">
        <f t="shared" si="48"/>
        <v>0</v>
      </c>
      <c r="CL39" s="202">
        <f t="shared" si="46"/>
        <v>0</v>
      </c>
      <c r="CM39" s="419"/>
      <c r="CN39" s="419">
        <f t="shared" si="14"/>
        <v>0</v>
      </c>
      <c r="CP39" s="128">
        <f t="shared" si="15"/>
        <v>0</v>
      </c>
      <c r="CQ39" s="123">
        <f t="shared" si="16"/>
        <v>0</v>
      </c>
      <c r="CS39" s="132">
        <f t="shared" si="17"/>
        <v>0</v>
      </c>
      <c r="CT39" s="123">
        <f t="shared" si="21"/>
        <v>0</v>
      </c>
      <c r="CU39" s="123">
        <f t="shared" si="22"/>
        <v>0</v>
      </c>
      <c r="CV39" s="123">
        <f t="shared" si="23"/>
        <v>0</v>
      </c>
      <c r="CW39" s="123">
        <f t="shared" si="24"/>
        <v>0</v>
      </c>
      <c r="CX39" s="425"/>
      <c r="CY39" s="425"/>
    </row>
    <row r="40" spans="1:103">
      <c r="A40" s="108"/>
      <c r="B40" s="802" t="s">
        <v>818</v>
      </c>
      <c r="C40" s="803"/>
      <c r="D40" s="804"/>
      <c r="E40" s="419"/>
      <c r="F40" s="16"/>
      <c r="G40" s="94"/>
      <c r="H40" s="94">
        <f t="shared" si="0"/>
        <v>0</v>
      </c>
      <c r="I40" s="94"/>
      <c r="J40" s="16"/>
      <c r="K40" s="95"/>
      <c r="L40" s="94">
        <f>J40-I40</f>
        <v>0</v>
      </c>
      <c r="M40" s="94">
        <f t="shared" si="47"/>
        <v>0</v>
      </c>
      <c r="N40" s="202"/>
      <c r="O40" s="429"/>
      <c r="P40" s="430">
        <f t="shared" si="29"/>
        <v>0</v>
      </c>
      <c r="Q40" s="429"/>
      <c r="R40" s="202"/>
      <c r="S40" s="429"/>
      <c r="T40" s="108">
        <f t="shared" si="59"/>
        <v>0</v>
      </c>
      <c r="U40" s="429"/>
      <c r="V40" s="202"/>
      <c r="W40" s="429"/>
      <c r="X40" s="430">
        <f t="shared" si="60"/>
        <v>0</v>
      </c>
      <c r="Y40" s="429"/>
      <c r="Z40" s="202"/>
      <c r="AA40" s="429"/>
      <c r="AB40" s="430">
        <f t="shared" si="62"/>
        <v>0</v>
      </c>
      <c r="AC40" s="429"/>
      <c r="AD40" s="202"/>
      <c r="AE40" s="429"/>
      <c r="AF40" s="430"/>
      <c r="AG40" s="435">
        <f t="shared" si="3"/>
        <v>0</v>
      </c>
      <c r="AH40" s="432">
        <f t="shared" si="40"/>
        <v>0</v>
      </c>
      <c r="AI40" s="432"/>
      <c r="AJ40" s="432">
        <f t="shared" si="32"/>
        <v>0</v>
      </c>
      <c r="AK40" s="429"/>
      <c r="AL40" s="202"/>
      <c r="AM40" s="429"/>
      <c r="AN40" s="94">
        <f t="shared" si="50"/>
        <v>0</v>
      </c>
      <c r="AO40" s="94"/>
      <c r="AP40" s="432"/>
      <c r="AQ40" s="429"/>
      <c r="AR40" s="429">
        <f t="shared" si="51"/>
        <v>0</v>
      </c>
      <c r="AS40" s="429"/>
      <c r="AT40" s="432"/>
      <c r="AU40" s="429"/>
      <c r="AV40" s="429">
        <f t="shared" si="52"/>
        <v>0</v>
      </c>
      <c r="AW40" s="429"/>
      <c r="AX40" s="202"/>
      <c r="AY40" s="429"/>
      <c r="AZ40" s="429">
        <f t="shared" si="53"/>
        <v>0</v>
      </c>
      <c r="BA40" s="418">
        <f t="shared" si="8"/>
        <v>0</v>
      </c>
      <c r="BB40" s="15">
        <f t="shared" si="45"/>
        <v>0</v>
      </c>
      <c r="BC40" s="419"/>
      <c r="BD40" s="419">
        <f t="shared" si="54"/>
        <v>0</v>
      </c>
      <c r="BE40" s="94"/>
      <c r="BF40" s="432"/>
      <c r="BG40" s="429"/>
      <c r="BH40" s="429">
        <f t="shared" si="55"/>
        <v>0</v>
      </c>
      <c r="BI40" s="429"/>
      <c r="BJ40" s="432"/>
      <c r="BK40" s="435"/>
      <c r="BL40" s="432">
        <f t="shared" si="56"/>
        <v>0</v>
      </c>
      <c r="BM40" s="429"/>
      <c r="BN40" s="432"/>
      <c r="BO40" s="429"/>
      <c r="BP40" s="429">
        <f t="shared" si="57"/>
        <v>0</v>
      </c>
      <c r="BQ40" s="429"/>
      <c r="BR40" s="432"/>
      <c r="BS40" s="436"/>
      <c r="BT40" s="92">
        <f t="shared" si="19"/>
        <v>0</v>
      </c>
      <c r="BU40" s="94"/>
      <c r="BV40" s="419"/>
      <c r="BW40" s="94"/>
      <c r="BX40" s="108">
        <f t="shared" si="58"/>
        <v>0</v>
      </c>
      <c r="BY40" s="429"/>
      <c r="BZ40" s="202"/>
      <c r="CA40" s="474"/>
      <c r="CB40" s="430">
        <f t="shared" si="27"/>
        <v>0</v>
      </c>
      <c r="CC40" s="430"/>
      <c r="CD40" s="206"/>
      <c r="CE40" s="430"/>
      <c r="CF40" s="430"/>
      <c r="CG40" s="430"/>
      <c r="CH40" s="442"/>
      <c r="CI40" s="430"/>
      <c r="CJ40" s="430"/>
      <c r="CK40" s="418">
        <f t="shared" si="48"/>
        <v>0</v>
      </c>
      <c r="CL40" s="202">
        <f t="shared" si="46"/>
        <v>0</v>
      </c>
      <c r="CM40" s="419"/>
      <c r="CN40" s="419">
        <f t="shared" si="14"/>
        <v>0</v>
      </c>
      <c r="CP40" s="128">
        <f t="shared" ref="CP40:CP75" si="63">F40+J40+N40+R40+V40+Z40+AD40+AL40+AP40+AT40+AX40+BF40+BJ40+BN40+BV40+BZ40+CD40</f>
        <v>0</v>
      </c>
      <c r="CQ40" s="123">
        <f t="shared" ref="CQ40:CQ76" si="64">E40+I40+M40+Q40+U40+Y40+AC40+AG40+AK40+AO40+AS40+AW40+BE40+BI40+BM40+BU40+BY40+CC40-AG40</f>
        <v>0</v>
      </c>
      <c r="CS40" s="132">
        <f t="shared" ref="CS40:CS76" si="65">F40+J40+N40+R40+V40+Z40+AD40+AL40+AP40+AT40+AX40+BF40+BJ40+BN40+BV40+BZ40+CD40</f>
        <v>0</v>
      </c>
      <c r="CT40" s="123">
        <f t="shared" si="21"/>
        <v>0</v>
      </c>
      <c r="CU40" s="123">
        <f t="shared" si="22"/>
        <v>0</v>
      </c>
      <c r="CV40" s="123">
        <f t="shared" si="23"/>
        <v>0</v>
      </c>
      <c r="CW40" s="123">
        <f t="shared" si="24"/>
        <v>0</v>
      </c>
      <c r="CX40" s="425"/>
      <c r="CY40" s="425"/>
    </row>
    <row r="41" spans="1:103" ht="12.75" customHeight="1">
      <c r="A41" s="108"/>
      <c r="B41" s="781" t="s">
        <v>821</v>
      </c>
      <c r="C41" s="782"/>
      <c r="D41" s="783"/>
      <c r="E41" s="419"/>
      <c r="F41" s="16"/>
      <c r="G41" s="94"/>
      <c r="H41" s="94">
        <f t="shared" si="0"/>
        <v>0</v>
      </c>
      <c r="I41" s="94"/>
      <c r="J41" s="16"/>
      <c r="K41" s="95"/>
      <c r="L41" s="94">
        <f>J41-I41</f>
        <v>0</v>
      </c>
      <c r="M41" s="94">
        <f t="shared" si="47"/>
        <v>0</v>
      </c>
      <c r="N41" s="202"/>
      <c r="O41" s="429"/>
      <c r="P41" s="430">
        <f t="shared" si="29"/>
        <v>0</v>
      </c>
      <c r="Q41" s="429"/>
      <c r="R41" s="202"/>
      <c r="S41" s="429"/>
      <c r="T41" s="108">
        <f t="shared" si="59"/>
        <v>0</v>
      </c>
      <c r="U41" s="94"/>
      <c r="V41" s="202"/>
      <c r="W41" s="429"/>
      <c r="X41" s="430">
        <f t="shared" si="60"/>
        <v>0</v>
      </c>
      <c r="Y41" s="429"/>
      <c r="Z41" s="202"/>
      <c r="AA41" s="429"/>
      <c r="AB41" s="430">
        <f t="shared" si="62"/>
        <v>0</v>
      </c>
      <c r="AC41" s="429"/>
      <c r="AD41" s="202"/>
      <c r="AE41" s="429"/>
      <c r="AF41" s="430"/>
      <c r="AG41" s="418">
        <f t="shared" si="3"/>
        <v>0</v>
      </c>
      <c r="AH41" s="432">
        <f t="shared" si="40"/>
        <v>0</v>
      </c>
      <c r="AI41" s="419"/>
      <c r="AJ41" s="419">
        <f t="shared" si="32"/>
        <v>0</v>
      </c>
      <c r="AK41" s="94"/>
      <c r="AL41" s="202"/>
      <c r="AM41" s="94"/>
      <c r="AN41" s="94">
        <f t="shared" si="50"/>
        <v>0</v>
      </c>
      <c r="AO41" s="94"/>
      <c r="AP41" s="432"/>
      <c r="AQ41" s="429"/>
      <c r="AR41" s="429">
        <f t="shared" si="51"/>
        <v>0</v>
      </c>
      <c r="AS41" s="429"/>
      <c r="AT41" s="432"/>
      <c r="AU41" s="429"/>
      <c r="AV41" s="429">
        <f t="shared" si="52"/>
        <v>0</v>
      </c>
      <c r="AW41" s="429"/>
      <c r="AX41" s="202"/>
      <c r="AY41" s="429"/>
      <c r="AZ41" s="429">
        <f t="shared" si="53"/>
        <v>0</v>
      </c>
      <c r="BA41" s="418">
        <f t="shared" si="8"/>
        <v>0</v>
      </c>
      <c r="BB41" s="15">
        <f t="shared" si="45"/>
        <v>0</v>
      </c>
      <c r="BC41" s="419"/>
      <c r="BD41" s="419">
        <f t="shared" si="54"/>
        <v>0</v>
      </c>
      <c r="BE41" s="94"/>
      <c r="BF41" s="432"/>
      <c r="BG41" s="429"/>
      <c r="BH41" s="429">
        <f t="shared" si="55"/>
        <v>0</v>
      </c>
      <c r="BI41" s="429"/>
      <c r="BJ41" s="432"/>
      <c r="BK41" s="435"/>
      <c r="BL41" s="432">
        <f t="shared" si="56"/>
        <v>0</v>
      </c>
      <c r="BM41" s="429"/>
      <c r="BN41" s="432"/>
      <c r="BO41" s="429"/>
      <c r="BP41" s="429">
        <f t="shared" si="57"/>
        <v>0</v>
      </c>
      <c r="BQ41" s="429"/>
      <c r="BR41" s="432"/>
      <c r="BS41" s="436"/>
      <c r="BT41" s="92">
        <f t="shared" si="19"/>
        <v>0</v>
      </c>
      <c r="BU41" s="94"/>
      <c r="BV41" s="419"/>
      <c r="BW41" s="94"/>
      <c r="BX41" s="108">
        <f t="shared" si="58"/>
        <v>0</v>
      </c>
      <c r="BY41" s="429"/>
      <c r="BZ41" s="202">
        <v>35.645760000000003</v>
      </c>
      <c r="CA41" s="474"/>
      <c r="CB41" s="430">
        <f t="shared" si="27"/>
        <v>35.645760000000003</v>
      </c>
      <c r="CC41" s="430"/>
      <c r="CD41" s="206"/>
      <c r="CE41" s="430"/>
      <c r="CF41" s="430"/>
      <c r="CG41" s="430">
        <v>50</v>
      </c>
      <c r="CH41" s="432">
        <v>13.317019999999999</v>
      </c>
      <c r="CI41" s="430"/>
      <c r="CJ41" s="430"/>
      <c r="CK41" s="418">
        <f t="shared" si="48"/>
        <v>50</v>
      </c>
      <c r="CL41" s="202">
        <f t="shared" si="46"/>
        <v>48.962780000000002</v>
      </c>
      <c r="CM41" s="419"/>
      <c r="CN41" s="419">
        <f t="shared" si="14"/>
        <v>-1.0372199999999978</v>
      </c>
      <c r="CP41" s="128">
        <f t="shared" si="63"/>
        <v>35.645760000000003</v>
      </c>
      <c r="CQ41" s="123">
        <f t="shared" si="64"/>
        <v>0</v>
      </c>
      <c r="CS41" s="132">
        <f t="shared" si="65"/>
        <v>35.645760000000003</v>
      </c>
      <c r="CT41" s="123">
        <f t="shared" si="21"/>
        <v>48.962780000000002</v>
      </c>
      <c r="CU41" s="123">
        <f t="shared" si="22"/>
        <v>48.962780000000002</v>
      </c>
      <c r="CV41" s="123">
        <f t="shared" si="23"/>
        <v>0</v>
      </c>
      <c r="CW41" s="123">
        <f t="shared" si="24"/>
        <v>50</v>
      </c>
      <c r="CX41" s="425"/>
      <c r="CY41" s="425"/>
    </row>
    <row r="42" spans="1:103" ht="12.75" customHeight="1">
      <c r="A42" s="108"/>
      <c r="B42" s="781" t="s">
        <v>776</v>
      </c>
      <c r="C42" s="782"/>
      <c r="D42" s="783"/>
      <c r="E42" s="419">
        <v>53</v>
      </c>
      <c r="F42" s="16">
        <v>15.2133</v>
      </c>
      <c r="G42" s="94">
        <f t="shared" ref="G42:G47" si="66">F42/E42*100</f>
        <v>28.704339622641513</v>
      </c>
      <c r="H42" s="94">
        <f t="shared" si="0"/>
        <v>-37.786699999999996</v>
      </c>
      <c r="I42" s="94">
        <v>53</v>
      </c>
      <c r="J42" s="16">
        <v>15.2133</v>
      </c>
      <c r="K42" s="95">
        <f>J42/I42*100</f>
        <v>28.704339622641513</v>
      </c>
      <c r="L42" s="94">
        <v>3</v>
      </c>
      <c r="M42" s="94">
        <v>53</v>
      </c>
      <c r="N42" s="202">
        <f>10.89645+1.5</f>
        <v>12.39645</v>
      </c>
      <c r="O42" s="94">
        <f>N42/M42*100</f>
        <v>23.389528301886791</v>
      </c>
      <c r="P42" s="430"/>
      <c r="Q42" s="429">
        <v>53</v>
      </c>
      <c r="R42" s="202">
        <v>18.2133</v>
      </c>
      <c r="S42" s="429">
        <f>R42/Q42*100</f>
        <v>34.364716981132077</v>
      </c>
      <c r="T42" s="108">
        <f t="shared" si="59"/>
        <v>-34.786699999999996</v>
      </c>
      <c r="U42" s="94">
        <v>107</v>
      </c>
      <c r="V42" s="202">
        <v>29.426600000000001</v>
      </c>
      <c r="W42" s="432">
        <f t="shared" ref="W42:W43" si="67">V42/U42*100</f>
        <v>27.501495327102806</v>
      </c>
      <c r="X42" s="430">
        <f t="shared" si="60"/>
        <v>-77.573399999999992</v>
      </c>
      <c r="Y42" s="429">
        <v>53</v>
      </c>
      <c r="Z42" s="202">
        <v>18.2133</v>
      </c>
      <c r="AA42" s="429">
        <f>Z42/Y42*100</f>
        <v>34.364716981132077</v>
      </c>
      <c r="AB42" s="430">
        <f t="shared" si="62"/>
        <v>-34.786699999999996</v>
      </c>
      <c r="AC42" s="429">
        <v>53</v>
      </c>
      <c r="AD42" s="202">
        <v>18.2133</v>
      </c>
      <c r="AE42" s="429">
        <f>AD42/AC42*100</f>
        <v>34.364716981132077</v>
      </c>
      <c r="AF42" s="430"/>
      <c r="AG42" s="418">
        <f t="shared" si="3"/>
        <v>425</v>
      </c>
      <c r="AH42" s="432">
        <f t="shared" si="40"/>
        <v>126.88955000000001</v>
      </c>
      <c r="AI42" s="419"/>
      <c r="AJ42" s="419">
        <f t="shared" si="32"/>
        <v>-298.11045000000001</v>
      </c>
      <c r="AK42" s="94"/>
      <c r="AL42" s="202"/>
      <c r="AM42" s="94"/>
      <c r="AN42" s="94">
        <f t="shared" si="50"/>
        <v>0</v>
      </c>
      <c r="AO42" s="94"/>
      <c r="AP42" s="432"/>
      <c r="AQ42" s="429"/>
      <c r="AR42" s="429">
        <f t="shared" si="51"/>
        <v>0</v>
      </c>
      <c r="AS42" s="429"/>
      <c r="AT42" s="432"/>
      <c r="AU42" s="429"/>
      <c r="AV42" s="429">
        <f t="shared" si="52"/>
        <v>0</v>
      </c>
      <c r="AW42" s="429"/>
      <c r="AX42" s="202"/>
      <c r="AY42" s="429"/>
      <c r="AZ42" s="429">
        <f t="shared" si="53"/>
        <v>0</v>
      </c>
      <c r="BA42" s="418">
        <f t="shared" si="8"/>
        <v>0</v>
      </c>
      <c r="BB42" s="15">
        <f t="shared" si="45"/>
        <v>0</v>
      </c>
      <c r="BC42" s="419"/>
      <c r="BD42" s="419">
        <f t="shared" si="54"/>
        <v>0</v>
      </c>
      <c r="BE42" s="94"/>
      <c r="BF42" s="432"/>
      <c r="BG42" s="429"/>
      <c r="BH42" s="429">
        <f t="shared" si="55"/>
        <v>0</v>
      </c>
      <c r="BI42" s="429"/>
      <c r="BJ42" s="432"/>
      <c r="BK42" s="435"/>
      <c r="BL42" s="432">
        <f t="shared" si="56"/>
        <v>0</v>
      </c>
      <c r="BM42" s="429"/>
      <c r="BN42" s="432"/>
      <c r="BO42" s="429"/>
      <c r="BP42" s="429">
        <f t="shared" si="57"/>
        <v>0</v>
      </c>
      <c r="BQ42" s="429"/>
      <c r="BR42" s="432"/>
      <c r="BS42" s="436">
        <v>0</v>
      </c>
      <c r="BT42" s="92">
        <f t="shared" si="19"/>
        <v>0</v>
      </c>
      <c r="BU42" s="94"/>
      <c r="BV42" s="419"/>
      <c r="BW42" s="94"/>
      <c r="BX42" s="108">
        <f t="shared" si="58"/>
        <v>0</v>
      </c>
      <c r="BY42" s="429">
        <v>47</v>
      </c>
      <c r="BZ42" s="202">
        <v>10.32118</v>
      </c>
      <c r="CA42" s="474">
        <f t="shared" si="61"/>
        <v>21.959957446808513</v>
      </c>
      <c r="CB42" s="430">
        <f t="shared" si="27"/>
        <v>-36.678820000000002</v>
      </c>
      <c r="CC42" s="430"/>
      <c r="CD42" s="206"/>
      <c r="CE42" s="430"/>
      <c r="CF42" s="430"/>
      <c r="CG42" s="430"/>
      <c r="CH42" s="442">
        <v>15.696770000000001</v>
      </c>
      <c r="CI42" s="430"/>
      <c r="CJ42" s="430"/>
      <c r="CK42" s="418">
        <f t="shared" si="48"/>
        <v>472</v>
      </c>
      <c r="CL42" s="202">
        <f t="shared" si="46"/>
        <v>152.90750000000003</v>
      </c>
      <c r="CM42" s="419">
        <f t="shared" si="13"/>
        <v>32.395656779661024</v>
      </c>
      <c r="CN42" s="419">
        <f t="shared" si="14"/>
        <v>-319.09249999999997</v>
      </c>
      <c r="CP42" s="128">
        <f t="shared" si="63"/>
        <v>137.21073000000001</v>
      </c>
      <c r="CQ42" s="123">
        <f t="shared" si="64"/>
        <v>472</v>
      </c>
      <c r="CS42" s="132">
        <f t="shared" si="65"/>
        <v>137.21073000000001</v>
      </c>
      <c r="CT42" s="123">
        <f t="shared" si="21"/>
        <v>152.90750000000003</v>
      </c>
      <c r="CU42" s="123">
        <f t="shared" si="22"/>
        <v>152.90750000000003</v>
      </c>
      <c r="CV42" s="123">
        <f t="shared" si="23"/>
        <v>126.88955000000001</v>
      </c>
      <c r="CW42" s="123">
        <f t="shared" si="24"/>
        <v>472</v>
      </c>
      <c r="CX42" s="425"/>
      <c r="CY42" s="425"/>
    </row>
    <row r="43" spans="1:103" ht="12.75" customHeight="1">
      <c r="A43" s="108"/>
      <c r="B43" s="781" t="s">
        <v>812</v>
      </c>
      <c r="C43" s="782"/>
      <c r="D43" s="783"/>
      <c r="E43" s="419">
        <v>25</v>
      </c>
      <c r="F43" s="16"/>
      <c r="G43" s="94">
        <f t="shared" si="66"/>
        <v>0</v>
      </c>
      <c r="H43" s="94">
        <f t="shared" si="0"/>
        <v>-25</v>
      </c>
      <c r="I43" s="94">
        <v>50</v>
      </c>
      <c r="J43" s="16"/>
      <c r="K43" s="95"/>
      <c r="L43" s="94">
        <f t="shared" ref="L43:L49" si="68">J43-I43</f>
        <v>-50</v>
      </c>
      <c r="M43" s="94">
        <v>85</v>
      </c>
      <c r="N43" s="202"/>
      <c r="O43" s="429"/>
      <c r="P43" s="430"/>
      <c r="Q43" s="429">
        <v>45</v>
      </c>
      <c r="R43" s="202">
        <v>17.62</v>
      </c>
      <c r="S43" s="429">
        <f>R43/Q43*100</f>
        <v>39.155555555555559</v>
      </c>
      <c r="T43" s="108">
        <f t="shared" si="59"/>
        <v>-27.38</v>
      </c>
      <c r="U43" s="94">
        <v>25</v>
      </c>
      <c r="V43" s="202">
        <v>34.700000000000003</v>
      </c>
      <c r="W43" s="432">
        <f t="shared" si="67"/>
        <v>138.80000000000001</v>
      </c>
      <c r="X43" s="430">
        <f t="shared" si="60"/>
        <v>9.7000000000000028</v>
      </c>
      <c r="Y43" s="429">
        <v>60</v>
      </c>
      <c r="Z43" s="202">
        <v>44.2</v>
      </c>
      <c r="AA43" s="429">
        <f>Z43/Y43*100</f>
        <v>73.666666666666671</v>
      </c>
      <c r="AB43" s="430">
        <f t="shared" si="62"/>
        <v>-15.799999999999997</v>
      </c>
      <c r="AC43" s="429">
        <v>60</v>
      </c>
      <c r="AD43" s="202">
        <v>47.06</v>
      </c>
      <c r="AE43" s="429">
        <f>AD43/AC43*100</f>
        <v>78.433333333333337</v>
      </c>
      <c r="AF43" s="430">
        <f>AD43-AC43</f>
        <v>-12.939999999999998</v>
      </c>
      <c r="AG43" s="418">
        <f t="shared" si="3"/>
        <v>350</v>
      </c>
      <c r="AH43" s="432">
        <f t="shared" si="40"/>
        <v>143.58000000000001</v>
      </c>
      <c r="AI43" s="419">
        <f>AH43/AG43*100</f>
        <v>41.022857142857141</v>
      </c>
      <c r="AJ43" s="419">
        <f t="shared" si="32"/>
        <v>-206.42</v>
      </c>
      <c r="AK43" s="94">
        <v>20</v>
      </c>
      <c r="AL43" s="202"/>
      <c r="AM43" s="94"/>
      <c r="AN43" s="94">
        <f t="shared" si="50"/>
        <v>-20</v>
      </c>
      <c r="AO43" s="94"/>
      <c r="AP43" s="432"/>
      <c r="AQ43" s="429"/>
      <c r="AR43" s="429">
        <f t="shared" si="51"/>
        <v>0</v>
      </c>
      <c r="AS43" s="429">
        <v>20</v>
      </c>
      <c r="AT43" s="432"/>
      <c r="AU43" s="429"/>
      <c r="AV43" s="429">
        <f t="shared" si="52"/>
        <v>-20</v>
      </c>
      <c r="AW43" s="429">
        <v>25</v>
      </c>
      <c r="AX43" s="202"/>
      <c r="AY43" s="429"/>
      <c r="AZ43" s="429">
        <f t="shared" si="53"/>
        <v>-25</v>
      </c>
      <c r="BA43" s="418">
        <f t="shared" si="8"/>
        <v>65</v>
      </c>
      <c r="BB43" s="15">
        <f t="shared" si="45"/>
        <v>0</v>
      </c>
      <c r="BC43" s="419"/>
      <c r="BD43" s="419">
        <f t="shared" si="54"/>
        <v>-65</v>
      </c>
      <c r="BE43" s="94"/>
      <c r="BF43" s="432"/>
      <c r="BG43" s="429"/>
      <c r="BH43" s="429">
        <f t="shared" si="55"/>
        <v>0</v>
      </c>
      <c r="BI43" s="429"/>
      <c r="BJ43" s="432"/>
      <c r="BK43" s="435"/>
      <c r="BL43" s="432">
        <f t="shared" si="56"/>
        <v>0</v>
      </c>
      <c r="BM43" s="429"/>
      <c r="BN43" s="432"/>
      <c r="BO43" s="429"/>
      <c r="BP43" s="429">
        <f t="shared" si="57"/>
        <v>0</v>
      </c>
      <c r="BQ43" s="429"/>
      <c r="BR43" s="432"/>
      <c r="BS43" s="436">
        <v>0</v>
      </c>
      <c r="BT43" s="92">
        <f t="shared" si="19"/>
        <v>0</v>
      </c>
      <c r="BU43" s="94"/>
      <c r="BV43" s="419"/>
      <c r="BW43" s="94"/>
      <c r="BX43" s="108">
        <f t="shared" si="58"/>
        <v>0</v>
      </c>
      <c r="BY43" s="429"/>
      <c r="BZ43" s="202"/>
      <c r="CA43" s="474"/>
      <c r="CB43" s="430">
        <f t="shared" si="27"/>
        <v>0</v>
      </c>
      <c r="CC43" s="430"/>
      <c r="CD43" s="206"/>
      <c r="CE43" s="430"/>
      <c r="CF43" s="430"/>
      <c r="CG43" s="430"/>
      <c r="CH43" s="442"/>
      <c r="CI43" s="430"/>
      <c r="CJ43" s="430"/>
      <c r="CK43" s="418">
        <f t="shared" si="48"/>
        <v>415</v>
      </c>
      <c r="CL43" s="202">
        <f t="shared" si="46"/>
        <v>143.58000000000001</v>
      </c>
      <c r="CM43" s="419">
        <f t="shared" si="13"/>
        <v>34.597590361445782</v>
      </c>
      <c r="CN43" s="419">
        <f t="shared" si="14"/>
        <v>-271.41999999999996</v>
      </c>
      <c r="CP43" s="128">
        <f t="shared" si="63"/>
        <v>143.58000000000001</v>
      </c>
      <c r="CQ43" s="123">
        <f t="shared" si="64"/>
        <v>415</v>
      </c>
      <c r="CS43" s="132">
        <f t="shared" si="65"/>
        <v>143.58000000000001</v>
      </c>
      <c r="CT43" s="123">
        <f t="shared" si="21"/>
        <v>143.58000000000001</v>
      </c>
      <c r="CU43" s="123">
        <f t="shared" si="22"/>
        <v>143.58000000000001</v>
      </c>
      <c r="CV43" s="123">
        <f t="shared" si="23"/>
        <v>143.58000000000001</v>
      </c>
      <c r="CW43" s="123">
        <f t="shared" si="24"/>
        <v>415</v>
      </c>
      <c r="CX43" s="425"/>
      <c r="CY43" s="425"/>
    </row>
    <row r="44" spans="1:103">
      <c r="A44" s="108"/>
      <c r="B44" s="781" t="s">
        <v>820</v>
      </c>
      <c r="C44" s="782"/>
      <c r="D44" s="783"/>
      <c r="E44" s="419"/>
      <c r="F44" s="16"/>
      <c r="G44" s="94"/>
      <c r="H44" s="94">
        <f>F44-E44</f>
        <v>0</v>
      </c>
      <c r="I44" s="94">
        <f t="shared" si="49"/>
        <v>0</v>
      </c>
      <c r="J44" s="16"/>
      <c r="K44" s="95"/>
      <c r="L44" s="94">
        <f t="shared" si="68"/>
        <v>0</v>
      </c>
      <c r="M44" s="94"/>
      <c r="N44" s="202"/>
      <c r="O44" s="429"/>
      <c r="P44" s="430">
        <f t="shared" ref="P44:P49" si="69">N44-M44</f>
        <v>0</v>
      </c>
      <c r="Q44" s="429"/>
      <c r="R44" s="202"/>
      <c r="S44" s="429"/>
      <c r="T44" s="108">
        <f>R44-Q44</f>
        <v>0</v>
      </c>
      <c r="U44" s="94"/>
      <c r="V44" s="202"/>
      <c r="W44" s="429"/>
      <c r="X44" s="430">
        <f>V44-U44</f>
        <v>0</v>
      </c>
      <c r="Y44" s="429"/>
      <c r="Z44" s="202"/>
      <c r="AA44" s="429"/>
      <c r="AB44" s="430">
        <f t="shared" si="62"/>
        <v>0</v>
      </c>
      <c r="AC44" s="429"/>
      <c r="AD44" s="202"/>
      <c r="AE44" s="429"/>
      <c r="AF44" s="430">
        <f>AD44-AC44</f>
        <v>0</v>
      </c>
      <c r="AG44" s="418">
        <f>E44+I44+M44+Q44+U44+Y44+AC44</f>
        <v>0</v>
      </c>
      <c r="AH44" s="432">
        <f t="shared" si="40"/>
        <v>0</v>
      </c>
      <c r="AI44" s="419"/>
      <c r="AJ44" s="419">
        <f t="shared" si="32"/>
        <v>0</v>
      </c>
      <c r="AK44" s="94"/>
      <c r="AL44" s="202"/>
      <c r="AM44" s="94"/>
      <c r="AN44" s="94">
        <f>AL44-AK44</f>
        <v>0</v>
      </c>
      <c r="AO44" s="94"/>
      <c r="AP44" s="432"/>
      <c r="AQ44" s="429"/>
      <c r="AR44" s="429">
        <f>AP44-AO44</f>
        <v>0</v>
      </c>
      <c r="AS44" s="429"/>
      <c r="AT44" s="432"/>
      <c r="AU44" s="429"/>
      <c r="AV44" s="429">
        <f>AT44-AS44</f>
        <v>0</v>
      </c>
      <c r="AW44" s="429"/>
      <c r="AX44" s="202"/>
      <c r="AY44" s="429"/>
      <c r="AZ44" s="429">
        <f>AX44-AW44</f>
        <v>0</v>
      </c>
      <c r="BA44" s="418">
        <f>AK44+AO44+AS44+AW44</f>
        <v>0</v>
      </c>
      <c r="BB44" s="15">
        <f t="shared" si="45"/>
        <v>0</v>
      </c>
      <c r="BC44" s="419"/>
      <c r="BD44" s="419">
        <f>BB44-BA44</f>
        <v>0</v>
      </c>
      <c r="BE44" s="94"/>
      <c r="BF44" s="432"/>
      <c r="BG44" s="429"/>
      <c r="BH44" s="429">
        <f>BF44-BE44</f>
        <v>0</v>
      </c>
      <c r="BI44" s="429"/>
      <c r="BJ44" s="432"/>
      <c r="BK44" s="435"/>
      <c r="BL44" s="432">
        <f>BJ44-BI44</f>
        <v>0</v>
      </c>
      <c r="BM44" s="429"/>
      <c r="BN44" s="432"/>
      <c r="BO44" s="429"/>
      <c r="BP44" s="429">
        <f>BN44-BM44</f>
        <v>0</v>
      </c>
      <c r="BQ44" s="429"/>
      <c r="BR44" s="432"/>
      <c r="BS44" s="436">
        <v>0</v>
      </c>
      <c r="BT44" s="92">
        <f t="shared" si="19"/>
        <v>0</v>
      </c>
      <c r="BU44" s="94"/>
      <c r="BV44" s="419"/>
      <c r="BW44" s="94"/>
      <c r="BX44" s="108">
        <f>BV44-BU44</f>
        <v>0</v>
      </c>
      <c r="BY44" s="429"/>
      <c r="BZ44" s="202"/>
      <c r="CA44" s="474"/>
      <c r="CB44" s="430">
        <f t="shared" si="27"/>
        <v>0</v>
      </c>
      <c r="CC44" s="430"/>
      <c r="CD44" s="442"/>
      <c r="CE44" s="430"/>
      <c r="CF44" s="430"/>
      <c r="CG44" s="430"/>
      <c r="CH44" s="442"/>
      <c r="CI44" s="430"/>
      <c r="CJ44" s="430"/>
      <c r="CK44" s="418">
        <f t="shared" si="48"/>
        <v>0</v>
      </c>
      <c r="CL44" s="202">
        <f t="shared" si="46"/>
        <v>0</v>
      </c>
      <c r="CM44" s="419">
        <v>0</v>
      </c>
      <c r="CN44" s="419">
        <f>CL44-CK44</f>
        <v>0</v>
      </c>
      <c r="CP44" s="128">
        <f t="shared" si="63"/>
        <v>0</v>
      </c>
      <c r="CQ44" s="123">
        <f t="shared" si="64"/>
        <v>0</v>
      </c>
      <c r="CS44" s="132">
        <f t="shared" si="65"/>
        <v>0</v>
      </c>
      <c r="CT44" s="123">
        <f t="shared" si="21"/>
        <v>0</v>
      </c>
      <c r="CU44" s="123">
        <f t="shared" si="22"/>
        <v>0</v>
      </c>
      <c r="CV44" s="123">
        <f t="shared" si="23"/>
        <v>0</v>
      </c>
      <c r="CW44" s="123">
        <f t="shared" si="24"/>
        <v>0</v>
      </c>
      <c r="CX44" s="425"/>
      <c r="CY44" s="425"/>
    </row>
    <row r="45" spans="1:103">
      <c r="A45" s="108"/>
      <c r="B45" s="781" t="s">
        <v>813</v>
      </c>
      <c r="C45" s="782"/>
      <c r="D45" s="783"/>
      <c r="E45" s="94"/>
      <c r="F45" s="16"/>
      <c r="G45" s="94"/>
      <c r="H45" s="94">
        <f>F45-E45</f>
        <v>0</v>
      </c>
      <c r="I45" s="94">
        <f t="shared" si="49"/>
        <v>0</v>
      </c>
      <c r="J45" s="16"/>
      <c r="K45" s="95"/>
      <c r="L45" s="94">
        <f t="shared" si="68"/>
        <v>0</v>
      </c>
      <c r="M45" s="94"/>
      <c r="N45" s="202"/>
      <c r="O45" s="429"/>
      <c r="P45" s="430">
        <f t="shared" si="69"/>
        <v>0</v>
      </c>
      <c r="Q45" s="429"/>
      <c r="R45" s="202">
        <v>20.414000000000001</v>
      </c>
      <c r="S45" s="429"/>
      <c r="T45" s="108">
        <f>R45-Q45</f>
        <v>20.414000000000001</v>
      </c>
      <c r="U45" s="94"/>
      <c r="V45" s="202"/>
      <c r="W45" s="429"/>
      <c r="X45" s="430">
        <f>V45-U45</f>
        <v>0</v>
      </c>
      <c r="Y45" s="429"/>
      <c r="Z45" s="202"/>
      <c r="AA45" s="429"/>
      <c r="AB45" s="430">
        <f t="shared" si="62"/>
        <v>0</v>
      </c>
      <c r="AC45" s="429"/>
      <c r="AD45" s="202">
        <v>30</v>
      </c>
      <c r="AE45" s="429"/>
      <c r="AF45" s="430">
        <f>AD45-AC45</f>
        <v>30</v>
      </c>
      <c r="AG45" s="418"/>
      <c r="AH45" s="432">
        <f t="shared" si="40"/>
        <v>50.414000000000001</v>
      </c>
      <c r="AI45" s="419"/>
      <c r="AJ45" s="419">
        <f t="shared" si="32"/>
        <v>50.414000000000001</v>
      </c>
      <c r="AK45" s="94"/>
      <c r="AL45" s="202"/>
      <c r="AM45" s="94"/>
      <c r="AN45" s="94">
        <f>AL45-AK45</f>
        <v>0</v>
      </c>
      <c r="AO45" s="94"/>
      <c r="AP45" s="432"/>
      <c r="AQ45" s="429"/>
      <c r="AR45" s="429">
        <f>AP45-AO45</f>
        <v>0</v>
      </c>
      <c r="AS45" s="429"/>
      <c r="AT45" s="432"/>
      <c r="AU45" s="429"/>
      <c r="AV45" s="429">
        <f>AT45-AS45</f>
        <v>0</v>
      </c>
      <c r="AW45" s="429"/>
      <c r="AX45" s="202"/>
      <c r="AY45" s="429"/>
      <c r="AZ45" s="429">
        <f>AX45-AW45</f>
        <v>0</v>
      </c>
      <c r="BA45" s="418">
        <f>AK45+AO45+AS45+AW45</f>
        <v>0</v>
      </c>
      <c r="BB45" s="15">
        <f t="shared" si="45"/>
        <v>0</v>
      </c>
      <c r="BC45" s="419"/>
      <c r="BD45" s="419">
        <f>BB45-BA45</f>
        <v>0</v>
      </c>
      <c r="BE45" s="94"/>
      <c r="BF45" s="432"/>
      <c r="BG45" s="429"/>
      <c r="BH45" s="429">
        <f>BF45-BE45</f>
        <v>0</v>
      </c>
      <c r="BI45" s="429"/>
      <c r="BJ45" s="432"/>
      <c r="BK45" s="435"/>
      <c r="BL45" s="432">
        <f>BJ45-BI45</f>
        <v>0</v>
      </c>
      <c r="BM45" s="429"/>
      <c r="BN45" s="432"/>
      <c r="BO45" s="429"/>
      <c r="BP45" s="429">
        <f>BN45-BM45</f>
        <v>0</v>
      </c>
      <c r="BQ45" s="429"/>
      <c r="BR45" s="432"/>
      <c r="BS45" s="436">
        <v>0</v>
      </c>
      <c r="BT45" s="92">
        <f t="shared" si="19"/>
        <v>0</v>
      </c>
      <c r="BU45" s="94"/>
      <c r="BV45" s="419"/>
      <c r="BW45" s="94"/>
      <c r="BX45" s="108">
        <f>BV45-BU45</f>
        <v>0</v>
      </c>
      <c r="BY45" s="429"/>
      <c r="BZ45" s="202"/>
      <c r="CA45" s="474"/>
      <c r="CB45" s="430">
        <f t="shared" si="27"/>
        <v>0</v>
      </c>
      <c r="CC45" s="430"/>
      <c r="CD45" s="442"/>
      <c r="CE45" s="430"/>
      <c r="CF45" s="430"/>
      <c r="CG45" s="430"/>
      <c r="CH45" s="442"/>
      <c r="CI45" s="430"/>
      <c r="CJ45" s="430"/>
      <c r="CK45" s="418">
        <f t="shared" si="48"/>
        <v>0</v>
      </c>
      <c r="CL45" s="202">
        <f t="shared" si="46"/>
        <v>50.414000000000001</v>
      </c>
      <c r="CM45" s="419"/>
      <c r="CN45" s="419">
        <f>CL45-CK45</f>
        <v>50.414000000000001</v>
      </c>
      <c r="CP45" s="128">
        <f t="shared" si="63"/>
        <v>50.414000000000001</v>
      </c>
      <c r="CQ45" s="123">
        <f t="shared" si="64"/>
        <v>0</v>
      </c>
      <c r="CS45" s="132">
        <f t="shared" si="65"/>
        <v>50.414000000000001</v>
      </c>
      <c r="CT45" s="123">
        <f t="shared" si="21"/>
        <v>50.414000000000001</v>
      </c>
      <c r="CU45" s="123">
        <f t="shared" si="22"/>
        <v>50.414000000000001</v>
      </c>
      <c r="CV45" s="123">
        <f t="shared" si="23"/>
        <v>50.414000000000001</v>
      </c>
      <c r="CW45" s="123">
        <f t="shared" si="24"/>
        <v>0</v>
      </c>
      <c r="CX45" s="425"/>
      <c r="CY45" s="425"/>
    </row>
    <row r="46" spans="1:103" ht="12.75" customHeight="1">
      <c r="A46" s="108"/>
      <c r="B46" s="781" t="s">
        <v>576</v>
      </c>
      <c r="C46" s="782"/>
      <c r="D46" s="783"/>
      <c r="E46" s="94"/>
      <c r="F46" s="16"/>
      <c r="G46" s="94"/>
      <c r="H46" s="94">
        <f t="shared" si="0"/>
        <v>0</v>
      </c>
      <c r="I46" s="94">
        <v>0</v>
      </c>
      <c r="J46" s="16">
        <v>3</v>
      </c>
      <c r="K46" s="95"/>
      <c r="L46" s="94"/>
      <c r="M46" s="94"/>
      <c r="N46" s="202"/>
      <c r="O46" s="429"/>
      <c r="P46" s="429">
        <f t="shared" si="69"/>
        <v>0</v>
      </c>
      <c r="Q46" s="429"/>
      <c r="R46" s="202"/>
      <c r="S46" s="429"/>
      <c r="T46" s="108">
        <f t="shared" si="59"/>
        <v>0</v>
      </c>
      <c r="U46" s="94"/>
      <c r="V46" s="202"/>
      <c r="W46" s="429"/>
      <c r="X46" s="430">
        <f t="shared" si="60"/>
        <v>0</v>
      </c>
      <c r="Y46" s="429"/>
      <c r="Z46" s="202"/>
      <c r="AA46" s="429"/>
      <c r="AB46" s="430">
        <f t="shared" si="62"/>
        <v>0</v>
      </c>
      <c r="AC46" s="429"/>
      <c r="AD46" s="202">
        <v>44.491720000000001</v>
      </c>
      <c r="AE46" s="429"/>
      <c r="AF46" s="430"/>
      <c r="AG46" s="418">
        <f t="shared" si="3"/>
        <v>0</v>
      </c>
      <c r="AH46" s="432">
        <f t="shared" si="40"/>
        <v>47.491720000000001</v>
      </c>
      <c r="AI46" s="419"/>
      <c r="AJ46" s="419">
        <f t="shared" si="32"/>
        <v>47.491720000000001</v>
      </c>
      <c r="AK46" s="94"/>
      <c r="AL46" s="202"/>
      <c r="AM46" s="94"/>
      <c r="AN46" s="94">
        <f t="shared" si="50"/>
        <v>0</v>
      </c>
      <c r="AO46" s="94"/>
      <c r="AP46" s="432"/>
      <c r="AQ46" s="429"/>
      <c r="AR46" s="429">
        <f t="shared" si="51"/>
        <v>0</v>
      </c>
      <c r="AS46" s="429"/>
      <c r="AT46" s="432"/>
      <c r="AU46" s="429"/>
      <c r="AV46" s="429">
        <f t="shared" si="52"/>
        <v>0</v>
      </c>
      <c r="AW46" s="429"/>
      <c r="AX46" s="202"/>
      <c r="AY46" s="429"/>
      <c r="AZ46" s="429">
        <f t="shared" si="53"/>
        <v>0</v>
      </c>
      <c r="BA46" s="418">
        <f t="shared" si="8"/>
        <v>0</v>
      </c>
      <c r="BB46" s="15">
        <f t="shared" si="45"/>
        <v>0</v>
      </c>
      <c r="BC46" s="419"/>
      <c r="BD46" s="419">
        <f t="shared" si="54"/>
        <v>0</v>
      </c>
      <c r="BE46" s="94"/>
      <c r="BF46" s="432"/>
      <c r="BG46" s="429"/>
      <c r="BH46" s="429">
        <f t="shared" si="55"/>
        <v>0</v>
      </c>
      <c r="BI46" s="429"/>
      <c r="BJ46" s="432"/>
      <c r="BK46" s="429"/>
      <c r="BL46" s="429">
        <f t="shared" si="56"/>
        <v>0</v>
      </c>
      <c r="BM46" s="429"/>
      <c r="BN46" s="432"/>
      <c r="BO46" s="429"/>
      <c r="BP46" s="429">
        <f t="shared" si="57"/>
        <v>0</v>
      </c>
      <c r="BQ46" s="429"/>
      <c r="BR46" s="432"/>
      <c r="BS46" s="436">
        <v>0</v>
      </c>
      <c r="BT46" s="92">
        <f t="shared" si="19"/>
        <v>0</v>
      </c>
      <c r="BU46" s="94"/>
      <c r="BV46" s="419"/>
      <c r="BW46" s="94"/>
      <c r="BX46" s="108"/>
      <c r="BY46" s="429"/>
      <c r="BZ46" s="202"/>
      <c r="CA46" s="474"/>
      <c r="CB46" s="430">
        <f t="shared" si="27"/>
        <v>0</v>
      </c>
      <c r="CC46" s="430"/>
      <c r="CD46" s="442"/>
      <c r="CE46" s="430"/>
      <c r="CF46" s="430"/>
      <c r="CG46" s="430"/>
      <c r="CH46" s="206"/>
      <c r="CI46" s="430"/>
      <c r="CJ46" s="430"/>
      <c r="CK46" s="418">
        <f t="shared" si="48"/>
        <v>0</v>
      </c>
      <c r="CL46" s="202">
        <f t="shared" si="46"/>
        <v>47.491720000000001</v>
      </c>
      <c r="CM46" s="419"/>
      <c r="CN46" s="419">
        <f t="shared" si="14"/>
        <v>47.491720000000001</v>
      </c>
      <c r="CP46" s="128">
        <f t="shared" si="63"/>
        <v>47.491720000000001</v>
      </c>
      <c r="CQ46" s="123">
        <f t="shared" si="64"/>
        <v>0</v>
      </c>
      <c r="CS46" s="132">
        <f t="shared" si="65"/>
        <v>47.491720000000001</v>
      </c>
      <c r="CT46" s="123">
        <f t="shared" si="21"/>
        <v>47.491720000000001</v>
      </c>
      <c r="CU46" s="123">
        <f t="shared" si="22"/>
        <v>47.491720000000001</v>
      </c>
      <c r="CV46" s="123">
        <f t="shared" si="23"/>
        <v>47.491720000000001</v>
      </c>
      <c r="CW46" s="123">
        <f t="shared" si="24"/>
        <v>0</v>
      </c>
      <c r="CX46" s="425"/>
      <c r="CY46" s="425"/>
    </row>
    <row r="47" spans="1:103" hidden="1">
      <c r="A47" s="108"/>
      <c r="B47" s="781" t="s">
        <v>268</v>
      </c>
      <c r="C47" s="782"/>
      <c r="D47" s="783"/>
      <c r="E47" s="94"/>
      <c r="F47" s="16"/>
      <c r="G47" s="94" t="e">
        <f t="shared" si="66"/>
        <v>#DIV/0!</v>
      </c>
      <c r="H47" s="94">
        <f t="shared" si="0"/>
        <v>0</v>
      </c>
      <c r="I47" s="94"/>
      <c r="J47" s="16"/>
      <c r="K47" s="95"/>
      <c r="L47" s="94">
        <f t="shared" si="68"/>
        <v>0</v>
      </c>
      <c r="M47" s="94"/>
      <c r="N47" s="16"/>
      <c r="O47" s="94"/>
      <c r="P47" s="108">
        <f t="shared" si="69"/>
        <v>0</v>
      </c>
      <c r="Q47" s="94">
        <f t="shared" ref="Q47" si="70">R47</f>
        <v>0</v>
      </c>
      <c r="R47" s="16"/>
      <c r="S47" s="94"/>
      <c r="T47" s="108">
        <f t="shared" si="59"/>
        <v>0</v>
      </c>
      <c r="U47" s="94"/>
      <c r="V47" s="16"/>
      <c r="W47" s="94"/>
      <c r="X47" s="108">
        <f t="shared" si="60"/>
        <v>0</v>
      </c>
      <c r="Y47" s="94"/>
      <c r="Z47" s="16"/>
      <c r="AA47" s="94"/>
      <c r="AB47" s="108">
        <f t="shared" si="62"/>
        <v>0</v>
      </c>
      <c r="AC47" s="94"/>
      <c r="AD47" s="16"/>
      <c r="AE47" s="94"/>
      <c r="AF47" s="108">
        <f>AD47-AC47</f>
        <v>0</v>
      </c>
      <c r="AG47" s="266">
        <f t="shared" si="3"/>
        <v>0</v>
      </c>
      <c r="AH47" s="419">
        <f t="shared" si="3"/>
        <v>0</v>
      </c>
      <c r="AI47" s="268"/>
      <c r="AJ47" s="268">
        <f t="shared" si="32"/>
        <v>0</v>
      </c>
      <c r="AK47" s="94"/>
      <c r="AL47" s="16"/>
      <c r="AM47" s="94"/>
      <c r="AN47" s="94">
        <f>AL47-AK47</f>
        <v>0</v>
      </c>
      <c r="AO47" s="94"/>
      <c r="AP47" s="419"/>
      <c r="AQ47" s="94"/>
      <c r="AR47" s="94">
        <f>AP47-AO47</f>
        <v>0</v>
      </c>
      <c r="AS47" s="94"/>
      <c r="AT47" s="419"/>
      <c r="AU47" s="94"/>
      <c r="AV47" s="94">
        <f>AT47-AS47</f>
        <v>0</v>
      </c>
      <c r="AW47" s="94"/>
      <c r="AX47" s="16"/>
      <c r="AY47" s="94"/>
      <c r="AZ47" s="94">
        <f>AX47-AW47</f>
        <v>0</v>
      </c>
      <c r="BA47" s="418">
        <f t="shared" si="8"/>
        <v>0</v>
      </c>
      <c r="BB47" s="15">
        <f t="shared" si="45"/>
        <v>0</v>
      </c>
      <c r="BC47" s="419"/>
      <c r="BD47" s="419">
        <f>BB47-BA47</f>
        <v>0</v>
      </c>
      <c r="BE47" s="94"/>
      <c r="BF47" s="432"/>
      <c r="BG47" s="429"/>
      <c r="BH47" s="429">
        <f>BF47-BE47</f>
        <v>0</v>
      </c>
      <c r="BI47" s="429"/>
      <c r="BJ47" s="432"/>
      <c r="BK47" s="429"/>
      <c r="BL47" s="429">
        <f>BJ47-BI47</f>
        <v>0</v>
      </c>
      <c r="BM47" s="429"/>
      <c r="BN47" s="432"/>
      <c r="BO47" s="429"/>
      <c r="BP47" s="429">
        <f>BN47-BM47</f>
        <v>0</v>
      </c>
      <c r="BQ47" s="429"/>
      <c r="BR47" s="432"/>
      <c r="BS47" s="436" t="e">
        <f t="shared" si="18"/>
        <v>#DIV/0!</v>
      </c>
      <c r="BT47" s="92">
        <f t="shared" si="19"/>
        <v>0</v>
      </c>
      <c r="BU47" s="94"/>
      <c r="BV47" s="419"/>
      <c r="BW47" s="94"/>
      <c r="BX47" s="108">
        <f>BV47-BU47</f>
        <v>0</v>
      </c>
      <c r="BY47" s="429"/>
      <c r="BZ47" s="202"/>
      <c r="CA47" s="474" t="e">
        <f t="shared" si="61"/>
        <v>#DIV/0!</v>
      </c>
      <c r="CB47" s="430">
        <f t="shared" si="27"/>
        <v>0</v>
      </c>
      <c r="CC47" s="430"/>
      <c r="CD47" s="442"/>
      <c r="CE47" s="430"/>
      <c r="CF47" s="430"/>
      <c r="CG47" s="430"/>
      <c r="CH47" s="442"/>
      <c r="CI47" s="430"/>
      <c r="CJ47" s="430"/>
      <c r="CK47" s="434">
        <f t="shared" ref="CK47" si="71">AG47+BA47+BE47+BI47+BM47+BU47+BY47+CC47+BQ47</f>
        <v>0</v>
      </c>
      <c r="CL47" s="443">
        <f t="shared" ref="CL47" si="72">R47+V47+Z47+AD47+BV47+BZ47+F47+J47+N47+AL47+CD47+AP47+AT47+AX47+BF47+CH47</f>
        <v>0</v>
      </c>
      <c r="CM47" s="419" t="e">
        <f t="shared" si="13"/>
        <v>#DIV/0!</v>
      </c>
      <c r="CN47" s="268">
        <f t="shared" si="14"/>
        <v>0</v>
      </c>
      <c r="CP47" s="128">
        <f t="shared" si="63"/>
        <v>0</v>
      </c>
      <c r="CQ47" s="123">
        <f t="shared" si="64"/>
        <v>0</v>
      </c>
      <c r="CS47" s="132">
        <f t="shared" si="65"/>
        <v>0</v>
      </c>
      <c r="CT47" s="123">
        <f t="shared" si="21"/>
        <v>0</v>
      </c>
      <c r="CU47" s="123">
        <f t="shared" si="22"/>
        <v>0</v>
      </c>
      <c r="CV47" s="123">
        <f t="shared" si="23"/>
        <v>0</v>
      </c>
      <c r="CW47" s="123">
        <f t="shared" si="24"/>
        <v>0</v>
      </c>
      <c r="CX47" s="425"/>
      <c r="CY47" s="425"/>
    </row>
    <row r="48" spans="1:103" s="127" customFormat="1" ht="13.5">
      <c r="A48" s="109">
        <v>290</v>
      </c>
      <c r="B48" s="793" t="s">
        <v>67</v>
      </c>
      <c r="C48" s="794"/>
      <c r="D48" s="795"/>
      <c r="E48" s="102">
        <f>SUM(E49:E54)</f>
        <v>0</v>
      </c>
      <c r="F48" s="140">
        <f>F49+F54</f>
        <v>0</v>
      </c>
      <c r="G48" s="491"/>
      <c r="H48" s="102">
        <f t="shared" si="0"/>
        <v>0</v>
      </c>
      <c r="I48" s="102">
        <f>SUM(I49:I54)</f>
        <v>0</v>
      </c>
      <c r="J48" s="140">
        <f>J49+J54</f>
        <v>0</v>
      </c>
      <c r="K48" s="102"/>
      <c r="L48" s="102">
        <f t="shared" si="68"/>
        <v>0</v>
      </c>
      <c r="M48" s="102">
        <f>SUM(M49:M55)</f>
        <v>0</v>
      </c>
      <c r="N48" s="102">
        <f>SUM(N49:N55)</f>
        <v>11.026</v>
      </c>
      <c r="O48" s="102"/>
      <c r="P48" s="109">
        <f t="shared" si="69"/>
        <v>11.026</v>
      </c>
      <c r="Q48" s="102">
        <f>SUM(Q49:Q54)</f>
        <v>0</v>
      </c>
      <c r="R48" s="140">
        <f>R49+R54</f>
        <v>0</v>
      </c>
      <c r="S48" s="102"/>
      <c r="T48" s="102">
        <f>R48-Q48</f>
        <v>0</v>
      </c>
      <c r="U48" s="102">
        <f>SUM(U49:U54)</f>
        <v>0</v>
      </c>
      <c r="V48" s="140">
        <f>V49+V54</f>
        <v>0</v>
      </c>
      <c r="W48" s="109"/>
      <c r="X48" s="100">
        <f t="shared" si="60"/>
        <v>0</v>
      </c>
      <c r="Y48" s="102">
        <f>SUM(Y49:Y54)</f>
        <v>0</v>
      </c>
      <c r="Z48" s="140">
        <f>Z49+Z54</f>
        <v>0</v>
      </c>
      <c r="AA48" s="710">
        <v>0</v>
      </c>
      <c r="AB48" s="109">
        <f t="shared" si="62"/>
        <v>0</v>
      </c>
      <c r="AC48" s="102">
        <f>SUM(AC49:AC54)</f>
        <v>0</v>
      </c>
      <c r="AD48" s="140">
        <f>AD49+AD54</f>
        <v>0</v>
      </c>
      <c r="AE48" s="102"/>
      <c r="AF48" s="102">
        <f>AF49+AF50+AF51+AF54</f>
        <v>0</v>
      </c>
      <c r="AG48" s="99">
        <f t="shared" si="3"/>
        <v>0</v>
      </c>
      <c r="AH48" s="140">
        <f>SUM(AH49:AH55)</f>
        <v>11.026</v>
      </c>
      <c r="AI48" s="102"/>
      <c r="AJ48" s="102">
        <f t="shared" si="32"/>
        <v>11.026</v>
      </c>
      <c r="AK48" s="102">
        <f>SUM(AK49:AK54)</f>
        <v>0</v>
      </c>
      <c r="AL48" s="140">
        <f>AL49+AL54</f>
        <v>0</v>
      </c>
      <c r="AM48" s="99"/>
      <c r="AN48" s="102">
        <f>AL48-AK48</f>
        <v>0</v>
      </c>
      <c r="AO48" s="102">
        <f>SUM(AO49:AO54)</f>
        <v>0</v>
      </c>
      <c r="AP48" s="102">
        <f>AP49+AP54</f>
        <v>0</v>
      </c>
      <c r="AQ48" s="99"/>
      <c r="AR48" s="102">
        <f>AP48-AO48</f>
        <v>0</v>
      </c>
      <c r="AS48" s="102">
        <f>SUM(AS49:AS54)</f>
        <v>0</v>
      </c>
      <c r="AT48" s="102">
        <f>AT49+AT54+AT50</f>
        <v>0</v>
      </c>
      <c r="AU48" s="102">
        <f>AU49+AU54+AU50</f>
        <v>0</v>
      </c>
      <c r="AV48" s="102">
        <f>AV49+AV54+AV50</f>
        <v>0</v>
      </c>
      <c r="AW48" s="102">
        <f>SUM(AW49:AW54)</f>
        <v>0</v>
      </c>
      <c r="AX48" s="140">
        <f>AX49+AX54+AX50</f>
        <v>0</v>
      </c>
      <c r="AY48" s="102">
        <f>AY49+AY54+AY50</f>
        <v>0</v>
      </c>
      <c r="AZ48" s="102">
        <f>AZ49+AZ54+AZ50</f>
        <v>0</v>
      </c>
      <c r="BA48" s="99">
        <f t="shared" si="8"/>
        <v>0</v>
      </c>
      <c r="BB48" s="64">
        <f t="shared" si="45"/>
        <v>0</v>
      </c>
      <c r="BC48" s="102">
        <f>BC49+BC54+BC50</f>
        <v>0</v>
      </c>
      <c r="BD48" s="102">
        <f>BD49+BD54+BD50</f>
        <v>0</v>
      </c>
      <c r="BE48" s="102">
        <f>SUM(BE49:BE54)</f>
        <v>0</v>
      </c>
      <c r="BF48" s="437">
        <f>BF49+BF54+BF50</f>
        <v>0</v>
      </c>
      <c r="BG48" s="437">
        <f>BG49+BG54+BG50</f>
        <v>0</v>
      </c>
      <c r="BH48" s="437">
        <f>BH49+BH54+BH50</f>
        <v>0</v>
      </c>
      <c r="BI48" s="102">
        <f>SUM(BI49:BI54)</f>
        <v>0</v>
      </c>
      <c r="BJ48" s="437">
        <f>BJ49+BJ54+BJ50</f>
        <v>0</v>
      </c>
      <c r="BK48" s="437">
        <f>BK49+BK54+BK50</f>
        <v>0</v>
      </c>
      <c r="BL48" s="437">
        <f>BL49+BL54+BL50</f>
        <v>0</v>
      </c>
      <c r="BM48" s="102">
        <f>SUM(BM49:BM54)</f>
        <v>0</v>
      </c>
      <c r="BN48" s="438">
        <f>BN49+BN54+BN50</f>
        <v>0</v>
      </c>
      <c r="BO48" s="437">
        <f>BO49+BO54+BO50</f>
        <v>0</v>
      </c>
      <c r="BP48" s="437">
        <f>BP49+BP54+BP50</f>
        <v>0</v>
      </c>
      <c r="BQ48" s="102">
        <f>SUM(BQ49:BQ54)</f>
        <v>0</v>
      </c>
      <c r="BR48" s="437">
        <f>BR49+BR54+BR50</f>
        <v>0</v>
      </c>
      <c r="BS48" s="433">
        <v>0</v>
      </c>
      <c r="BT48" s="99">
        <f t="shared" si="19"/>
        <v>0</v>
      </c>
      <c r="BU48" s="102">
        <f>SUM(BU49:BU54)</f>
        <v>14</v>
      </c>
      <c r="BV48" s="102">
        <f>BV49+BV54+BV50</f>
        <v>0.75</v>
      </c>
      <c r="BW48" s="102">
        <f>BW49+BW54+BW50</f>
        <v>0</v>
      </c>
      <c r="BX48" s="102">
        <f>BX49+BX54+BX50</f>
        <v>0</v>
      </c>
      <c r="BY48" s="102">
        <f>SUM(BY49:BY54)</f>
        <v>350</v>
      </c>
      <c r="BZ48" s="438">
        <f>BZ49+BZ54+BZ50+BZ51</f>
        <v>0</v>
      </c>
      <c r="CA48" s="437">
        <f>CA49+CA54+CA50</f>
        <v>0</v>
      </c>
      <c r="CB48" s="437">
        <f>CB49+CB54+CB50</f>
        <v>-350</v>
      </c>
      <c r="CC48" s="102">
        <f>SUM(CC49:CC54)</f>
        <v>5.4</v>
      </c>
      <c r="CD48" s="438">
        <f>CD49+CD54+CD50</f>
        <v>0</v>
      </c>
      <c r="CE48" s="437">
        <f>CE49+CE54+CE50</f>
        <v>0</v>
      </c>
      <c r="CF48" s="437">
        <f>CF49+CF54+CF50</f>
        <v>0</v>
      </c>
      <c r="CG48" s="102">
        <f>SUM(CG49:CG55)</f>
        <v>75</v>
      </c>
      <c r="CH48" s="102">
        <f>SUM(CH49:CH55)</f>
        <v>2.3969999999999998</v>
      </c>
      <c r="CI48" s="437">
        <f>CI49+CI54+CI50</f>
        <v>0</v>
      </c>
      <c r="CJ48" s="437">
        <f>CJ49+CJ54+CJ50</f>
        <v>0</v>
      </c>
      <c r="CK48" s="433">
        <f>AG48+BA48+BE48+BI48+BM48+BU48+BY48+CC48+BQ48+CG48</f>
        <v>444.4</v>
      </c>
      <c r="CL48" s="438">
        <f>SUM(CL49:CL55)</f>
        <v>14.173</v>
      </c>
      <c r="CM48" s="491">
        <f t="shared" si="13"/>
        <v>3.1892439243924398</v>
      </c>
      <c r="CN48" s="102">
        <f>CN49+CN54+CN50</f>
        <v>-368.65</v>
      </c>
      <c r="CO48" s="102">
        <f>CO49+CO54+CO50</f>
        <v>0</v>
      </c>
      <c r="CP48" s="123">
        <f t="shared" si="63"/>
        <v>11.776</v>
      </c>
      <c r="CQ48" s="123">
        <f t="shared" si="64"/>
        <v>369.4</v>
      </c>
      <c r="CS48" s="123">
        <f t="shared" si="65"/>
        <v>11.776</v>
      </c>
      <c r="CT48" s="123">
        <f t="shared" si="21"/>
        <v>14.173</v>
      </c>
      <c r="CU48" s="123">
        <f t="shared" si="22"/>
        <v>14.173</v>
      </c>
      <c r="CV48" s="123">
        <f t="shared" si="23"/>
        <v>11.026</v>
      </c>
      <c r="CW48" s="123">
        <f t="shared" si="24"/>
        <v>444.4</v>
      </c>
      <c r="CX48" s="123"/>
      <c r="CY48" s="123"/>
    </row>
    <row r="49" spans="1:103">
      <c r="A49" s="108"/>
      <c r="B49" s="796" t="s">
        <v>244</v>
      </c>
      <c r="C49" s="797"/>
      <c r="D49" s="798"/>
      <c r="E49" s="94">
        <v>0</v>
      </c>
      <c r="F49" s="16"/>
      <c r="G49" s="94"/>
      <c r="H49" s="94">
        <f t="shared" si="0"/>
        <v>0</v>
      </c>
      <c r="I49" s="94"/>
      <c r="J49" s="16"/>
      <c r="K49" s="94"/>
      <c r="L49" s="94">
        <f t="shared" si="68"/>
        <v>0</v>
      </c>
      <c r="M49" s="94"/>
      <c r="N49" s="16"/>
      <c r="O49" s="94"/>
      <c r="P49" s="108">
        <f t="shared" si="69"/>
        <v>0</v>
      </c>
      <c r="Q49" s="94"/>
      <c r="R49" s="16"/>
      <c r="S49" s="94"/>
      <c r="T49" s="94">
        <f>R49-Q49</f>
        <v>0</v>
      </c>
      <c r="U49" s="94"/>
      <c r="V49" s="16"/>
      <c r="W49" s="108"/>
      <c r="X49" s="108"/>
      <c r="Y49" s="94"/>
      <c r="Z49" s="16"/>
      <c r="AA49" s="94"/>
      <c r="AB49" s="108">
        <f t="shared" si="62"/>
        <v>0</v>
      </c>
      <c r="AC49" s="94"/>
      <c r="AD49" s="16"/>
      <c r="AE49" s="94"/>
      <c r="AF49" s="108"/>
      <c r="AG49" s="418">
        <f t="shared" si="3"/>
        <v>0</v>
      </c>
      <c r="AH49" s="419">
        <f>F49+J49+N49+R49+V49+Z49+AD49</f>
        <v>0</v>
      </c>
      <c r="AI49" s="419"/>
      <c r="AJ49" s="419">
        <f t="shared" si="32"/>
        <v>0</v>
      </c>
      <c r="AK49" s="94"/>
      <c r="AL49" s="16"/>
      <c r="AM49" s="94"/>
      <c r="AN49" s="94">
        <f>AL49-AK49</f>
        <v>0</v>
      </c>
      <c r="AO49" s="94"/>
      <c r="AP49" s="419"/>
      <c r="AQ49" s="94"/>
      <c r="AR49" s="94">
        <f>AP49-AO49</f>
        <v>0</v>
      </c>
      <c r="AS49" s="94"/>
      <c r="AT49" s="432"/>
      <c r="AU49" s="94"/>
      <c r="AV49" s="94">
        <f>AT49-AS49</f>
        <v>0</v>
      </c>
      <c r="AW49" s="94"/>
      <c r="AX49" s="16"/>
      <c r="AY49" s="94"/>
      <c r="AZ49" s="94">
        <f>AX49-AW49</f>
        <v>0</v>
      </c>
      <c r="BA49" s="418">
        <f t="shared" si="8"/>
        <v>0</v>
      </c>
      <c r="BB49" s="15">
        <f t="shared" si="45"/>
        <v>0</v>
      </c>
      <c r="BC49" s="419"/>
      <c r="BD49" s="419">
        <f>BB49-BA49</f>
        <v>0</v>
      </c>
      <c r="BE49" s="94"/>
      <c r="BF49" s="432"/>
      <c r="BG49" s="429"/>
      <c r="BH49" s="429">
        <f>BF49-BE49</f>
        <v>0</v>
      </c>
      <c r="BI49" s="429"/>
      <c r="BJ49" s="432"/>
      <c r="BK49" s="429"/>
      <c r="BL49" s="429">
        <f>BJ49-BI49</f>
        <v>0</v>
      </c>
      <c r="BM49" s="429"/>
      <c r="BN49" s="202"/>
      <c r="BO49" s="429"/>
      <c r="BP49" s="429">
        <f>BN49-BM49</f>
        <v>0</v>
      </c>
      <c r="BQ49" s="429"/>
      <c r="BR49" s="432"/>
      <c r="BS49" s="436">
        <v>0</v>
      </c>
      <c r="BT49" s="92">
        <f t="shared" si="19"/>
        <v>0</v>
      </c>
      <c r="BU49" s="94"/>
      <c r="BV49" s="419">
        <v>0.75</v>
      </c>
      <c r="BW49" s="94"/>
      <c r="BX49" s="108"/>
      <c r="BY49" s="429"/>
      <c r="BZ49" s="202"/>
      <c r="CA49" s="441"/>
      <c r="CB49" s="430">
        <f t="shared" si="27"/>
        <v>0</v>
      </c>
      <c r="CC49" s="430"/>
      <c r="CD49" s="500"/>
      <c r="CE49" s="430"/>
      <c r="CF49" s="430"/>
      <c r="CG49" s="430"/>
      <c r="CH49" s="206"/>
      <c r="CI49" s="430"/>
      <c r="CJ49" s="430"/>
      <c r="CK49" s="435">
        <f t="shared" ref="CK49:CK50" si="73">AG49+BA49+BE49+BI49+BM49+BU49+BY49+CC49+BQ49+CG49</f>
        <v>0</v>
      </c>
      <c r="CL49" s="202">
        <f t="shared" ref="CL49:CL55" si="74">AH49+BB49+BF49+BJ49+BN49+BR49+BV49+BZ49+CD49+CH49</f>
        <v>0.75</v>
      </c>
      <c r="CM49" s="419">
        <v>0</v>
      </c>
      <c r="CN49" s="419">
        <f t="shared" si="14"/>
        <v>0.75</v>
      </c>
      <c r="CP49" s="128">
        <f t="shared" si="63"/>
        <v>0.75</v>
      </c>
      <c r="CQ49" s="123">
        <f t="shared" si="64"/>
        <v>0</v>
      </c>
      <c r="CS49" s="132">
        <f t="shared" si="65"/>
        <v>0.75</v>
      </c>
      <c r="CT49" s="123">
        <f t="shared" si="21"/>
        <v>0.75</v>
      </c>
      <c r="CU49" s="123">
        <f t="shared" si="22"/>
        <v>0.75</v>
      </c>
      <c r="CV49" s="123">
        <f t="shared" si="23"/>
        <v>0</v>
      </c>
      <c r="CW49" s="123">
        <f t="shared" si="24"/>
        <v>0</v>
      </c>
      <c r="CX49" s="425"/>
      <c r="CY49" s="425"/>
    </row>
    <row r="50" spans="1:103" ht="15.75" customHeight="1">
      <c r="A50" s="108"/>
      <c r="B50" s="781" t="s">
        <v>215</v>
      </c>
      <c r="C50" s="782"/>
      <c r="D50" s="783"/>
      <c r="E50" s="94"/>
      <c r="F50" s="16"/>
      <c r="G50" s="94"/>
      <c r="H50" s="94"/>
      <c r="I50" s="94"/>
      <c r="J50" s="16"/>
      <c r="K50" s="108"/>
      <c r="L50" s="108"/>
      <c r="M50" s="94"/>
      <c r="N50" s="16"/>
      <c r="O50" s="94"/>
      <c r="P50" s="108"/>
      <c r="Q50" s="94"/>
      <c r="R50" s="16"/>
      <c r="S50" s="94"/>
      <c r="T50" s="94">
        <f>R50-Q50</f>
        <v>0</v>
      </c>
      <c r="U50" s="94"/>
      <c r="V50" s="16"/>
      <c r="W50" s="108"/>
      <c r="X50" s="108"/>
      <c r="Y50" s="94"/>
      <c r="Z50" s="16"/>
      <c r="AA50" s="94"/>
      <c r="AB50" s="108"/>
      <c r="AC50" s="94"/>
      <c r="AD50" s="16"/>
      <c r="AE50" s="94"/>
      <c r="AF50" s="108"/>
      <c r="AG50" s="418">
        <f t="shared" si="3"/>
        <v>0</v>
      </c>
      <c r="AH50" s="419">
        <f t="shared" si="3"/>
        <v>0</v>
      </c>
      <c r="AI50" s="419"/>
      <c r="AJ50" s="419">
        <f t="shared" si="32"/>
        <v>0</v>
      </c>
      <c r="AK50" s="94"/>
      <c r="AL50" s="16"/>
      <c r="AM50" s="94"/>
      <c r="AN50" s="94"/>
      <c r="AO50" s="94"/>
      <c r="AP50" s="419"/>
      <c r="AQ50" s="94"/>
      <c r="AR50" s="94"/>
      <c r="AS50" s="94"/>
      <c r="AT50" s="419"/>
      <c r="AU50" s="94"/>
      <c r="AV50" s="94"/>
      <c r="AW50" s="94"/>
      <c r="AX50" s="16"/>
      <c r="AY50" s="94"/>
      <c r="AZ50" s="94"/>
      <c r="BA50" s="418">
        <f t="shared" si="8"/>
        <v>0</v>
      </c>
      <c r="BB50" s="15">
        <f t="shared" si="45"/>
        <v>0</v>
      </c>
      <c r="BC50" s="419"/>
      <c r="BD50" s="419"/>
      <c r="BE50" s="94"/>
      <c r="BF50" s="432"/>
      <c r="BG50" s="429"/>
      <c r="BH50" s="429"/>
      <c r="BI50" s="429"/>
      <c r="BJ50" s="432"/>
      <c r="BK50" s="429"/>
      <c r="BL50" s="429"/>
      <c r="BM50" s="429"/>
      <c r="BN50" s="432"/>
      <c r="BO50" s="429"/>
      <c r="BP50" s="429"/>
      <c r="BQ50" s="429"/>
      <c r="BR50" s="432"/>
      <c r="BS50" s="436">
        <v>0</v>
      </c>
      <c r="BT50" s="92">
        <f t="shared" si="19"/>
        <v>0</v>
      </c>
      <c r="BU50" s="94">
        <v>14</v>
      </c>
      <c r="BV50" s="419"/>
      <c r="BW50" s="94"/>
      <c r="BX50" s="108"/>
      <c r="BY50" s="429">
        <v>50</v>
      </c>
      <c r="BZ50" s="202"/>
      <c r="CA50" s="441"/>
      <c r="CB50" s="430">
        <f t="shared" si="27"/>
        <v>-50</v>
      </c>
      <c r="CC50" s="430">
        <v>5.4</v>
      </c>
      <c r="CD50" s="442"/>
      <c r="CE50" s="430"/>
      <c r="CF50" s="430"/>
      <c r="CG50" s="430"/>
      <c r="CH50" s="442"/>
      <c r="CI50" s="430"/>
      <c r="CJ50" s="430"/>
      <c r="CK50" s="435">
        <f t="shared" si="73"/>
        <v>69.400000000000006</v>
      </c>
      <c r="CL50" s="202">
        <f t="shared" si="74"/>
        <v>0</v>
      </c>
      <c r="CM50" s="419">
        <v>0</v>
      </c>
      <c r="CN50" s="419">
        <f t="shared" si="14"/>
        <v>-69.400000000000006</v>
      </c>
      <c r="CP50" s="128">
        <f t="shared" si="63"/>
        <v>0</v>
      </c>
      <c r="CQ50" s="123">
        <f t="shared" si="64"/>
        <v>69.400000000000006</v>
      </c>
      <c r="CS50" s="132">
        <f t="shared" si="65"/>
        <v>0</v>
      </c>
      <c r="CT50" s="123">
        <f t="shared" si="21"/>
        <v>0</v>
      </c>
      <c r="CU50" s="123">
        <f t="shared" si="22"/>
        <v>0</v>
      </c>
      <c r="CV50" s="123">
        <f t="shared" si="23"/>
        <v>0</v>
      </c>
      <c r="CW50" s="123">
        <f t="shared" si="24"/>
        <v>69.400000000000006</v>
      </c>
      <c r="CX50" s="425"/>
      <c r="CY50" s="425"/>
    </row>
    <row r="51" spans="1:103">
      <c r="A51" s="108"/>
      <c r="B51" s="781" t="s">
        <v>244</v>
      </c>
      <c r="C51" s="782"/>
      <c r="D51" s="783"/>
      <c r="E51" s="94"/>
      <c r="F51" s="16"/>
      <c r="G51" s="94"/>
      <c r="H51" s="94"/>
      <c r="I51" s="94"/>
      <c r="J51" s="16"/>
      <c r="K51" s="108"/>
      <c r="L51" s="108"/>
      <c r="M51" s="94"/>
      <c r="N51" s="16">
        <v>11.026</v>
      </c>
      <c r="O51" s="94"/>
      <c r="P51" s="108"/>
      <c r="Q51" s="94"/>
      <c r="R51" s="16"/>
      <c r="S51" s="94"/>
      <c r="T51" s="108"/>
      <c r="U51" s="94"/>
      <c r="V51" s="16"/>
      <c r="W51" s="108"/>
      <c r="X51" s="108"/>
      <c r="Y51" s="94"/>
      <c r="Z51" s="16"/>
      <c r="AA51" s="94"/>
      <c r="AB51" s="108"/>
      <c r="AC51" s="94"/>
      <c r="AD51" s="16"/>
      <c r="AE51" s="94"/>
      <c r="AF51" s="108"/>
      <c r="AG51" s="418">
        <f t="shared" si="3"/>
        <v>0</v>
      </c>
      <c r="AH51" s="419">
        <f t="shared" si="3"/>
        <v>11.026</v>
      </c>
      <c r="AI51" s="419" t="e">
        <f>AH51/AG51*100</f>
        <v>#DIV/0!</v>
      </c>
      <c r="AJ51" s="419">
        <f t="shared" si="32"/>
        <v>11.026</v>
      </c>
      <c r="AK51" s="94"/>
      <c r="AL51" s="16"/>
      <c r="AM51" s="94"/>
      <c r="AN51" s="94"/>
      <c r="AO51" s="94"/>
      <c r="AP51" s="419"/>
      <c r="AQ51" s="94"/>
      <c r="AR51" s="94"/>
      <c r="AS51" s="94"/>
      <c r="AT51" s="419"/>
      <c r="AU51" s="94"/>
      <c r="AV51" s="94"/>
      <c r="AW51" s="94"/>
      <c r="AX51" s="16"/>
      <c r="AY51" s="94"/>
      <c r="AZ51" s="94"/>
      <c r="BA51" s="418">
        <f t="shared" si="8"/>
        <v>0</v>
      </c>
      <c r="BB51" s="15">
        <f t="shared" si="45"/>
        <v>0</v>
      </c>
      <c r="BC51" s="419"/>
      <c r="BD51" s="419"/>
      <c r="BE51" s="94"/>
      <c r="BF51" s="432"/>
      <c r="BG51" s="429"/>
      <c r="BH51" s="429"/>
      <c r="BI51" s="429"/>
      <c r="BJ51" s="432"/>
      <c r="BK51" s="429"/>
      <c r="BL51" s="429"/>
      <c r="BM51" s="429"/>
      <c r="BN51" s="432"/>
      <c r="BO51" s="429"/>
      <c r="BP51" s="429"/>
      <c r="BQ51" s="429"/>
      <c r="BR51" s="432"/>
      <c r="BS51" s="436">
        <v>0</v>
      </c>
      <c r="BT51" s="92">
        <f t="shared" si="19"/>
        <v>0</v>
      </c>
      <c r="BU51" s="94"/>
      <c r="BV51" s="419"/>
      <c r="BW51" s="94"/>
      <c r="BX51" s="108"/>
      <c r="BY51" s="429"/>
      <c r="BZ51" s="202"/>
      <c r="CA51" s="441"/>
      <c r="CB51" s="430">
        <f t="shared" si="27"/>
        <v>0</v>
      </c>
      <c r="CC51" s="430"/>
      <c r="CD51" s="442"/>
      <c r="CE51" s="430"/>
      <c r="CF51" s="430"/>
      <c r="CG51" s="430">
        <v>70</v>
      </c>
      <c r="CH51" s="442"/>
      <c r="CI51" s="430"/>
      <c r="CJ51" s="430"/>
      <c r="CK51" s="435">
        <f>AG51+BA51+BE51+BI51+BM51+BU51+BY51+CC51+BQ51+CG51</f>
        <v>70</v>
      </c>
      <c r="CL51" s="202">
        <f t="shared" si="74"/>
        <v>11.026</v>
      </c>
      <c r="CM51" s="419">
        <f t="shared" si="13"/>
        <v>15.751428571428573</v>
      </c>
      <c r="CN51" s="419">
        <f t="shared" si="14"/>
        <v>-58.974000000000004</v>
      </c>
      <c r="CP51" s="128">
        <f t="shared" si="63"/>
        <v>11.026</v>
      </c>
      <c r="CQ51" s="123">
        <f t="shared" si="64"/>
        <v>0</v>
      </c>
      <c r="CS51" s="132">
        <f t="shared" si="65"/>
        <v>11.026</v>
      </c>
      <c r="CT51" s="123">
        <f t="shared" si="21"/>
        <v>11.026</v>
      </c>
      <c r="CU51" s="123">
        <f t="shared" si="22"/>
        <v>11.026</v>
      </c>
      <c r="CV51" s="123">
        <f t="shared" si="23"/>
        <v>11.026</v>
      </c>
      <c r="CW51" s="123">
        <f t="shared" si="24"/>
        <v>70</v>
      </c>
      <c r="CX51" s="425"/>
      <c r="CY51" s="425"/>
    </row>
    <row r="52" spans="1:103">
      <c r="A52" s="108"/>
      <c r="B52" s="781" t="s">
        <v>240</v>
      </c>
      <c r="C52" s="782"/>
      <c r="D52" s="783"/>
      <c r="E52" s="94"/>
      <c r="F52" s="16"/>
      <c r="G52" s="94"/>
      <c r="H52" s="94"/>
      <c r="I52" s="94"/>
      <c r="J52" s="16"/>
      <c r="K52" s="108"/>
      <c r="L52" s="108"/>
      <c r="M52" s="94"/>
      <c r="N52" s="16"/>
      <c r="O52" s="94"/>
      <c r="P52" s="108"/>
      <c r="Q52" s="94"/>
      <c r="R52" s="16"/>
      <c r="S52" s="94"/>
      <c r="T52" s="108"/>
      <c r="U52" s="94"/>
      <c r="V52" s="16"/>
      <c r="W52" s="108"/>
      <c r="X52" s="108"/>
      <c r="Y52" s="94"/>
      <c r="Z52" s="16"/>
      <c r="AA52" s="94"/>
      <c r="AB52" s="108"/>
      <c r="AC52" s="94"/>
      <c r="AD52" s="16"/>
      <c r="AE52" s="94"/>
      <c r="AF52" s="108"/>
      <c r="AG52" s="418">
        <f t="shared" si="3"/>
        <v>0</v>
      </c>
      <c r="AH52" s="419">
        <f t="shared" si="3"/>
        <v>0</v>
      </c>
      <c r="AI52" s="419" t="e">
        <f>AH52/AG52*100</f>
        <v>#DIV/0!</v>
      </c>
      <c r="AJ52" s="419">
        <f t="shared" si="32"/>
        <v>0</v>
      </c>
      <c r="AK52" s="94"/>
      <c r="AL52" s="16"/>
      <c r="AM52" s="94"/>
      <c r="AN52" s="94"/>
      <c r="AO52" s="94"/>
      <c r="AP52" s="419"/>
      <c r="AQ52" s="94"/>
      <c r="AR52" s="94"/>
      <c r="AS52" s="94"/>
      <c r="AT52" s="419"/>
      <c r="AU52" s="94"/>
      <c r="AV52" s="94"/>
      <c r="AW52" s="94"/>
      <c r="AX52" s="16"/>
      <c r="AY52" s="94"/>
      <c r="AZ52" s="94"/>
      <c r="BA52" s="418">
        <f t="shared" si="8"/>
        <v>0</v>
      </c>
      <c r="BB52" s="15">
        <f t="shared" si="45"/>
        <v>0</v>
      </c>
      <c r="BC52" s="419"/>
      <c r="BD52" s="419"/>
      <c r="BE52" s="94"/>
      <c r="BF52" s="432"/>
      <c r="BG52" s="429"/>
      <c r="BH52" s="429"/>
      <c r="BI52" s="429"/>
      <c r="BJ52" s="432"/>
      <c r="BK52" s="429"/>
      <c r="BL52" s="429"/>
      <c r="BM52" s="429"/>
      <c r="BN52" s="432"/>
      <c r="BO52" s="429"/>
      <c r="BP52" s="429"/>
      <c r="BQ52" s="429"/>
      <c r="BR52" s="432"/>
      <c r="BS52" s="436">
        <v>0</v>
      </c>
      <c r="BT52" s="92">
        <f t="shared" si="19"/>
        <v>0</v>
      </c>
      <c r="BU52" s="94"/>
      <c r="BV52" s="419"/>
      <c r="BW52" s="94"/>
      <c r="BX52" s="108"/>
      <c r="BY52" s="429"/>
      <c r="BZ52" s="202"/>
      <c r="CA52" s="441"/>
      <c r="CB52" s="430"/>
      <c r="CC52" s="430"/>
      <c r="CD52" s="442"/>
      <c r="CE52" s="430"/>
      <c r="CF52" s="430"/>
      <c r="CG52" s="430"/>
      <c r="CH52" s="442"/>
      <c r="CI52" s="430"/>
      <c r="CJ52" s="430"/>
      <c r="CK52" s="435">
        <f t="shared" ref="CK52:CK55" si="75">AG52+BA52+BE52+BI52+BM52+BU52+BY52+CC52+BQ52+CG52</f>
        <v>0</v>
      </c>
      <c r="CL52" s="202">
        <f t="shared" si="74"/>
        <v>0</v>
      </c>
      <c r="CM52" s="419">
        <v>0</v>
      </c>
      <c r="CN52" s="419">
        <f t="shared" si="14"/>
        <v>0</v>
      </c>
      <c r="CP52" s="128">
        <f t="shared" si="63"/>
        <v>0</v>
      </c>
      <c r="CQ52" s="123">
        <f t="shared" si="64"/>
        <v>0</v>
      </c>
      <c r="CS52" s="132">
        <f t="shared" si="65"/>
        <v>0</v>
      </c>
      <c r="CT52" s="123">
        <f t="shared" si="21"/>
        <v>0</v>
      </c>
      <c r="CU52" s="123">
        <f t="shared" si="22"/>
        <v>0</v>
      </c>
      <c r="CV52" s="123">
        <f t="shared" si="23"/>
        <v>0</v>
      </c>
      <c r="CW52" s="123">
        <f t="shared" si="24"/>
        <v>0</v>
      </c>
      <c r="CX52" s="425"/>
      <c r="CY52" s="425"/>
    </row>
    <row r="53" spans="1:103">
      <c r="A53" s="108"/>
      <c r="B53" s="488" t="s">
        <v>831</v>
      </c>
      <c r="C53" s="489"/>
      <c r="D53" s="490"/>
      <c r="E53" s="94"/>
      <c r="F53" s="16"/>
      <c r="G53" s="94"/>
      <c r="H53" s="94"/>
      <c r="I53" s="94"/>
      <c r="J53" s="16"/>
      <c r="K53" s="108"/>
      <c r="L53" s="108"/>
      <c r="M53" s="94"/>
      <c r="N53" s="16"/>
      <c r="O53" s="94"/>
      <c r="P53" s="108"/>
      <c r="Q53" s="94"/>
      <c r="R53" s="16"/>
      <c r="S53" s="94"/>
      <c r="T53" s="108"/>
      <c r="U53" s="94"/>
      <c r="V53" s="16"/>
      <c r="W53" s="108"/>
      <c r="X53" s="108"/>
      <c r="Y53" s="94"/>
      <c r="Z53" s="16"/>
      <c r="AA53" s="94"/>
      <c r="AB53" s="108"/>
      <c r="AC53" s="94"/>
      <c r="AD53" s="16"/>
      <c r="AE53" s="94"/>
      <c r="AF53" s="108"/>
      <c r="AG53" s="418"/>
      <c r="AH53" s="419">
        <f t="shared" si="3"/>
        <v>0</v>
      </c>
      <c r="AI53" s="419"/>
      <c r="AJ53" s="419"/>
      <c r="AK53" s="94"/>
      <c r="AL53" s="16"/>
      <c r="AM53" s="94"/>
      <c r="AN53" s="94"/>
      <c r="AO53" s="94"/>
      <c r="AP53" s="419"/>
      <c r="AQ53" s="94"/>
      <c r="AR53" s="94"/>
      <c r="AS53" s="94"/>
      <c r="AT53" s="419"/>
      <c r="AU53" s="94"/>
      <c r="AV53" s="94"/>
      <c r="AW53" s="94"/>
      <c r="AX53" s="16"/>
      <c r="AY53" s="94"/>
      <c r="AZ53" s="94"/>
      <c r="BA53" s="418">
        <f t="shared" si="8"/>
        <v>0</v>
      </c>
      <c r="BB53" s="15">
        <f t="shared" si="45"/>
        <v>0</v>
      </c>
      <c r="BC53" s="419"/>
      <c r="BD53" s="419"/>
      <c r="BE53" s="94"/>
      <c r="BF53" s="432"/>
      <c r="BG53" s="429"/>
      <c r="BH53" s="429"/>
      <c r="BI53" s="429"/>
      <c r="BJ53" s="432"/>
      <c r="BK53" s="429"/>
      <c r="BL53" s="429"/>
      <c r="BM53" s="429"/>
      <c r="BN53" s="432"/>
      <c r="BO53" s="429"/>
      <c r="BP53" s="429"/>
      <c r="BQ53" s="429"/>
      <c r="BR53" s="432"/>
      <c r="BS53" s="436"/>
      <c r="BT53" s="92"/>
      <c r="BU53" s="94"/>
      <c r="BV53" s="419"/>
      <c r="BW53" s="94"/>
      <c r="BX53" s="108"/>
      <c r="BY53" s="429"/>
      <c r="BZ53" s="202"/>
      <c r="CA53" s="441"/>
      <c r="CB53" s="430"/>
      <c r="CC53" s="430"/>
      <c r="CD53" s="442"/>
      <c r="CE53" s="430"/>
      <c r="CF53" s="430"/>
      <c r="CG53" s="430"/>
      <c r="CH53" s="442"/>
      <c r="CI53" s="430"/>
      <c r="CJ53" s="430"/>
      <c r="CK53" s="435">
        <f t="shared" si="75"/>
        <v>0</v>
      </c>
      <c r="CL53" s="202">
        <v>0</v>
      </c>
      <c r="CM53" s="419">
        <v>0</v>
      </c>
      <c r="CN53" s="419">
        <f t="shared" si="14"/>
        <v>0</v>
      </c>
      <c r="CP53" s="128"/>
      <c r="CQ53" s="123"/>
      <c r="CS53" s="132"/>
      <c r="CT53" s="123"/>
      <c r="CU53" s="123"/>
      <c r="CV53" s="123"/>
      <c r="CW53" s="123"/>
      <c r="CX53" s="425"/>
      <c r="CY53" s="425"/>
    </row>
    <row r="54" spans="1:103" ht="16.5" customHeight="1">
      <c r="A54" s="108"/>
      <c r="B54" s="799" t="s">
        <v>210</v>
      </c>
      <c r="C54" s="800"/>
      <c r="D54" s="801"/>
      <c r="E54" s="94"/>
      <c r="F54" s="16"/>
      <c r="G54" s="94"/>
      <c r="H54" s="94"/>
      <c r="I54" s="94"/>
      <c r="J54" s="16"/>
      <c r="K54" s="108"/>
      <c r="L54" s="108"/>
      <c r="M54" s="94"/>
      <c r="N54" s="16"/>
      <c r="O54" s="94"/>
      <c r="P54" s="108">
        <f t="shared" si="29"/>
        <v>0</v>
      </c>
      <c r="Q54" s="94"/>
      <c r="R54" s="16"/>
      <c r="S54" s="94"/>
      <c r="T54" s="94">
        <f>R54-Q54</f>
        <v>0</v>
      </c>
      <c r="U54" s="94"/>
      <c r="V54" s="16"/>
      <c r="W54" s="108"/>
      <c r="X54" s="108">
        <f>V54-U54</f>
        <v>0</v>
      </c>
      <c r="Y54" s="94"/>
      <c r="Z54" s="16"/>
      <c r="AA54" s="94"/>
      <c r="AB54" s="108">
        <f t="shared" ref="AB54:AB75" si="76">Z54-Y54</f>
        <v>0</v>
      </c>
      <c r="AC54" s="94"/>
      <c r="AD54" s="16"/>
      <c r="AE54" s="94"/>
      <c r="AF54" s="108">
        <f>AD54-AC54</f>
        <v>0</v>
      </c>
      <c r="AG54" s="418">
        <f t="shared" si="3"/>
        <v>0</v>
      </c>
      <c r="AH54" s="419">
        <f t="shared" si="3"/>
        <v>0</v>
      </c>
      <c r="AI54" s="419"/>
      <c r="AJ54" s="419">
        <f t="shared" si="32"/>
        <v>0</v>
      </c>
      <c r="AK54" s="94"/>
      <c r="AL54" s="16"/>
      <c r="AM54" s="94"/>
      <c r="AN54" s="94"/>
      <c r="AO54" s="94"/>
      <c r="AP54" s="419"/>
      <c r="AQ54" s="94"/>
      <c r="AR54" s="94"/>
      <c r="AS54" s="94"/>
      <c r="AT54" s="419"/>
      <c r="AU54" s="94"/>
      <c r="AV54" s="94"/>
      <c r="AW54" s="94"/>
      <c r="AX54" s="16"/>
      <c r="AY54" s="94"/>
      <c r="AZ54" s="94"/>
      <c r="BA54" s="418">
        <f t="shared" si="8"/>
        <v>0</v>
      </c>
      <c r="BB54" s="15">
        <f t="shared" si="45"/>
        <v>0</v>
      </c>
      <c r="BC54" s="419"/>
      <c r="BD54" s="419"/>
      <c r="BE54" s="94"/>
      <c r="BF54" s="432"/>
      <c r="BG54" s="429"/>
      <c r="BH54" s="429"/>
      <c r="BI54" s="429"/>
      <c r="BJ54" s="432"/>
      <c r="BK54" s="429"/>
      <c r="BL54" s="429"/>
      <c r="BM54" s="429"/>
      <c r="BN54" s="432"/>
      <c r="BO54" s="429"/>
      <c r="BP54" s="429"/>
      <c r="BQ54" s="429"/>
      <c r="BR54" s="432"/>
      <c r="BS54" s="436">
        <v>0</v>
      </c>
      <c r="BT54" s="92">
        <f t="shared" si="19"/>
        <v>0</v>
      </c>
      <c r="BU54" s="94"/>
      <c r="BV54" s="419"/>
      <c r="BW54" s="94"/>
      <c r="BX54" s="108">
        <f t="shared" ref="BX54:BX67" si="77">BV54-BU54</f>
        <v>0</v>
      </c>
      <c r="BY54" s="432">
        <v>300</v>
      </c>
      <c r="BZ54" s="202"/>
      <c r="CA54" s="429"/>
      <c r="CB54" s="430">
        <f t="shared" si="27"/>
        <v>-300</v>
      </c>
      <c r="CC54" s="430"/>
      <c r="CD54" s="442"/>
      <c r="CE54" s="430"/>
      <c r="CF54" s="430"/>
      <c r="CG54" s="430"/>
      <c r="CH54" s="442"/>
      <c r="CI54" s="430"/>
      <c r="CJ54" s="430"/>
      <c r="CK54" s="435">
        <f t="shared" si="75"/>
        <v>300</v>
      </c>
      <c r="CL54" s="202">
        <f t="shared" si="74"/>
        <v>0</v>
      </c>
      <c r="CM54" s="419">
        <f t="shared" si="13"/>
        <v>0</v>
      </c>
      <c r="CN54" s="419">
        <f t="shared" si="14"/>
        <v>-300</v>
      </c>
      <c r="CP54" s="128">
        <f t="shared" si="63"/>
        <v>0</v>
      </c>
      <c r="CQ54" s="123">
        <f t="shared" si="64"/>
        <v>300</v>
      </c>
      <c r="CS54" s="132">
        <f t="shared" si="65"/>
        <v>0</v>
      </c>
      <c r="CT54" s="123">
        <f t="shared" si="21"/>
        <v>0</v>
      </c>
      <c r="CU54" s="123">
        <f t="shared" si="22"/>
        <v>0</v>
      </c>
      <c r="CV54" s="123">
        <f t="shared" si="23"/>
        <v>0</v>
      </c>
      <c r="CW54" s="123">
        <f t="shared" si="24"/>
        <v>300</v>
      </c>
      <c r="CX54" s="425"/>
      <c r="CY54" s="425"/>
    </row>
    <row r="55" spans="1:103" s="423" customFormat="1" ht="12.75" customHeight="1">
      <c r="A55" s="698">
        <v>292</v>
      </c>
      <c r="B55" s="697" t="s">
        <v>965</v>
      </c>
      <c r="C55" s="693"/>
      <c r="D55" s="694"/>
      <c r="E55" s="419"/>
      <c r="F55" s="16"/>
      <c r="G55" s="419"/>
      <c r="H55" s="419"/>
      <c r="I55" s="419"/>
      <c r="J55" s="16"/>
      <c r="K55" s="428"/>
      <c r="L55" s="428"/>
      <c r="M55" s="419"/>
      <c r="N55" s="16"/>
      <c r="O55" s="419"/>
      <c r="P55" s="428"/>
      <c r="Q55" s="419"/>
      <c r="R55" s="16"/>
      <c r="S55" s="419"/>
      <c r="T55" s="419"/>
      <c r="U55" s="419"/>
      <c r="V55" s="16"/>
      <c r="W55" s="428"/>
      <c r="X55" s="428"/>
      <c r="Y55" s="419"/>
      <c r="Z55" s="16"/>
      <c r="AA55" s="419"/>
      <c r="AB55" s="428"/>
      <c r="AC55" s="419"/>
      <c r="AD55" s="16"/>
      <c r="AE55" s="419"/>
      <c r="AF55" s="428"/>
      <c r="AG55" s="418"/>
      <c r="AH55" s="419">
        <f t="shared" si="3"/>
        <v>0</v>
      </c>
      <c r="AI55" s="419"/>
      <c r="AJ55" s="419"/>
      <c r="AK55" s="419"/>
      <c r="AL55" s="16"/>
      <c r="AM55" s="419"/>
      <c r="AN55" s="419"/>
      <c r="AO55" s="419"/>
      <c r="AP55" s="419"/>
      <c r="AQ55" s="419"/>
      <c r="AR55" s="419"/>
      <c r="AS55" s="419"/>
      <c r="AT55" s="419"/>
      <c r="AU55" s="419"/>
      <c r="AV55" s="419"/>
      <c r="AW55" s="419"/>
      <c r="AX55" s="16"/>
      <c r="AY55" s="419"/>
      <c r="AZ55" s="419"/>
      <c r="BA55" s="418">
        <f t="shared" si="8"/>
        <v>0</v>
      </c>
      <c r="BB55" s="15">
        <f t="shared" si="45"/>
        <v>0</v>
      </c>
      <c r="BC55" s="419"/>
      <c r="BD55" s="419"/>
      <c r="BE55" s="419"/>
      <c r="BF55" s="432"/>
      <c r="BG55" s="432"/>
      <c r="BH55" s="432"/>
      <c r="BI55" s="432"/>
      <c r="BJ55" s="432"/>
      <c r="BK55" s="432"/>
      <c r="BL55" s="432"/>
      <c r="BM55" s="432"/>
      <c r="BN55" s="432"/>
      <c r="BO55" s="432"/>
      <c r="BP55" s="432"/>
      <c r="BQ55" s="432"/>
      <c r="BR55" s="432"/>
      <c r="BS55" s="435"/>
      <c r="BT55" s="418"/>
      <c r="BU55" s="419"/>
      <c r="BV55" s="419"/>
      <c r="BW55" s="419"/>
      <c r="BX55" s="428"/>
      <c r="BY55" s="432"/>
      <c r="BZ55" s="202"/>
      <c r="CA55" s="695"/>
      <c r="CB55" s="442"/>
      <c r="CC55" s="442"/>
      <c r="CD55" s="442"/>
      <c r="CE55" s="696"/>
      <c r="CF55" s="442"/>
      <c r="CG55" s="442">
        <v>5</v>
      </c>
      <c r="CH55" s="442">
        <v>2.3969999999999998</v>
      </c>
      <c r="CI55" s="696"/>
      <c r="CJ55" s="442"/>
      <c r="CK55" s="435">
        <f t="shared" si="75"/>
        <v>5</v>
      </c>
      <c r="CL55" s="202">
        <f t="shared" si="74"/>
        <v>2.3969999999999998</v>
      </c>
      <c r="CM55" s="419">
        <f t="shared" si="13"/>
        <v>47.939999999999991</v>
      </c>
      <c r="CN55" s="419">
        <f t="shared" si="14"/>
        <v>-2.6030000000000002</v>
      </c>
      <c r="CP55" s="425"/>
      <c r="CQ55" s="425"/>
      <c r="CS55" s="425"/>
      <c r="CT55" s="425"/>
      <c r="CU55" s="425"/>
      <c r="CV55" s="425"/>
      <c r="CW55" s="425"/>
      <c r="CX55" s="425"/>
      <c r="CY55" s="425"/>
    </row>
    <row r="56" spans="1:103" s="502" customFormat="1" ht="27" customHeight="1">
      <c r="A56" s="475">
        <v>300</v>
      </c>
      <c r="B56" s="904" t="s">
        <v>217</v>
      </c>
      <c r="C56" s="905"/>
      <c r="D56" s="906"/>
      <c r="E56" s="476">
        <f>E57+E65</f>
        <v>1535</v>
      </c>
      <c r="F56" s="477">
        <f>F57+F65</f>
        <v>255.11340000000001</v>
      </c>
      <c r="G56" s="476">
        <f>F56/E56*100</f>
        <v>16.619765472312704</v>
      </c>
      <c r="H56" s="478">
        <f>F56-E56</f>
        <v>-1279.8866</v>
      </c>
      <c r="I56" s="476">
        <f>I57+I65</f>
        <v>3460</v>
      </c>
      <c r="J56" s="477">
        <f>J57+J65</f>
        <v>726.92075999999997</v>
      </c>
      <c r="K56" s="476">
        <f>J56/I56*100</f>
        <v>21.009270520231212</v>
      </c>
      <c r="L56" s="479">
        <f t="shared" ref="L56:L75" si="78">J56-I56</f>
        <v>-2733.07924</v>
      </c>
      <c r="M56" s="476">
        <f>M57+M65</f>
        <v>6665</v>
      </c>
      <c r="N56" s="477">
        <f>N57+N65</f>
        <v>1748.57395</v>
      </c>
      <c r="O56" s="476">
        <f t="shared" ref="O56:O69" si="79">N56/M56*100</f>
        <v>26.235168042010503</v>
      </c>
      <c r="P56" s="479">
        <f t="shared" si="29"/>
        <v>-4916.42605</v>
      </c>
      <c r="Q56" s="476">
        <f>Q57+Q65</f>
        <v>5600</v>
      </c>
      <c r="R56" s="477">
        <f>R57+R65</f>
        <v>1070.71795</v>
      </c>
      <c r="S56" s="476">
        <f t="shared" ref="S56:S67" si="80">R56/Q56*100</f>
        <v>19.119963392857141</v>
      </c>
      <c r="T56" s="476">
        <f>R56-Q56</f>
        <v>-4529.2820499999998</v>
      </c>
      <c r="U56" s="476">
        <f>U57+U65</f>
        <v>1355</v>
      </c>
      <c r="V56" s="477">
        <f>V57+V65</f>
        <v>222.21299999999999</v>
      </c>
      <c r="W56" s="476">
        <f>V56/U56*100</f>
        <v>16.399483394833947</v>
      </c>
      <c r="X56" s="479">
        <f>V56-U56</f>
        <v>-1132.787</v>
      </c>
      <c r="Y56" s="476">
        <f>Y57+Y65</f>
        <v>4555</v>
      </c>
      <c r="Z56" s="477">
        <f>Z57+Z65</f>
        <v>1051.5908000000002</v>
      </c>
      <c r="AA56" s="476">
        <f t="shared" ref="AA56:AA69" si="81">Z56/Y56*100</f>
        <v>23.086515916575195</v>
      </c>
      <c r="AB56" s="479">
        <f t="shared" si="76"/>
        <v>-3503.4092000000001</v>
      </c>
      <c r="AC56" s="476">
        <f>AC57+AC65</f>
        <v>3460</v>
      </c>
      <c r="AD56" s="477">
        <f>AD57+AD65</f>
        <v>683.62244999999996</v>
      </c>
      <c r="AE56" s="476">
        <f t="shared" ref="AE56:AE68" si="82">AD56/AC56*100</f>
        <v>19.757874277456647</v>
      </c>
      <c r="AF56" s="479">
        <f>AD56-AC56</f>
        <v>-2776.3775500000002</v>
      </c>
      <c r="AG56" s="476">
        <f t="shared" si="3"/>
        <v>26630</v>
      </c>
      <c r="AH56" s="477">
        <f>AH57+AH65</f>
        <v>5758.7523100000008</v>
      </c>
      <c r="AI56" s="476">
        <f t="shared" ref="AI56:AI76" si="83">AH56/AG56*100</f>
        <v>21.625055613969209</v>
      </c>
      <c r="AJ56" s="479">
        <f t="shared" si="32"/>
        <v>-20871.24769</v>
      </c>
      <c r="AK56" s="476">
        <f>AK57+AK65</f>
        <v>505</v>
      </c>
      <c r="AL56" s="477">
        <f>AL57+AL65</f>
        <v>179.24799999999999</v>
      </c>
      <c r="AM56" s="476">
        <f>AL56/AK56*100</f>
        <v>35.494653465346531</v>
      </c>
      <c r="AN56" s="478">
        <f>AL56-AK56</f>
        <v>-325.75200000000001</v>
      </c>
      <c r="AO56" s="476">
        <f>AO57+AO65</f>
        <v>140</v>
      </c>
      <c r="AP56" s="477">
        <f>AP57+AP65</f>
        <v>0</v>
      </c>
      <c r="AQ56" s="476">
        <f>AP56/AO56*100</f>
        <v>0</v>
      </c>
      <c r="AR56" s="478">
        <f>AP56-AO56</f>
        <v>-140</v>
      </c>
      <c r="AS56" s="476">
        <f>AS57+AS65</f>
        <v>430</v>
      </c>
      <c r="AT56" s="477">
        <f>AT57+AT65</f>
        <v>75.650000000000006</v>
      </c>
      <c r="AU56" s="476">
        <f t="shared" ref="AU56:AU66" si="84">AT56/AS56*100</f>
        <v>17.593023255813954</v>
      </c>
      <c r="AV56" s="478">
        <f t="shared" ref="AV56:AV75" si="85">AT56-AS56</f>
        <v>-354.35</v>
      </c>
      <c r="AW56" s="476">
        <f>AW57+AW65</f>
        <v>400</v>
      </c>
      <c r="AX56" s="477">
        <f>AX57+AX65</f>
        <v>22.8</v>
      </c>
      <c r="AY56" s="476">
        <f>AX56/AW56*100</f>
        <v>5.7</v>
      </c>
      <c r="AZ56" s="478">
        <f>AX56-AW56</f>
        <v>-377.2</v>
      </c>
      <c r="BA56" s="476">
        <f t="shared" si="8"/>
        <v>1475</v>
      </c>
      <c r="BB56" s="477">
        <f>BB57+BB65</f>
        <v>277.69799999999998</v>
      </c>
      <c r="BC56" s="476">
        <f>BB56/BA56*100</f>
        <v>18.826983050847456</v>
      </c>
      <c r="BD56" s="478">
        <f>BB56-BA56</f>
        <v>-1197.3020000000001</v>
      </c>
      <c r="BE56" s="476">
        <f>BE57+BE65</f>
        <v>70</v>
      </c>
      <c r="BF56" s="477">
        <f>BF57</f>
        <v>31.14</v>
      </c>
      <c r="BG56" s="480">
        <f>BF56/BE56*100</f>
        <v>44.48571428571428</v>
      </c>
      <c r="BH56" s="481">
        <f>BF56-BE56</f>
        <v>-38.86</v>
      </c>
      <c r="BI56" s="480">
        <f>BI57+BI65</f>
        <v>35</v>
      </c>
      <c r="BJ56" s="477">
        <f>BJ57</f>
        <v>0</v>
      </c>
      <c r="BK56" s="480">
        <f>BJ56/BI56*100</f>
        <v>0</v>
      </c>
      <c r="BL56" s="481">
        <f>BJ56-BI56</f>
        <v>-35</v>
      </c>
      <c r="BM56" s="480">
        <f>BM57+BM65</f>
        <v>50</v>
      </c>
      <c r="BN56" s="477">
        <f>BN57</f>
        <v>0</v>
      </c>
      <c r="BO56" s="480">
        <f>BN56/BM56*100</f>
        <v>0</v>
      </c>
      <c r="BP56" s="481">
        <f t="shared" ref="BP56:BP75" si="86">BN56-BM56</f>
        <v>-50</v>
      </c>
      <c r="BQ56" s="480">
        <f>BQ57+BQ65</f>
        <v>685</v>
      </c>
      <c r="BR56" s="477">
        <f>BR57</f>
        <v>0</v>
      </c>
      <c r="BS56" s="480">
        <f t="shared" si="18"/>
        <v>0</v>
      </c>
      <c r="BT56" s="476">
        <f t="shared" si="19"/>
        <v>-685</v>
      </c>
      <c r="BU56" s="476">
        <f>BU57+BU65</f>
        <v>14.7</v>
      </c>
      <c r="BV56" s="476">
        <f>BV57+BV65</f>
        <v>1</v>
      </c>
      <c r="BW56" s="476">
        <f t="shared" ref="BW56:BW67" si="87">BV56/BU56*100</f>
        <v>6.8027210884353746</v>
      </c>
      <c r="BX56" s="479">
        <f t="shared" si="77"/>
        <v>-13.7</v>
      </c>
      <c r="BY56" s="480">
        <f>BY57+BY65</f>
        <v>820</v>
      </c>
      <c r="BZ56" s="482">
        <f>BZ57+BZ65</f>
        <v>363.35500000000002</v>
      </c>
      <c r="CA56" s="483">
        <f>BZ56/BY56*100</f>
        <v>44.311585365853659</v>
      </c>
      <c r="CB56" s="484">
        <f t="shared" si="27"/>
        <v>-456.64499999999998</v>
      </c>
      <c r="CC56" s="480">
        <f>CC57+CC65</f>
        <v>17.100000000000001</v>
      </c>
      <c r="CD56" s="480">
        <f>CD57+CD65</f>
        <v>6.38</v>
      </c>
      <c r="CE56" s="483">
        <f>CD56/CC56*100</f>
        <v>37.309941520467831</v>
      </c>
      <c r="CF56" s="484">
        <f>CD56-CC56</f>
        <v>-10.720000000000002</v>
      </c>
      <c r="CG56" s="480">
        <f>CG57+CG65</f>
        <v>658.4</v>
      </c>
      <c r="CH56" s="480">
        <f>CH57+CH65</f>
        <v>490.59091999999998</v>
      </c>
      <c r="CI56" s="483">
        <f>CH56/CG56*100</f>
        <v>74.512594167679225</v>
      </c>
      <c r="CJ56" s="484">
        <f>CH56-CG56</f>
        <v>-167.80907999999999</v>
      </c>
      <c r="CK56" s="482">
        <f>CK57+CK65</f>
        <v>30390.200000000004</v>
      </c>
      <c r="CL56" s="485">
        <f>+CL57+CL65</f>
        <v>6928.9162300000007</v>
      </c>
      <c r="CM56" s="476">
        <f t="shared" si="13"/>
        <v>22.799837546314272</v>
      </c>
      <c r="CN56" s="476">
        <f t="shared" si="14"/>
        <v>-23461.283770000002</v>
      </c>
      <c r="CP56" s="501">
        <f t="shared" si="63"/>
        <v>6438.3253100000011</v>
      </c>
      <c r="CQ56" s="501">
        <f t="shared" si="64"/>
        <v>29111.799999999996</v>
      </c>
      <c r="CS56" s="501">
        <f t="shared" si="65"/>
        <v>6438.3253100000011</v>
      </c>
      <c r="CT56" s="501">
        <f t="shared" si="21"/>
        <v>6928.9162300000007</v>
      </c>
      <c r="CU56" s="501">
        <f t="shared" si="22"/>
        <v>6928.9162300000007</v>
      </c>
      <c r="CV56" s="501">
        <f t="shared" si="23"/>
        <v>6067.5903100000005</v>
      </c>
      <c r="CW56" s="501">
        <f t="shared" si="24"/>
        <v>30455.200000000001</v>
      </c>
      <c r="CX56" s="501"/>
      <c r="CY56" s="501"/>
    </row>
    <row r="57" spans="1:103" s="131" customFormat="1">
      <c r="A57" s="113"/>
      <c r="B57" s="778" t="s">
        <v>805</v>
      </c>
      <c r="C57" s="779"/>
      <c r="D57" s="780"/>
      <c r="E57" s="180">
        <f>SUM(E58:E64)</f>
        <v>160</v>
      </c>
      <c r="F57" s="180">
        <f>SUM(F58:F64)</f>
        <v>0</v>
      </c>
      <c r="G57" s="104">
        <v>0</v>
      </c>
      <c r="H57" s="104">
        <f>F57-E57</f>
        <v>-160</v>
      </c>
      <c r="I57" s="180">
        <f>SUM(I58:I64)</f>
        <v>200</v>
      </c>
      <c r="J57" s="180">
        <f>SUM(J58:J64)</f>
        <v>25.3</v>
      </c>
      <c r="K57" s="104">
        <f>J57/I57*100</f>
        <v>12.65</v>
      </c>
      <c r="L57" s="120">
        <f t="shared" si="78"/>
        <v>-174.7</v>
      </c>
      <c r="M57" s="180">
        <f>SUM(M58:M64)</f>
        <v>300</v>
      </c>
      <c r="N57" s="180">
        <f>SUM(N58:N64)</f>
        <v>0</v>
      </c>
      <c r="O57" s="104">
        <v>0</v>
      </c>
      <c r="P57" s="104">
        <f t="shared" si="29"/>
        <v>-300</v>
      </c>
      <c r="Q57" s="180">
        <f>SUM(Q58:Q64)</f>
        <v>200</v>
      </c>
      <c r="R57" s="180">
        <f>SUM(R58:R64)</f>
        <v>82.16</v>
      </c>
      <c r="S57" s="104"/>
      <c r="T57" s="104">
        <f>R57-Q57</f>
        <v>-117.84</v>
      </c>
      <c r="U57" s="180">
        <f>SUM(U58:U64)</f>
        <v>150</v>
      </c>
      <c r="V57" s="180">
        <f>SUM(V58:V64)</f>
        <v>0</v>
      </c>
      <c r="W57" s="104"/>
      <c r="X57" s="104">
        <f>V57-U57</f>
        <v>-150</v>
      </c>
      <c r="Y57" s="180">
        <f>SUM(Y58:Y64)</f>
        <v>200</v>
      </c>
      <c r="Z57" s="180">
        <f>SUM(Z58:Z64)</f>
        <v>66.45</v>
      </c>
      <c r="AA57" s="710">
        <f t="shared" si="81"/>
        <v>33.225000000000001</v>
      </c>
      <c r="AB57" s="120">
        <f t="shared" si="76"/>
        <v>-133.55000000000001</v>
      </c>
      <c r="AC57" s="180">
        <f>SUM(AC58:AC64)</f>
        <v>100</v>
      </c>
      <c r="AD57" s="180">
        <f>SUM(AD58:AD64)</f>
        <v>104.95</v>
      </c>
      <c r="AE57" s="104"/>
      <c r="AF57" s="104">
        <f>AD57-AC57</f>
        <v>4.9500000000000028</v>
      </c>
      <c r="AG57" s="99">
        <f>E57+I57+M57+Q57+U57+Y57+AC57</f>
        <v>1310</v>
      </c>
      <c r="AH57" s="180">
        <f>+F57+J57+N57+R57+V57+Z57+AD57</f>
        <v>278.86</v>
      </c>
      <c r="AI57" s="104"/>
      <c r="AJ57" s="113">
        <f t="shared" si="32"/>
        <v>-1031.1399999999999</v>
      </c>
      <c r="AK57" s="180">
        <f>SUM(AK58:AK64)</f>
        <v>50</v>
      </c>
      <c r="AL57" s="180">
        <f>SUM(AL58:AL64)</f>
        <v>0</v>
      </c>
      <c r="AM57" s="104">
        <f>AL57/AK57*100</f>
        <v>0</v>
      </c>
      <c r="AN57" s="104">
        <f>AL57-AK57</f>
        <v>-50</v>
      </c>
      <c r="AO57" s="180">
        <f>SUM(AO58:AO64)</f>
        <v>0</v>
      </c>
      <c r="AP57" s="180">
        <f>SUM(AP58:AP64)</f>
        <v>0</v>
      </c>
      <c r="AQ57" s="104"/>
      <c r="AR57" s="104">
        <f>AP57-AO57</f>
        <v>0</v>
      </c>
      <c r="AS57" s="180">
        <f>SUM(AS58:AS64)</f>
        <v>0</v>
      </c>
      <c r="AT57" s="180">
        <f>SUM(AT58:AT64)</f>
        <v>0</v>
      </c>
      <c r="AU57" s="104"/>
      <c r="AV57" s="104">
        <f t="shared" si="85"/>
        <v>0</v>
      </c>
      <c r="AW57" s="104">
        <f>AW58+AW63</f>
        <v>0</v>
      </c>
      <c r="AX57" s="180">
        <f>SUM(AX58:AX64)</f>
        <v>22.8</v>
      </c>
      <c r="AY57" s="104"/>
      <c r="AZ57" s="104">
        <f>AX57-AW57</f>
        <v>22.8</v>
      </c>
      <c r="BA57" s="99">
        <f t="shared" si="8"/>
        <v>50</v>
      </c>
      <c r="BB57" s="64">
        <f t="shared" si="45"/>
        <v>22.8</v>
      </c>
      <c r="BC57" s="104"/>
      <c r="BD57" s="104">
        <f>BB57-BA57</f>
        <v>-27.2</v>
      </c>
      <c r="BE57" s="104">
        <f>BE58+BE63</f>
        <v>0</v>
      </c>
      <c r="BF57" s="439">
        <f>SUM(BF58:BF64)</f>
        <v>31.14</v>
      </c>
      <c r="BG57" s="439"/>
      <c r="BH57" s="439">
        <f>BF57-BE57</f>
        <v>31.14</v>
      </c>
      <c r="BI57" s="439">
        <f>BI58+BI63</f>
        <v>0</v>
      </c>
      <c r="BJ57" s="439">
        <f>BJ58+BJ64</f>
        <v>0</v>
      </c>
      <c r="BK57" s="439"/>
      <c r="BL57" s="439">
        <f>BJ57-BI57</f>
        <v>0</v>
      </c>
      <c r="BM57" s="439">
        <f>BM58+BM63</f>
        <v>0</v>
      </c>
      <c r="BN57" s="439">
        <f>BN58+BN64</f>
        <v>0</v>
      </c>
      <c r="BO57" s="439"/>
      <c r="BP57" s="439">
        <f t="shared" si="86"/>
        <v>0</v>
      </c>
      <c r="BQ57" s="180">
        <f>SUM(BQ58:BQ64)</f>
        <v>100</v>
      </c>
      <c r="BR57" s="439">
        <f>BR58+BR64</f>
        <v>0</v>
      </c>
      <c r="BS57" s="433">
        <v>0</v>
      </c>
      <c r="BT57" s="99">
        <f t="shared" si="19"/>
        <v>-100</v>
      </c>
      <c r="BU57" s="104">
        <f>BU58+BU64</f>
        <v>9</v>
      </c>
      <c r="BV57" s="104">
        <f>BV58+BV64</f>
        <v>0</v>
      </c>
      <c r="BW57" s="104"/>
      <c r="BX57" s="113">
        <f t="shared" si="77"/>
        <v>-9</v>
      </c>
      <c r="BY57" s="493">
        <f>BY58+BY64</f>
        <v>200</v>
      </c>
      <c r="BZ57" s="493">
        <f>BZ58+BZ64</f>
        <v>0</v>
      </c>
      <c r="CA57" s="446">
        <v>0</v>
      </c>
      <c r="CB57" s="447">
        <f t="shared" si="27"/>
        <v>-200</v>
      </c>
      <c r="CC57" s="493">
        <f>CC58+CC64</f>
        <v>8</v>
      </c>
      <c r="CD57" s="439">
        <f>CD58+CD63</f>
        <v>0</v>
      </c>
      <c r="CE57" s="446">
        <f>CD57/CC57*100</f>
        <v>0</v>
      </c>
      <c r="CF57" s="447">
        <f>CD57-CC57</f>
        <v>-8</v>
      </c>
      <c r="CG57" s="493">
        <f>SUM(CG58:CG64)</f>
        <v>65</v>
      </c>
      <c r="CH57" s="493">
        <f>SUM(CH58:CH64)</f>
        <v>86.894000000000005</v>
      </c>
      <c r="CI57" s="446">
        <f>CH57/CG57*100</f>
        <v>133.68307692307692</v>
      </c>
      <c r="CJ57" s="447">
        <f>CH57-CG57</f>
        <v>21.894000000000005</v>
      </c>
      <c r="CK57" s="493">
        <f>CK58+CK64</f>
        <v>1677</v>
      </c>
      <c r="CL57" s="457">
        <f>AH57+BB57+BF57+BJ57+BN57+BR57+BV57+BZ57+CD57+CH57</f>
        <v>419.69400000000002</v>
      </c>
      <c r="CM57" s="104">
        <f t="shared" si="13"/>
        <v>25.026475849731668</v>
      </c>
      <c r="CN57" s="104">
        <f t="shared" si="14"/>
        <v>-1257.306</v>
      </c>
      <c r="CP57" s="123">
        <f>F57+J57+N57+R57+V57+Z57+AD57+AL57+AP57+AT57+AX57+BF57+BJ57+BN57+BV57+BZ57+CD57</f>
        <v>332.8</v>
      </c>
      <c r="CQ57" s="123">
        <f t="shared" si="64"/>
        <v>1577</v>
      </c>
      <c r="CS57" s="123">
        <f>F57+J57+N57+R57+V57+Z57+AD57+AL57+AP57+AT57+AX57+BF57+BJ57+BN57+BV57+BZ57+CD57</f>
        <v>332.8</v>
      </c>
      <c r="CT57" s="123">
        <f>F57+J57+N57+R57+V57+Z57+AD57+AL57+AP57+AT57+AX57+BF57+BJ57+BN57+BR57+BV57+BZ57+CD57+CH57</f>
        <v>419.69400000000002</v>
      </c>
      <c r="CU57" s="123">
        <f>F57+J57+N57+R57+V57+Z57+AD57+AL57+AP57+AT57+AX57+BF57+BJ57+BN57+BV57+BZ57+CD57+CH57</f>
        <v>419.69400000000002</v>
      </c>
      <c r="CV57" s="123">
        <f t="shared" si="23"/>
        <v>332.8</v>
      </c>
      <c r="CW57" s="123">
        <f t="shared" si="24"/>
        <v>1742</v>
      </c>
      <c r="CX57" s="123"/>
      <c r="CY57" s="123"/>
    </row>
    <row r="58" spans="1:103">
      <c r="A58" s="108"/>
      <c r="B58" s="907" t="s">
        <v>806</v>
      </c>
      <c r="C58" s="908"/>
      <c r="D58" s="909"/>
      <c r="E58" s="94"/>
      <c r="F58" s="16"/>
      <c r="G58" s="420">
        <v>0</v>
      </c>
      <c r="H58" s="94">
        <f>F58-E58</f>
        <v>0</v>
      </c>
      <c r="I58" s="94"/>
      <c r="J58" s="16"/>
      <c r="K58" s="94"/>
      <c r="L58" s="108">
        <f t="shared" si="78"/>
        <v>0</v>
      </c>
      <c r="M58" s="94"/>
      <c r="N58" s="202"/>
      <c r="O58" s="431">
        <v>0</v>
      </c>
      <c r="P58" s="431">
        <f t="shared" si="29"/>
        <v>0</v>
      </c>
      <c r="Q58" s="429"/>
      <c r="R58" s="202"/>
      <c r="S58" s="429"/>
      <c r="T58" s="431">
        <f>R58-Q58</f>
        <v>0</v>
      </c>
      <c r="U58" s="429"/>
      <c r="V58" s="202"/>
      <c r="W58" s="429"/>
      <c r="X58" s="430">
        <f>V58-U58</f>
        <v>0</v>
      </c>
      <c r="Y58" s="429"/>
      <c r="Z58" s="202"/>
      <c r="AA58" s="429"/>
      <c r="AB58" s="430">
        <f t="shared" si="76"/>
        <v>0</v>
      </c>
      <c r="AC58" s="429"/>
      <c r="AD58" s="202"/>
      <c r="AE58" s="429"/>
      <c r="AF58" s="108">
        <f>AD58-AC58</f>
        <v>0</v>
      </c>
      <c r="AG58" s="418">
        <f t="shared" si="3"/>
        <v>0</v>
      </c>
      <c r="AH58" s="498">
        <f t="shared" ref="AH58:AH64" si="88">+F58+J58+N58+R58+V58+Z58+AD58</f>
        <v>0</v>
      </c>
      <c r="AI58" s="420"/>
      <c r="AJ58" s="428">
        <f t="shared" si="32"/>
        <v>0</v>
      </c>
      <c r="AK58" s="94"/>
      <c r="AL58" s="16"/>
      <c r="AM58" s="94"/>
      <c r="AN58" s="94">
        <f>AL58-AK58</f>
        <v>0</v>
      </c>
      <c r="AO58" s="94"/>
      <c r="AP58" s="432"/>
      <c r="AQ58" s="429"/>
      <c r="AR58" s="429">
        <f>AP58-AO58</f>
        <v>0</v>
      </c>
      <c r="AS58" s="429"/>
      <c r="AT58" s="432"/>
      <c r="AU58" s="94"/>
      <c r="AV58" s="94">
        <f t="shared" si="85"/>
        <v>0</v>
      </c>
      <c r="AW58" s="94"/>
      <c r="AX58" s="202"/>
      <c r="AY58" s="94"/>
      <c r="AZ58" s="94">
        <f>AX58-AW58</f>
        <v>0</v>
      </c>
      <c r="BA58" s="418">
        <f t="shared" si="8"/>
        <v>0</v>
      </c>
      <c r="BB58" s="15">
        <f t="shared" si="45"/>
        <v>0</v>
      </c>
      <c r="BC58" s="419"/>
      <c r="BD58" s="419">
        <f>BB58-BA58</f>
        <v>0</v>
      </c>
      <c r="BE58" s="94"/>
      <c r="BF58" s="432"/>
      <c r="BG58" s="429"/>
      <c r="BH58" s="429">
        <f>BF58-BE58</f>
        <v>0</v>
      </c>
      <c r="BI58" s="429"/>
      <c r="BJ58" s="432"/>
      <c r="BK58" s="429"/>
      <c r="BL58" s="429">
        <f>BJ58-BI58</f>
        <v>0</v>
      </c>
      <c r="BM58" s="429"/>
      <c r="BN58" s="432"/>
      <c r="BO58" s="450"/>
      <c r="BP58" s="429">
        <f t="shared" si="86"/>
        <v>0</v>
      </c>
      <c r="BQ58" s="429"/>
      <c r="BR58" s="432"/>
      <c r="BS58" s="436">
        <v>0</v>
      </c>
      <c r="BT58" s="92">
        <f t="shared" si="19"/>
        <v>0</v>
      </c>
      <c r="BU58" s="94"/>
      <c r="BV58" s="419"/>
      <c r="BW58" s="94"/>
      <c r="BX58" s="108">
        <f t="shared" si="77"/>
        <v>0</v>
      </c>
      <c r="BY58" s="429"/>
      <c r="BZ58" s="202"/>
      <c r="CA58" s="441">
        <v>0</v>
      </c>
      <c r="CB58" s="430">
        <f t="shared" si="27"/>
        <v>0</v>
      </c>
      <c r="CC58" s="442"/>
      <c r="CD58" s="442"/>
      <c r="CE58" s="430"/>
      <c r="CF58" s="430"/>
      <c r="CG58" s="430"/>
      <c r="CH58" s="442"/>
      <c r="CI58" s="430"/>
      <c r="CJ58" s="430"/>
      <c r="CK58" s="435">
        <f>+AG58+BA58+BE58+BI58+BM58+BQ58+BU58+BY58+CC58+CG58</f>
        <v>0</v>
      </c>
      <c r="CL58" s="202">
        <f>AH58+BB58+BF58+BJ58+BN58+BR58+BV58+BZ58+CD58+CH58</f>
        <v>0</v>
      </c>
      <c r="CM58" s="420"/>
      <c r="CN58" s="419">
        <f t="shared" si="14"/>
        <v>0</v>
      </c>
      <c r="CO58" s="98">
        <v>60</v>
      </c>
      <c r="CP58" s="128">
        <f>F58+J58+N58+R58+V58+Z58+AD58+AL58+AP58+AT58+AX58+BF58+BJ58+BN58+BV58+BZ58+CD58</f>
        <v>0</v>
      </c>
      <c r="CQ58" s="123">
        <f t="shared" si="64"/>
        <v>0</v>
      </c>
      <c r="CS58" s="132">
        <f>F58+J58+N58+R58+V58+Z58+AD58+AL58+AP58+AT58+AX58+BF58+BJ58+BN58+BV58+BZ58+CD58</f>
        <v>0</v>
      </c>
      <c r="CT58" s="123">
        <f>F58+J58+N58+R58+V58+Z58+AD58+AL58+AP58+AT58+AX58+BF58+BJ58+BN58+BR58+BV58+BZ58+CD58+CH58</f>
        <v>0</v>
      </c>
      <c r="CU58" s="123">
        <f>F58+J58+N58+R58+V58+Z58+AD58+AL58+AP58+AT58+AX58+BF58+BJ58+BN58+BV58+BZ58+CD58+CH58</f>
        <v>0</v>
      </c>
      <c r="CV58" s="123">
        <f t="shared" si="23"/>
        <v>0</v>
      </c>
      <c r="CW58" s="123">
        <f t="shared" si="24"/>
        <v>0</v>
      </c>
      <c r="CX58" s="425"/>
      <c r="CY58" s="425"/>
    </row>
    <row r="59" spans="1:103">
      <c r="A59" s="108"/>
      <c r="B59" s="799" t="s">
        <v>748</v>
      </c>
      <c r="C59" s="800"/>
      <c r="D59" s="801"/>
      <c r="E59" s="94"/>
      <c r="F59" s="16"/>
      <c r="G59" s="420"/>
      <c r="H59" s="94"/>
      <c r="I59" s="94"/>
      <c r="J59" s="16"/>
      <c r="K59" s="94"/>
      <c r="L59" s="108"/>
      <c r="M59" s="94"/>
      <c r="N59" s="202"/>
      <c r="O59" s="431"/>
      <c r="P59" s="431"/>
      <c r="Q59" s="429"/>
      <c r="R59" s="202"/>
      <c r="S59" s="429"/>
      <c r="T59" s="431"/>
      <c r="U59" s="429"/>
      <c r="V59" s="202"/>
      <c r="W59" s="429"/>
      <c r="X59" s="430"/>
      <c r="Y59" s="429"/>
      <c r="Z59" s="202"/>
      <c r="AA59" s="429"/>
      <c r="AB59" s="430"/>
      <c r="AC59" s="429"/>
      <c r="AD59" s="202">
        <v>11</v>
      </c>
      <c r="AE59" s="429"/>
      <c r="AF59" s="108"/>
      <c r="AG59" s="418">
        <f t="shared" si="3"/>
        <v>0</v>
      </c>
      <c r="AH59" s="498">
        <f t="shared" si="88"/>
        <v>11</v>
      </c>
      <c r="AI59" s="420"/>
      <c r="AJ59" s="428"/>
      <c r="AK59" s="94"/>
      <c r="AL59" s="16"/>
      <c r="AM59" s="94"/>
      <c r="AN59" s="94"/>
      <c r="AO59" s="94"/>
      <c r="AP59" s="432"/>
      <c r="AQ59" s="429"/>
      <c r="AR59" s="429"/>
      <c r="AS59" s="429"/>
      <c r="AT59" s="432"/>
      <c r="AU59" s="94"/>
      <c r="AV59" s="94"/>
      <c r="AW59" s="94"/>
      <c r="AX59" s="202">
        <v>22.8</v>
      </c>
      <c r="AY59" s="94"/>
      <c r="AZ59" s="94"/>
      <c r="BA59" s="418">
        <f t="shared" si="8"/>
        <v>0</v>
      </c>
      <c r="BB59" s="15">
        <f t="shared" si="45"/>
        <v>22.8</v>
      </c>
      <c r="BC59" s="419"/>
      <c r="BD59" s="419"/>
      <c r="BE59" s="94"/>
      <c r="BF59" s="432"/>
      <c r="BG59" s="429"/>
      <c r="BH59" s="429"/>
      <c r="BI59" s="429"/>
      <c r="BJ59" s="432"/>
      <c r="BK59" s="429"/>
      <c r="BL59" s="429"/>
      <c r="BM59" s="429"/>
      <c r="BN59" s="432"/>
      <c r="BO59" s="450"/>
      <c r="BP59" s="429"/>
      <c r="BQ59" s="429"/>
      <c r="BR59" s="432"/>
      <c r="BS59" s="436"/>
      <c r="BT59" s="92"/>
      <c r="BU59" s="94"/>
      <c r="BV59" s="419"/>
      <c r="BW59" s="94"/>
      <c r="BX59" s="108"/>
      <c r="BY59" s="429"/>
      <c r="BZ59" s="202"/>
      <c r="CA59" s="441"/>
      <c r="CB59" s="430"/>
      <c r="CC59" s="430"/>
      <c r="CD59" s="442"/>
      <c r="CE59" s="430"/>
      <c r="CF59" s="430"/>
      <c r="CG59" s="430">
        <v>40</v>
      </c>
      <c r="CH59" s="442">
        <v>86.894000000000005</v>
      </c>
      <c r="CI59" s="430"/>
      <c r="CJ59" s="430"/>
      <c r="CK59" s="435">
        <f t="shared" ref="CK59:CK64" si="89">AG59+BA59+BE59+BI59+BM59+BU59+BY59+CC59+BQ59+CG59</f>
        <v>40</v>
      </c>
      <c r="CL59" s="202">
        <f t="shared" ref="CL59:CL75" si="90">AH59+BB59+BF59+BJ59+BN59+BR59+BV59+BZ59+CD59+CH59</f>
        <v>120.694</v>
      </c>
      <c r="CM59" s="420"/>
      <c r="CN59" s="419">
        <f t="shared" si="14"/>
        <v>80.694000000000003</v>
      </c>
      <c r="CP59" s="128"/>
      <c r="CQ59" s="123"/>
      <c r="CS59" s="132"/>
      <c r="CT59" s="123"/>
      <c r="CU59" s="123"/>
      <c r="CV59" s="123"/>
      <c r="CW59" s="123"/>
      <c r="CX59" s="425"/>
      <c r="CY59" s="425"/>
    </row>
    <row r="60" spans="1:103">
      <c r="A60" s="108"/>
      <c r="B60" s="799" t="s">
        <v>807</v>
      </c>
      <c r="C60" s="800"/>
      <c r="D60" s="801"/>
      <c r="E60" s="94"/>
      <c r="F60" s="16"/>
      <c r="G60" s="420"/>
      <c r="H60" s="94"/>
      <c r="I60" s="94"/>
      <c r="J60" s="16">
        <v>25.3</v>
      </c>
      <c r="K60" s="94"/>
      <c r="L60" s="108"/>
      <c r="M60" s="94"/>
      <c r="N60" s="202"/>
      <c r="O60" s="431"/>
      <c r="P60" s="431"/>
      <c r="Q60" s="429"/>
      <c r="R60" s="202">
        <v>82.16</v>
      </c>
      <c r="S60" s="429"/>
      <c r="T60" s="431"/>
      <c r="U60" s="429"/>
      <c r="V60" s="202"/>
      <c r="W60" s="429"/>
      <c r="X60" s="430"/>
      <c r="Y60" s="429"/>
      <c r="Z60" s="202">
        <v>54.95</v>
      </c>
      <c r="AA60" s="429"/>
      <c r="AB60" s="430"/>
      <c r="AC60" s="429"/>
      <c r="AD60" s="202">
        <v>93.95</v>
      </c>
      <c r="AE60" s="429"/>
      <c r="AF60" s="108"/>
      <c r="AG60" s="418">
        <f t="shared" si="3"/>
        <v>0</v>
      </c>
      <c r="AH60" s="498">
        <f t="shared" si="88"/>
        <v>256.36</v>
      </c>
      <c r="AI60" s="420"/>
      <c r="AJ60" s="428"/>
      <c r="AK60" s="94"/>
      <c r="AL60" s="16"/>
      <c r="AM60" s="94"/>
      <c r="AN60" s="94"/>
      <c r="AO60" s="94"/>
      <c r="AP60" s="432"/>
      <c r="AQ60" s="429"/>
      <c r="AR60" s="429"/>
      <c r="AS60" s="429"/>
      <c r="AT60" s="432"/>
      <c r="AU60" s="94"/>
      <c r="AV60" s="94"/>
      <c r="AW60" s="94"/>
      <c r="AX60" s="202"/>
      <c r="AY60" s="94"/>
      <c r="AZ60" s="94"/>
      <c r="BA60" s="418">
        <f t="shared" si="8"/>
        <v>0</v>
      </c>
      <c r="BB60" s="15">
        <f t="shared" si="45"/>
        <v>0</v>
      </c>
      <c r="BC60" s="419"/>
      <c r="BD60" s="419"/>
      <c r="BE60" s="94"/>
      <c r="BF60" s="432">
        <v>31.14</v>
      </c>
      <c r="BG60" s="429"/>
      <c r="BH60" s="429"/>
      <c r="BI60" s="429"/>
      <c r="BJ60" s="432"/>
      <c r="BK60" s="429"/>
      <c r="BL60" s="429"/>
      <c r="BM60" s="429"/>
      <c r="BN60" s="432"/>
      <c r="BO60" s="450"/>
      <c r="BP60" s="429"/>
      <c r="BQ60" s="429"/>
      <c r="BR60" s="432"/>
      <c r="BS60" s="436"/>
      <c r="BT60" s="92"/>
      <c r="BU60" s="94"/>
      <c r="BV60" s="419"/>
      <c r="BW60" s="94"/>
      <c r="BX60" s="108"/>
      <c r="BY60" s="429"/>
      <c r="BZ60" s="202"/>
      <c r="CA60" s="441"/>
      <c r="CB60" s="430"/>
      <c r="CC60" s="430"/>
      <c r="CD60" s="442"/>
      <c r="CE60" s="430"/>
      <c r="CF60" s="430"/>
      <c r="CG60" s="430">
        <v>25</v>
      </c>
      <c r="CH60" s="442"/>
      <c r="CI60" s="430"/>
      <c r="CJ60" s="430"/>
      <c r="CK60" s="435">
        <f t="shared" si="89"/>
        <v>25</v>
      </c>
      <c r="CL60" s="202">
        <f t="shared" si="90"/>
        <v>287.5</v>
      </c>
      <c r="CM60" s="420">
        <f t="shared" si="13"/>
        <v>1150</v>
      </c>
      <c r="CN60" s="419">
        <f t="shared" si="14"/>
        <v>262.5</v>
      </c>
      <c r="CP60" s="128"/>
      <c r="CQ60" s="123"/>
      <c r="CS60" s="132"/>
      <c r="CT60" s="123"/>
      <c r="CU60" s="123"/>
      <c r="CV60" s="123"/>
      <c r="CW60" s="123"/>
      <c r="CX60" s="425"/>
      <c r="CY60" s="425"/>
    </row>
    <row r="61" spans="1:103">
      <c r="A61" s="108"/>
      <c r="B61" s="799" t="s">
        <v>808</v>
      </c>
      <c r="C61" s="800"/>
      <c r="D61" s="801"/>
      <c r="E61" s="94"/>
      <c r="F61" s="16"/>
      <c r="G61" s="420"/>
      <c r="H61" s="94"/>
      <c r="I61" s="94"/>
      <c r="J61" s="16"/>
      <c r="K61" s="94"/>
      <c r="L61" s="108"/>
      <c r="M61" s="94"/>
      <c r="N61" s="202"/>
      <c r="O61" s="431"/>
      <c r="P61" s="431"/>
      <c r="Q61" s="429"/>
      <c r="R61" s="202"/>
      <c r="S61" s="429"/>
      <c r="T61" s="431"/>
      <c r="U61" s="429"/>
      <c r="V61" s="202"/>
      <c r="W61" s="429"/>
      <c r="X61" s="430"/>
      <c r="Y61" s="429"/>
      <c r="Z61" s="202"/>
      <c r="AA61" s="429"/>
      <c r="AB61" s="430"/>
      <c r="AC61" s="429"/>
      <c r="AD61" s="202"/>
      <c r="AE61" s="429"/>
      <c r="AF61" s="108"/>
      <c r="AG61" s="418">
        <f t="shared" si="3"/>
        <v>0</v>
      </c>
      <c r="AH61" s="498">
        <f t="shared" si="88"/>
        <v>0</v>
      </c>
      <c r="AI61" s="420"/>
      <c r="AJ61" s="428"/>
      <c r="AK61" s="94"/>
      <c r="AL61" s="16"/>
      <c r="AM61" s="94"/>
      <c r="AN61" s="94"/>
      <c r="AO61" s="94"/>
      <c r="AP61" s="432"/>
      <c r="AQ61" s="429"/>
      <c r="AR61" s="429"/>
      <c r="AS61" s="429"/>
      <c r="AT61" s="432"/>
      <c r="AU61" s="94"/>
      <c r="AV61" s="94"/>
      <c r="AW61" s="94"/>
      <c r="AX61" s="202"/>
      <c r="AY61" s="94"/>
      <c r="AZ61" s="94"/>
      <c r="BA61" s="418">
        <f t="shared" si="8"/>
        <v>0</v>
      </c>
      <c r="BB61" s="15">
        <f t="shared" si="45"/>
        <v>0</v>
      </c>
      <c r="BC61" s="419"/>
      <c r="BD61" s="419"/>
      <c r="BE61" s="94"/>
      <c r="BF61" s="432"/>
      <c r="BG61" s="429"/>
      <c r="BH61" s="429"/>
      <c r="BI61" s="429"/>
      <c r="BJ61" s="432"/>
      <c r="BK61" s="429"/>
      <c r="BL61" s="429"/>
      <c r="BM61" s="429"/>
      <c r="BN61" s="432"/>
      <c r="BO61" s="450"/>
      <c r="BP61" s="429"/>
      <c r="BQ61" s="429"/>
      <c r="BR61" s="432"/>
      <c r="BS61" s="436"/>
      <c r="BT61" s="92"/>
      <c r="BU61" s="94"/>
      <c r="BV61" s="419"/>
      <c r="BW61" s="94"/>
      <c r="BX61" s="108"/>
      <c r="BY61" s="429"/>
      <c r="BZ61" s="202"/>
      <c r="CA61" s="441"/>
      <c r="CB61" s="430"/>
      <c r="CC61" s="430"/>
      <c r="CD61" s="442"/>
      <c r="CE61" s="430"/>
      <c r="CF61" s="430"/>
      <c r="CG61" s="430"/>
      <c r="CH61" s="442"/>
      <c r="CI61" s="430"/>
      <c r="CJ61" s="430"/>
      <c r="CK61" s="435">
        <f t="shared" si="89"/>
        <v>0</v>
      </c>
      <c r="CL61" s="202">
        <f t="shared" si="90"/>
        <v>0</v>
      </c>
      <c r="CM61" s="420"/>
      <c r="CN61" s="419">
        <f t="shared" si="14"/>
        <v>0</v>
      </c>
      <c r="CP61" s="128"/>
      <c r="CQ61" s="123"/>
      <c r="CS61" s="132"/>
      <c r="CT61" s="123"/>
      <c r="CU61" s="123"/>
      <c r="CV61" s="123"/>
      <c r="CW61" s="123"/>
      <c r="CX61" s="425"/>
      <c r="CY61" s="425"/>
    </row>
    <row r="62" spans="1:103">
      <c r="A62" s="108"/>
      <c r="B62" s="799" t="s">
        <v>809</v>
      </c>
      <c r="C62" s="800"/>
      <c r="D62" s="801"/>
      <c r="E62" s="94"/>
      <c r="F62" s="16"/>
      <c r="G62" s="420"/>
      <c r="H62" s="94"/>
      <c r="I62" s="94"/>
      <c r="J62" s="16"/>
      <c r="K62" s="94"/>
      <c r="L62" s="108"/>
      <c r="M62" s="94"/>
      <c r="N62" s="202"/>
      <c r="O62" s="431"/>
      <c r="P62" s="431"/>
      <c r="Q62" s="429"/>
      <c r="R62" s="202"/>
      <c r="S62" s="429"/>
      <c r="T62" s="431"/>
      <c r="U62" s="429"/>
      <c r="V62" s="202"/>
      <c r="W62" s="429"/>
      <c r="X62" s="430"/>
      <c r="Y62" s="429"/>
      <c r="Z62" s="202"/>
      <c r="AA62" s="429"/>
      <c r="AB62" s="430"/>
      <c r="AC62" s="429"/>
      <c r="AD62" s="202"/>
      <c r="AE62" s="429"/>
      <c r="AF62" s="108"/>
      <c r="AG62" s="418">
        <f t="shared" si="3"/>
        <v>0</v>
      </c>
      <c r="AH62" s="498">
        <f t="shared" si="88"/>
        <v>0</v>
      </c>
      <c r="AI62" s="420"/>
      <c r="AJ62" s="428"/>
      <c r="AK62" s="94"/>
      <c r="AL62" s="16"/>
      <c r="AM62" s="94"/>
      <c r="AN62" s="94"/>
      <c r="AO62" s="94"/>
      <c r="AP62" s="432"/>
      <c r="AQ62" s="429"/>
      <c r="AR62" s="429"/>
      <c r="AS62" s="429"/>
      <c r="AT62" s="432"/>
      <c r="AU62" s="94"/>
      <c r="AV62" s="94"/>
      <c r="AW62" s="94"/>
      <c r="AX62" s="202"/>
      <c r="AY62" s="94"/>
      <c r="AZ62" s="94"/>
      <c r="BA62" s="418">
        <f t="shared" si="8"/>
        <v>0</v>
      </c>
      <c r="BB62" s="15">
        <f t="shared" si="45"/>
        <v>0</v>
      </c>
      <c r="BC62" s="419"/>
      <c r="BD62" s="419"/>
      <c r="BE62" s="94"/>
      <c r="BF62" s="432"/>
      <c r="BG62" s="429"/>
      <c r="BH62" s="429"/>
      <c r="BI62" s="429"/>
      <c r="BJ62" s="432"/>
      <c r="BK62" s="429"/>
      <c r="BL62" s="429"/>
      <c r="BM62" s="429"/>
      <c r="BN62" s="432"/>
      <c r="BO62" s="450"/>
      <c r="BP62" s="429"/>
      <c r="BQ62" s="429"/>
      <c r="BR62" s="432"/>
      <c r="BS62" s="436"/>
      <c r="BT62" s="92"/>
      <c r="BU62" s="94"/>
      <c r="BV62" s="419"/>
      <c r="BW62" s="94"/>
      <c r="BX62" s="108"/>
      <c r="BY62" s="429"/>
      <c r="BZ62" s="202"/>
      <c r="CA62" s="441"/>
      <c r="CB62" s="430"/>
      <c r="CC62" s="430"/>
      <c r="CD62" s="442"/>
      <c r="CE62" s="430"/>
      <c r="CF62" s="430"/>
      <c r="CG62" s="430"/>
      <c r="CH62" s="442"/>
      <c r="CI62" s="430"/>
      <c r="CJ62" s="430"/>
      <c r="CK62" s="435">
        <f t="shared" si="89"/>
        <v>0</v>
      </c>
      <c r="CL62" s="202">
        <f t="shared" si="90"/>
        <v>0</v>
      </c>
      <c r="CM62" s="420"/>
      <c r="CN62" s="419">
        <f t="shared" si="14"/>
        <v>0</v>
      </c>
      <c r="CP62" s="128"/>
      <c r="CQ62" s="123"/>
      <c r="CS62" s="132"/>
      <c r="CT62" s="123"/>
      <c r="CU62" s="123"/>
      <c r="CV62" s="123"/>
      <c r="CW62" s="123"/>
      <c r="CX62" s="425"/>
      <c r="CY62" s="425"/>
    </row>
    <row r="63" spans="1:103">
      <c r="A63" s="108"/>
      <c r="B63" s="799" t="s">
        <v>810</v>
      </c>
      <c r="C63" s="800"/>
      <c r="D63" s="801"/>
      <c r="E63" s="94"/>
      <c r="F63" s="16"/>
      <c r="G63" s="94"/>
      <c r="H63" s="94"/>
      <c r="I63" s="94">
        <v>0</v>
      </c>
      <c r="J63" s="16"/>
      <c r="K63" s="94"/>
      <c r="L63" s="108">
        <f t="shared" si="78"/>
        <v>0</v>
      </c>
      <c r="M63" s="94">
        <v>0</v>
      </c>
      <c r="N63" s="202"/>
      <c r="O63" s="431"/>
      <c r="P63" s="431">
        <f t="shared" si="29"/>
        <v>0</v>
      </c>
      <c r="Q63" s="429"/>
      <c r="R63" s="202"/>
      <c r="S63" s="429"/>
      <c r="T63" s="429"/>
      <c r="U63" s="429"/>
      <c r="V63" s="202"/>
      <c r="W63" s="429"/>
      <c r="X63" s="430"/>
      <c r="Y63" s="429"/>
      <c r="Z63" s="707"/>
      <c r="AA63" s="429"/>
      <c r="AB63" s="430">
        <f t="shared" si="76"/>
        <v>0</v>
      </c>
      <c r="AC63" s="429"/>
      <c r="AD63" s="202"/>
      <c r="AE63" s="429"/>
      <c r="AF63" s="108"/>
      <c r="AG63" s="418">
        <f t="shared" si="3"/>
        <v>0</v>
      </c>
      <c r="AH63" s="498">
        <f t="shared" si="88"/>
        <v>0</v>
      </c>
      <c r="AI63" s="420"/>
      <c r="AJ63" s="428">
        <f t="shared" si="32"/>
        <v>0</v>
      </c>
      <c r="AK63" s="94"/>
      <c r="AL63" s="202"/>
      <c r="AM63" s="94"/>
      <c r="AN63" s="94"/>
      <c r="AO63" s="94"/>
      <c r="AP63" s="419"/>
      <c r="AQ63" s="94"/>
      <c r="AR63" s="94"/>
      <c r="AS63" s="94"/>
      <c r="AT63" s="419"/>
      <c r="AU63" s="94"/>
      <c r="AV63" s="94">
        <f t="shared" si="85"/>
        <v>0</v>
      </c>
      <c r="AW63" s="94"/>
      <c r="AX63" s="16"/>
      <c r="AY63" s="94"/>
      <c r="AZ63" s="94"/>
      <c r="BA63" s="418">
        <f t="shared" si="8"/>
        <v>0</v>
      </c>
      <c r="BB63" s="15">
        <f t="shared" si="45"/>
        <v>0</v>
      </c>
      <c r="BC63" s="419"/>
      <c r="BD63" s="419"/>
      <c r="BE63" s="94"/>
      <c r="BF63" s="432"/>
      <c r="BG63" s="429"/>
      <c r="BH63" s="429"/>
      <c r="BI63" s="429"/>
      <c r="BJ63" s="432"/>
      <c r="BK63" s="429"/>
      <c r="BL63" s="429"/>
      <c r="BM63" s="429"/>
      <c r="BN63" s="432"/>
      <c r="BO63" s="450"/>
      <c r="BP63" s="429">
        <f t="shared" si="86"/>
        <v>0</v>
      </c>
      <c r="BQ63" s="429"/>
      <c r="BR63" s="432"/>
      <c r="BS63" s="436">
        <v>0</v>
      </c>
      <c r="BT63" s="92">
        <f t="shared" si="19"/>
        <v>0</v>
      </c>
      <c r="BU63" s="94"/>
      <c r="BV63" s="419"/>
      <c r="BW63" s="92"/>
      <c r="BX63" s="108">
        <f t="shared" si="77"/>
        <v>0</v>
      </c>
      <c r="BY63" s="429"/>
      <c r="BZ63" s="202"/>
      <c r="CA63" s="441"/>
      <c r="CB63" s="430"/>
      <c r="CC63" s="430"/>
      <c r="CD63" s="442"/>
      <c r="CE63" s="430"/>
      <c r="CF63" s="430"/>
      <c r="CG63" s="430"/>
      <c r="CH63" s="442"/>
      <c r="CI63" s="430"/>
      <c r="CJ63" s="430"/>
      <c r="CK63" s="435">
        <f t="shared" si="89"/>
        <v>0</v>
      </c>
      <c r="CL63" s="202">
        <f t="shared" si="90"/>
        <v>0</v>
      </c>
      <c r="CM63" s="420"/>
      <c r="CN63" s="419">
        <f t="shared" si="14"/>
        <v>0</v>
      </c>
      <c r="CP63" s="128">
        <f t="shared" si="63"/>
        <v>0</v>
      </c>
      <c r="CQ63" s="123">
        <f t="shared" si="64"/>
        <v>0</v>
      </c>
      <c r="CS63" s="132">
        <f t="shared" si="65"/>
        <v>0</v>
      </c>
      <c r="CT63" s="123">
        <f t="shared" si="21"/>
        <v>0</v>
      </c>
      <c r="CU63" s="123">
        <f t="shared" si="22"/>
        <v>0</v>
      </c>
      <c r="CV63" s="123">
        <f t="shared" si="23"/>
        <v>0</v>
      </c>
      <c r="CW63" s="123">
        <f t="shared" si="24"/>
        <v>0</v>
      </c>
      <c r="CX63" s="425"/>
      <c r="CY63" s="425"/>
    </row>
    <row r="64" spans="1:103">
      <c r="A64" s="108"/>
      <c r="B64" s="463" t="s">
        <v>819</v>
      </c>
      <c r="C64" s="464"/>
      <c r="D64" s="465"/>
      <c r="E64" s="94">
        <v>160</v>
      </c>
      <c r="F64" s="16"/>
      <c r="G64" s="94"/>
      <c r="H64" s="94"/>
      <c r="I64" s="94">
        <v>200</v>
      </c>
      <c r="J64" s="16"/>
      <c r="K64" s="94"/>
      <c r="L64" s="108"/>
      <c r="M64" s="94">
        <v>300</v>
      </c>
      <c r="N64" s="202"/>
      <c r="O64" s="431"/>
      <c r="P64" s="431"/>
      <c r="Q64" s="429">
        <v>200</v>
      </c>
      <c r="R64" s="202"/>
      <c r="S64" s="429"/>
      <c r="T64" s="429"/>
      <c r="U64" s="429">
        <v>150</v>
      </c>
      <c r="V64" s="202"/>
      <c r="W64" s="429"/>
      <c r="X64" s="430"/>
      <c r="Y64" s="429">
        <v>200</v>
      </c>
      <c r="Z64" s="202">
        <v>11.5</v>
      </c>
      <c r="AA64" s="429">
        <f t="shared" si="81"/>
        <v>5.75</v>
      </c>
      <c r="AB64" s="430"/>
      <c r="AC64" s="429">
        <v>100</v>
      </c>
      <c r="AD64" s="202"/>
      <c r="AE64" s="429"/>
      <c r="AF64" s="108"/>
      <c r="AG64" s="418">
        <f t="shared" si="3"/>
        <v>1310</v>
      </c>
      <c r="AH64" s="498">
        <f t="shared" si="88"/>
        <v>11.5</v>
      </c>
      <c r="AI64" s="420"/>
      <c r="AJ64" s="428"/>
      <c r="AK64" s="94">
        <v>50</v>
      </c>
      <c r="AL64" s="202"/>
      <c r="AM64" s="94"/>
      <c r="AN64" s="94"/>
      <c r="AO64" s="94"/>
      <c r="AP64" s="419"/>
      <c r="AQ64" s="94"/>
      <c r="AR64" s="94"/>
      <c r="AS64" s="94"/>
      <c r="AT64" s="419"/>
      <c r="AU64" s="94"/>
      <c r="AV64" s="94"/>
      <c r="AW64" s="94"/>
      <c r="AX64" s="16"/>
      <c r="AY64" s="94"/>
      <c r="AZ64" s="94"/>
      <c r="BA64" s="418">
        <f t="shared" si="8"/>
        <v>50</v>
      </c>
      <c r="BB64" s="15">
        <f t="shared" si="45"/>
        <v>0</v>
      </c>
      <c r="BC64" s="419"/>
      <c r="BD64" s="419"/>
      <c r="BE64" s="94"/>
      <c r="BF64" s="432"/>
      <c r="BG64" s="429"/>
      <c r="BH64" s="429"/>
      <c r="BI64" s="429"/>
      <c r="BJ64" s="432"/>
      <c r="BK64" s="429"/>
      <c r="BL64" s="429"/>
      <c r="BM64" s="429"/>
      <c r="BN64" s="432"/>
      <c r="BO64" s="450"/>
      <c r="BP64" s="429"/>
      <c r="BQ64" s="429">
        <v>100</v>
      </c>
      <c r="BR64" s="432"/>
      <c r="BS64" s="436"/>
      <c r="BT64" s="92"/>
      <c r="BU64" s="94">
        <v>9</v>
      </c>
      <c r="BV64" s="419"/>
      <c r="BW64" s="92"/>
      <c r="BX64" s="108"/>
      <c r="BY64" s="429">
        <v>200</v>
      </c>
      <c r="BZ64" s="202"/>
      <c r="CA64" s="441"/>
      <c r="CB64" s="430"/>
      <c r="CC64" s="430">
        <v>8</v>
      </c>
      <c r="CD64" s="442"/>
      <c r="CE64" s="453"/>
      <c r="CF64" s="430"/>
      <c r="CG64" s="429"/>
      <c r="CH64" s="442"/>
      <c r="CI64" s="453"/>
      <c r="CJ64" s="430"/>
      <c r="CK64" s="435">
        <f t="shared" si="89"/>
        <v>1677</v>
      </c>
      <c r="CL64" s="202">
        <f t="shared" si="90"/>
        <v>11.5</v>
      </c>
      <c r="CM64" s="420">
        <f t="shared" si="13"/>
        <v>0.68574836016696483</v>
      </c>
      <c r="CN64" s="419">
        <f t="shared" si="14"/>
        <v>-1665.5</v>
      </c>
      <c r="CP64" s="128"/>
      <c r="CQ64" s="123"/>
      <c r="CS64" s="132"/>
      <c r="CT64" s="123"/>
      <c r="CU64" s="123"/>
      <c r="CV64" s="123"/>
      <c r="CW64" s="123"/>
      <c r="CX64" s="425"/>
      <c r="CY64" s="425"/>
    </row>
    <row r="65" spans="1:183" s="127" customFormat="1" ht="24.75" customHeight="1">
      <c r="A65" s="113">
        <v>340</v>
      </c>
      <c r="B65" s="901" t="s">
        <v>141</v>
      </c>
      <c r="C65" s="902"/>
      <c r="D65" s="903"/>
      <c r="E65" s="140">
        <f>SUM(E66:E75)</f>
        <v>1375</v>
      </c>
      <c r="F65" s="140">
        <f>SUM(F66:F75)</f>
        <v>255.11340000000001</v>
      </c>
      <c r="G65" s="102">
        <f t="shared" ref="G65:G67" si="91">F65/E65*100</f>
        <v>18.553701818181821</v>
      </c>
      <c r="H65" s="102">
        <f>F65-E65</f>
        <v>-1119.8866</v>
      </c>
      <c r="I65" s="102">
        <f>SUM(I66:I75)</f>
        <v>3260</v>
      </c>
      <c r="J65" s="140">
        <f>SUM(J66:J75)</f>
        <v>701.62076000000002</v>
      </c>
      <c r="K65" s="102">
        <f t="shared" ref="K65:K67" si="92">J65/I65*100</f>
        <v>21.522109202453986</v>
      </c>
      <c r="L65" s="120">
        <f t="shared" si="78"/>
        <v>-2558.3792400000002</v>
      </c>
      <c r="M65" s="102">
        <f>SUM(M66:M75)</f>
        <v>6365</v>
      </c>
      <c r="N65" s="140">
        <f>SUM(N66:N75)</f>
        <v>1748.57395</v>
      </c>
      <c r="O65" s="102">
        <f t="shared" si="79"/>
        <v>27.471703849175178</v>
      </c>
      <c r="P65" s="102">
        <f>N65-M65</f>
        <v>-4616.42605</v>
      </c>
      <c r="Q65" s="102">
        <f>SUM(Q66:Q75)</f>
        <v>5400</v>
      </c>
      <c r="R65" s="140">
        <f>SUM(R66:R75)</f>
        <v>988.55795000000001</v>
      </c>
      <c r="S65" s="102">
        <f>R65/Q65*100</f>
        <v>18.306628703703705</v>
      </c>
      <c r="T65" s="102">
        <f>R65-Q65</f>
        <v>-4411.4420499999997</v>
      </c>
      <c r="U65" s="102">
        <f>SUM(U66:U75)</f>
        <v>1205</v>
      </c>
      <c r="V65" s="140">
        <f>SUM(V66:V75)</f>
        <v>222.21299999999999</v>
      </c>
      <c r="W65" s="102">
        <f t="shared" ref="W65:W67" si="93">V65/U65*100</f>
        <v>18.440912863070537</v>
      </c>
      <c r="X65" s="102">
        <f>V65-U65</f>
        <v>-982.78700000000003</v>
      </c>
      <c r="Y65" s="102">
        <f>SUM(Y66:Y75)</f>
        <v>4355</v>
      </c>
      <c r="Z65" s="140">
        <f>SUM(Z66:Z75)</f>
        <v>985.14080000000013</v>
      </c>
      <c r="AA65" s="99">
        <f t="shared" si="81"/>
        <v>22.620913892078072</v>
      </c>
      <c r="AB65" s="100">
        <f t="shared" si="76"/>
        <v>-3369.8591999999999</v>
      </c>
      <c r="AC65" s="102">
        <f>SUM(AC66:AC75)</f>
        <v>3360</v>
      </c>
      <c r="AD65" s="140">
        <f>SUM(AD66:AD75)</f>
        <v>578.67244999999991</v>
      </c>
      <c r="AE65" s="102">
        <f>AD65/AC65*100</f>
        <v>17.222394345238094</v>
      </c>
      <c r="AF65" s="102">
        <f>AD65-AC65</f>
        <v>-2781.32755</v>
      </c>
      <c r="AG65" s="99">
        <f t="shared" si="3"/>
        <v>25320</v>
      </c>
      <c r="AH65" s="140">
        <f>SUM(AH66:AH75)</f>
        <v>5479.8923100000011</v>
      </c>
      <c r="AI65" s="102">
        <f t="shared" si="83"/>
        <v>21.642544668246451</v>
      </c>
      <c r="AJ65" s="109">
        <f t="shared" si="32"/>
        <v>-19840.107689999997</v>
      </c>
      <c r="AK65" s="102">
        <f>SUM(AK66:AK75)</f>
        <v>455</v>
      </c>
      <c r="AL65" s="140">
        <f>SUM(AL66:AL75)</f>
        <v>179.24799999999999</v>
      </c>
      <c r="AM65" s="102">
        <f>AL65/AK65*100</f>
        <v>39.395164835164834</v>
      </c>
      <c r="AN65" s="102">
        <f>AL65-AK65</f>
        <v>-275.75200000000001</v>
      </c>
      <c r="AO65" s="102">
        <f>SUM(AO66:AO75)</f>
        <v>140</v>
      </c>
      <c r="AP65" s="102">
        <f>SUM(AP66:AP75)</f>
        <v>0</v>
      </c>
      <c r="AQ65" s="102">
        <f>AP65/AO65*100</f>
        <v>0</v>
      </c>
      <c r="AR65" s="102">
        <f>AP65-AO65</f>
        <v>-140</v>
      </c>
      <c r="AS65" s="102">
        <f>SUM(AS66:AS75)</f>
        <v>430</v>
      </c>
      <c r="AT65" s="102">
        <f>SUM(AT66:AT75)</f>
        <v>75.650000000000006</v>
      </c>
      <c r="AU65" s="102">
        <f t="shared" si="84"/>
        <v>17.593023255813954</v>
      </c>
      <c r="AV65" s="102">
        <f t="shared" si="85"/>
        <v>-354.35</v>
      </c>
      <c r="AW65" s="102">
        <f>SUM(AW66:AW75)</f>
        <v>400</v>
      </c>
      <c r="AX65" s="140">
        <f>SUM(AX66:AX75)</f>
        <v>0</v>
      </c>
      <c r="AY65" s="102">
        <f>AX65/AW65*100</f>
        <v>0</v>
      </c>
      <c r="AZ65" s="102">
        <f>AX65-AW65</f>
        <v>-400</v>
      </c>
      <c r="BA65" s="99">
        <f t="shared" si="8"/>
        <v>1425</v>
      </c>
      <c r="BB65" s="140">
        <f>SUM(BB66:BB75)</f>
        <v>254.898</v>
      </c>
      <c r="BC65" s="102">
        <f>BB65/BA65*100</f>
        <v>17.887578947368421</v>
      </c>
      <c r="BD65" s="102">
        <f>BB65-BA65</f>
        <v>-1170.1020000000001</v>
      </c>
      <c r="BE65" s="140">
        <f>SUM(BE66:BE75)</f>
        <v>70</v>
      </c>
      <c r="BF65" s="438">
        <f>SUM(BF66:BF75)</f>
        <v>0</v>
      </c>
      <c r="BG65" s="437">
        <f>BF65/BE65*100</f>
        <v>0</v>
      </c>
      <c r="BH65" s="437">
        <f>BF65-BE65</f>
        <v>-70</v>
      </c>
      <c r="BI65" s="437">
        <f>SUM(BI66:BI75)</f>
        <v>35</v>
      </c>
      <c r="BJ65" s="437">
        <f>SUM(BJ66:BJ75)</f>
        <v>0</v>
      </c>
      <c r="BK65" s="437">
        <f>BJ65/BI65*100</f>
        <v>0</v>
      </c>
      <c r="BL65" s="437">
        <f>BJ65-BI65</f>
        <v>-35</v>
      </c>
      <c r="BM65" s="437">
        <f>SUM(BM66:BM75)</f>
        <v>50</v>
      </c>
      <c r="BN65" s="437">
        <f>SUM(BN66:BN75)</f>
        <v>0</v>
      </c>
      <c r="BO65" s="437"/>
      <c r="BP65" s="437">
        <f t="shared" si="86"/>
        <v>-50</v>
      </c>
      <c r="BQ65" s="437">
        <f>SUM(BQ66:BQ75)</f>
        <v>585</v>
      </c>
      <c r="BR65" s="437">
        <f>SUM(BR66:BR75)</f>
        <v>0</v>
      </c>
      <c r="BS65" s="433">
        <f t="shared" si="18"/>
        <v>0</v>
      </c>
      <c r="BT65" s="99">
        <f t="shared" si="19"/>
        <v>-585</v>
      </c>
      <c r="BU65" s="102">
        <f>SUM(BU66:BU75)</f>
        <v>5.6999999999999993</v>
      </c>
      <c r="BV65" s="140">
        <f>SUM(BV66:BV75)</f>
        <v>1</v>
      </c>
      <c r="BW65" s="102">
        <f t="shared" si="87"/>
        <v>17.543859649122808</v>
      </c>
      <c r="BX65" s="109">
        <f t="shared" si="77"/>
        <v>-4.6999999999999993</v>
      </c>
      <c r="BY65" s="437">
        <f>SUM(BY66:BY75)</f>
        <v>620</v>
      </c>
      <c r="BZ65" s="438">
        <f>SUM(BZ66:BZ75)</f>
        <v>363.35500000000002</v>
      </c>
      <c r="CA65" s="448">
        <f>BZ65/BY65*100</f>
        <v>58.605645161290319</v>
      </c>
      <c r="CB65" s="449">
        <f t="shared" si="27"/>
        <v>-256.64499999999998</v>
      </c>
      <c r="CC65" s="437">
        <f>SUM(CC66:CC75)</f>
        <v>9.1</v>
      </c>
      <c r="CD65" s="438">
        <f>SUM(CD66:CD75)</f>
        <v>6.38</v>
      </c>
      <c r="CE65" s="448">
        <f>CD65/CC65*100</f>
        <v>70.109890109890117</v>
      </c>
      <c r="CF65" s="449">
        <f>CD65-CC65</f>
        <v>-2.7199999999999998</v>
      </c>
      <c r="CG65" s="437">
        <f>SUM(CG66:CG75)</f>
        <v>593.4</v>
      </c>
      <c r="CH65" s="438">
        <f>SUM(CH66:CH75)</f>
        <v>403.69691999999998</v>
      </c>
      <c r="CI65" s="448">
        <f>CH65/CG65*100</f>
        <v>68.031162790697678</v>
      </c>
      <c r="CJ65" s="449">
        <f>CH65-CG65</f>
        <v>-189.70308</v>
      </c>
      <c r="CK65" s="437">
        <f>SUM(CK66:CK75)</f>
        <v>28713.200000000004</v>
      </c>
      <c r="CL65" s="438">
        <f>CL66+CL67+CL68+CL69+CL70+CL71+CL72+CL73+CL74+CL75</f>
        <v>6509.2222300000003</v>
      </c>
      <c r="CM65" s="102">
        <f t="shared" si="13"/>
        <v>22.669790305504087</v>
      </c>
      <c r="CN65" s="102">
        <f t="shared" si="14"/>
        <v>-22203.977770000005</v>
      </c>
      <c r="CO65" s="127">
        <v>32.200000000000003</v>
      </c>
      <c r="CP65" s="123">
        <f t="shared" si="63"/>
        <v>6105.52531</v>
      </c>
      <c r="CQ65" s="123">
        <f t="shared" si="64"/>
        <v>27534.799999999996</v>
      </c>
      <c r="CS65" s="123">
        <f t="shared" si="65"/>
        <v>6105.52531</v>
      </c>
      <c r="CT65" s="123">
        <f t="shared" si="21"/>
        <v>6509.2222300000003</v>
      </c>
      <c r="CU65" s="123">
        <f t="shared" si="22"/>
        <v>6509.2222300000003</v>
      </c>
      <c r="CV65" s="123">
        <f t="shared" si="23"/>
        <v>5734.7903099999994</v>
      </c>
      <c r="CW65" s="123">
        <f t="shared" si="24"/>
        <v>28713.200000000001</v>
      </c>
      <c r="CX65" s="123"/>
      <c r="CY65" s="123"/>
    </row>
    <row r="66" spans="1:183" ht="13.5">
      <c r="A66" s="108"/>
      <c r="B66" s="772" t="s">
        <v>221</v>
      </c>
      <c r="C66" s="773"/>
      <c r="D66" s="774"/>
      <c r="E66" s="94">
        <v>1150</v>
      </c>
      <c r="F66" s="16">
        <v>195.08840000000001</v>
      </c>
      <c r="G66" s="94">
        <f t="shared" si="91"/>
        <v>16.964208695652175</v>
      </c>
      <c r="H66" s="94">
        <f>F66-E66</f>
        <v>-954.91160000000002</v>
      </c>
      <c r="I66" s="94">
        <v>2800</v>
      </c>
      <c r="J66" s="16">
        <v>623.26175999999998</v>
      </c>
      <c r="K66" s="94">
        <f t="shared" si="92"/>
        <v>22.259348571428568</v>
      </c>
      <c r="L66" s="108">
        <f t="shared" si="78"/>
        <v>-2176.7382400000001</v>
      </c>
      <c r="M66" s="94">
        <v>5700</v>
      </c>
      <c r="N66" s="202">
        <v>1622.78405</v>
      </c>
      <c r="O66" s="429">
        <f t="shared" si="79"/>
        <v>28.469895614035089</v>
      </c>
      <c r="P66" s="430">
        <f t="shared" si="29"/>
        <v>-4077.2159499999998</v>
      </c>
      <c r="Q66" s="429">
        <v>4500</v>
      </c>
      <c r="R66" s="202">
        <v>768.28795000000002</v>
      </c>
      <c r="S66" s="429">
        <f t="shared" si="80"/>
        <v>17.073065555555555</v>
      </c>
      <c r="T66" s="430">
        <f>R66-Q66</f>
        <v>-3731.7120500000001</v>
      </c>
      <c r="U66" s="429">
        <v>950</v>
      </c>
      <c r="V66" s="202">
        <v>182.648</v>
      </c>
      <c r="W66" s="429">
        <f t="shared" si="93"/>
        <v>19.226105263157894</v>
      </c>
      <c r="X66" s="430">
        <f>V66-U66</f>
        <v>-767.35199999999998</v>
      </c>
      <c r="Y66" s="429">
        <v>3800</v>
      </c>
      <c r="Z66" s="202">
        <v>892.06780000000003</v>
      </c>
      <c r="AA66" s="429">
        <f t="shared" si="81"/>
        <v>23.475468421052632</v>
      </c>
      <c r="AB66" s="430">
        <f t="shared" si="76"/>
        <v>-2907.9322000000002</v>
      </c>
      <c r="AC66" s="429">
        <v>2900</v>
      </c>
      <c r="AD66" s="202">
        <v>538.35244999999998</v>
      </c>
      <c r="AE66" s="429">
        <f t="shared" si="82"/>
        <v>18.563877586206896</v>
      </c>
      <c r="AF66" s="108">
        <f>AD66-AC66</f>
        <v>-2361.6475500000001</v>
      </c>
      <c r="AG66" s="418">
        <f t="shared" si="3"/>
        <v>21800</v>
      </c>
      <c r="AH66" s="419">
        <f t="shared" si="3"/>
        <v>4822.4904100000003</v>
      </c>
      <c r="AI66" s="419">
        <f t="shared" si="83"/>
        <v>22.121515642201835</v>
      </c>
      <c r="AJ66" s="428">
        <f t="shared" si="32"/>
        <v>-16977.509590000001</v>
      </c>
      <c r="AK66" s="94">
        <v>250</v>
      </c>
      <c r="AL66" s="202"/>
      <c r="AM66" s="429">
        <f>AL66/AK66*100</f>
        <v>0</v>
      </c>
      <c r="AN66" s="94">
        <f>AL66-AK66</f>
        <v>-250</v>
      </c>
      <c r="AO66" s="94">
        <v>75</v>
      </c>
      <c r="AP66" s="432"/>
      <c r="AQ66" s="429"/>
      <c r="AR66" s="429">
        <f>AP66-AO66</f>
        <v>-75</v>
      </c>
      <c r="AS66" s="429">
        <v>250</v>
      </c>
      <c r="AT66" s="432"/>
      <c r="AU66" s="429">
        <f t="shared" si="84"/>
        <v>0</v>
      </c>
      <c r="AV66" s="429">
        <f t="shared" si="85"/>
        <v>-250</v>
      </c>
      <c r="AW66" s="429">
        <v>200</v>
      </c>
      <c r="AX66" s="202"/>
      <c r="AY66" s="429"/>
      <c r="AZ66" s="429">
        <f>AX66-AW66</f>
        <v>-200</v>
      </c>
      <c r="BA66" s="418">
        <f t="shared" si="8"/>
        <v>775</v>
      </c>
      <c r="BB66" s="469">
        <f>AL66+AP66+AT66+AX66</f>
        <v>0</v>
      </c>
      <c r="BC66" s="419">
        <f>BB66/BA66*100</f>
        <v>0</v>
      </c>
      <c r="BD66" s="419">
        <f>BB66-BA66</f>
        <v>-775</v>
      </c>
      <c r="BE66" s="94"/>
      <c r="BF66" s="432"/>
      <c r="BG66" s="429"/>
      <c r="BH66" s="429">
        <f>BF66-BE66</f>
        <v>0</v>
      </c>
      <c r="BI66" s="429"/>
      <c r="BJ66" s="432"/>
      <c r="BK66" s="440" t="e">
        <f>BJ66/BI66*100</f>
        <v>#DIV/0!</v>
      </c>
      <c r="BL66" s="429">
        <f>BJ66-BI66</f>
        <v>0</v>
      </c>
      <c r="BM66" s="429"/>
      <c r="BN66" s="432"/>
      <c r="BO66" s="429"/>
      <c r="BP66" s="429">
        <f t="shared" si="86"/>
        <v>0</v>
      </c>
      <c r="BQ66" s="429"/>
      <c r="BR66" s="432"/>
      <c r="BS66" s="436">
        <v>0</v>
      </c>
      <c r="BT66" s="92">
        <f t="shared" si="19"/>
        <v>0</v>
      </c>
      <c r="BU66" s="94"/>
      <c r="BV66" s="419"/>
      <c r="BW66" s="94"/>
      <c r="BX66" s="108">
        <f t="shared" si="77"/>
        <v>0</v>
      </c>
      <c r="BY66" s="429"/>
      <c r="BZ66" s="202"/>
      <c r="CA66" s="441"/>
      <c r="CB66" s="430">
        <f t="shared" si="27"/>
        <v>0</v>
      </c>
      <c r="CC66" s="430"/>
      <c r="CD66" s="206"/>
      <c r="CE66" s="472"/>
      <c r="CF66" s="430"/>
      <c r="CG66" s="430"/>
      <c r="CH66" s="206"/>
      <c r="CI66" s="472"/>
      <c r="CJ66" s="430"/>
      <c r="CK66" s="435">
        <f>AG66+BA66+BI66+BM66+BQ66+BU66+BY66+CC66+CG66</f>
        <v>22575</v>
      </c>
      <c r="CL66" s="202">
        <f t="shared" si="90"/>
        <v>4822.4904100000003</v>
      </c>
      <c r="CM66" s="419">
        <f t="shared" si="13"/>
        <v>21.362083765227023</v>
      </c>
      <c r="CN66" s="419">
        <f t="shared" si="14"/>
        <v>-17752.509590000001</v>
      </c>
      <c r="CP66" s="128">
        <f t="shared" si="63"/>
        <v>4822.4904100000003</v>
      </c>
      <c r="CQ66" s="123">
        <f t="shared" si="64"/>
        <v>22575</v>
      </c>
      <c r="CS66" s="132">
        <f t="shared" si="65"/>
        <v>4822.4904100000003</v>
      </c>
      <c r="CT66" s="123">
        <f t="shared" si="21"/>
        <v>4822.4904100000003</v>
      </c>
      <c r="CU66" s="123">
        <f t="shared" si="22"/>
        <v>4822.4904100000003</v>
      </c>
      <c r="CV66" s="123">
        <f t="shared" si="23"/>
        <v>4822.4904100000003</v>
      </c>
      <c r="CW66" s="123">
        <f t="shared" si="24"/>
        <v>22575</v>
      </c>
      <c r="CX66" s="425"/>
      <c r="CY66" s="425"/>
    </row>
    <row r="67" spans="1:183" ht="13.5">
      <c r="A67" s="108"/>
      <c r="B67" s="772" t="s">
        <v>454</v>
      </c>
      <c r="C67" s="773"/>
      <c r="D67" s="774"/>
      <c r="E67" s="94">
        <v>100</v>
      </c>
      <c r="F67" s="16">
        <v>10.025</v>
      </c>
      <c r="G67" s="94">
        <f t="shared" si="91"/>
        <v>10.025</v>
      </c>
      <c r="H67" s="94">
        <f>F67-E67</f>
        <v>-89.974999999999994</v>
      </c>
      <c r="I67" s="94">
        <v>200</v>
      </c>
      <c r="J67" s="16">
        <v>71.927999999999997</v>
      </c>
      <c r="K67" s="94">
        <f t="shared" si="92"/>
        <v>35.963999999999999</v>
      </c>
      <c r="L67" s="108">
        <f t="shared" si="78"/>
        <v>-128.072</v>
      </c>
      <c r="M67" s="94">
        <v>200</v>
      </c>
      <c r="N67" s="202">
        <v>104.1399</v>
      </c>
      <c r="O67" s="429">
        <f t="shared" si="79"/>
        <v>52.069949999999999</v>
      </c>
      <c r="P67" s="430">
        <f t="shared" si="29"/>
        <v>-95.860100000000003</v>
      </c>
      <c r="Q67" s="429">
        <v>450</v>
      </c>
      <c r="R67" s="202">
        <v>136.27500000000001</v>
      </c>
      <c r="S67" s="429">
        <f t="shared" si="80"/>
        <v>30.283333333333335</v>
      </c>
      <c r="T67" s="430">
        <f>R67-Q67</f>
        <v>-313.72500000000002</v>
      </c>
      <c r="U67" s="429">
        <v>100</v>
      </c>
      <c r="V67" s="202">
        <v>25.315000000000001</v>
      </c>
      <c r="W67" s="429">
        <f t="shared" si="93"/>
        <v>25.314999999999998</v>
      </c>
      <c r="X67" s="430">
        <f>V67-U67</f>
        <v>-74.685000000000002</v>
      </c>
      <c r="Y67" s="429">
        <v>250</v>
      </c>
      <c r="Z67" s="202">
        <v>40.872999999999998</v>
      </c>
      <c r="AA67" s="429">
        <f t="shared" si="81"/>
        <v>16.3492</v>
      </c>
      <c r="AB67" s="430">
        <f t="shared" si="76"/>
        <v>-209.12700000000001</v>
      </c>
      <c r="AC67" s="429">
        <v>200</v>
      </c>
      <c r="AD67" s="202">
        <v>1.67</v>
      </c>
      <c r="AE67" s="429">
        <f t="shared" si="82"/>
        <v>0.83499999999999996</v>
      </c>
      <c r="AF67" s="108">
        <f>AD67-AC67</f>
        <v>-198.33</v>
      </c>
      <c r="AG67" s="418">
        <f t="shared" si="3"/>
        <v>1500</v>
      </c>
      <c r="AH67" s="419">
        <f t="shared" si="3"/>
        <v>390.22589999999997</v>
      </c>
      <c r="AI67" s="419">
        <f t="shared" si="83"/>
        <v>26.015059999999995</v>
      </c>
      <c r="AJ67" s="428">
        <f t="shared" si="32"/>
        <v>-1109.7741000000001</v>
      </c>
      <c r="AK67" s="94">
        <v>80</v>
      </c>
      <c r="AL67" s="202">
        <v>10.73</v>
      </c>
      <c r="AM67" s="429">
        <f>AL67/AK67*100</f>
        <v>13.4125</v>
      </c>
      <c r="AN67" s="94">
        <f>AL67-AK67</f>
        <v>-69.27</v>
      </c>
      <c r="AO67" s="94">
        <v>30</v>
      </c>
      <c r="AP67" s="432"/>
      <c r="AQ67" s="429">
        <f>AP67/AO67*100</f>
        <v>0</v>
      </c>
      <c r="AR67" s="429">
        <f>AP67-AO67</f>
        <v>-30</v>
      </c>
      <c r="AS67" s="429">
        <v>50</v>
      </c>
      <c r="AT67" s="432">
        <v>20</v>
      </c>
      <c r="AU67" s="429">
        <v>0</v>
      </c>
      <c r="AV67" s="429">
        <f t="shared" si="85"/>
        <v>-30</v>
      </c>
      <c r="AW67" s="429">
        <v>70</v>
      </c>
      <c r="AX67" s="202"/>
      <c r="AY67" s="429">
        <f>AX67/AW67*100</f>
        <v>0</v>
      </c>
      <c r="AZ67" s="429">
        <f>AX67-AW67</f>
        <v>-70</v>
      </c>
      <c r="BA67" s="418">
        <f t="shared" si="8"/>
        <v>230</v>
      </c>
      <c r="BB67" s="469">
        <f t="shared" ref="BB67:BB75" si="94">AL67+AP67+AT67+AX67</f>
        <v>30.73</v>
      </c>
      <c r="BC67" s="419">
        <f>BB67/BA67*100</f>
        <v>13.360869565217392</v>
      </c>
      <c r="BD67" s="419">
        <f>BB67-BA67</f>
        <v>-199.27</v>
      </c>
      <c r="BE67" s="94">
        <v>45</v>
      </c>
      <c r="BF67" s="432"/>
      <c r="BG67" s="429">
        <f>BF67/BE67*100</f>
        <v>0</v>
      </c>
      <c r="BH67" s="429">
        <f>BF67-BE67</f>
        <v>-45</v>
      </c>
      <c r="BI67" s="429">
        <v>15</v>
      </c>
      <c r="BJ67" s="432"/>
      <c r="BK67" s="440">
        <f>BJ67/BI67*100</f>
        <v>0</v>
      </c>
      <c r="BL67" s="429">
        <f>BJ67-BI67</f>
        <v>-15</v>
      </c>
      <c r="BM67" s="429">
        <v>30</v>
      </c>
      <c r="BN67" s="432"/>
      <c r="BO67" s="429"/>
      <c r="BP67" s="429">
        <f t="shared" si="86"/>
        <v>-30</v>
      </c>
      <c r="BQ67" s="429">
        <v>200</v>
      </c>
      <c r="BR67" s="432"/>
      <c r="BS67" s="436">
        <f t="shared" si="18"/>
        <v>0</v>
      </c>
      <c r="BT67" s="92">
        <f t="shared" si="19"/>
        <v>-200</v>
      </c>
      <c r="BU67" s="94">
        <v>3.3</v>
      </c>
      <c r="BV67" s="202">
        <v>1</v>
      </c>
      <c r="BW67" s="94">
        <f t="shared" si="87"/>
        <v>30.303030303030305</v>
      </c>
      <c r="BX67" s="108">
        <f t="shared" si="77"/>
        <v>-2.2999999999999998</v>
      </c>
      <c r="BY67" s="429">
        <v>83</v>
      </c>
      <c r="BZ67" s="202">
        <v>166.22</v>
      </c>
      <c r="CA67" s="441">
        <f>BZ67/BY67*100</f>
        <v>200.26506024096386</v>
      </c>
      <c r="CB67" s="430">
        <f t="shared" si="27"/>
        <v>83.22</v>
      </c>
      <c r="CC67" s="205">
        <v>9.1</v>
      </c>
      <c r="CD67" s="206">
        <v>4.5</v>
      </c>
      <c r="CE67" s="472">
        <f t="shared" ref="CE67" si="95">CD67/CC67*100</f>
        <v>49.450549450549453</v>
      </c>
      <c r="CF67" s="430"/>
      <c r="CG67" s="205">
        <v>150</v>
      </c>
      <c r="CH67" s="202">
        <v>45.727600000000002</v>
      </c>
      <c r="CI67" s="472"/>
      <c r="CJ67" s="430"/>
      <c r="CK67" s="435">
        <f>AG67+BA67+BE67+BI67+BM67+BQ67+BU67+BY67+CC67+CG67</f>
        <v>2265.4</v>
      </c>
      <c r="CL67" s="202">
        <f t="shared" si="90"/>
        <v>638.40350000000001</v>
      </c>
      <c r="CM67" s="419">
        <f t="shared" si="13"/>
        <v>28.180608281098262</v>
      </c>
      <c r="CN67" s="419">
        <f t="shared" si="14"/>
        <v>-1626.9965000000002</v>
      </c>
      <c r="CP67" s="128">
        <f t="shared" si="63"/>
        <v>592.67589999999996</v>
      </c>
      <c r="CQ67" s="123">
        <f t="shared" si="64"/>
        <v>1915.4</v>
      </c>
      <c r="CS67" s="132">
        <f t="shared" si="65"/>
        <v>592.67589999999996</v>
      </c>
      <c r="CT67" s="123">
        <f t="shared" si="21"/>
        <v>638.40350000000001</v>
      </c>
      <c r="CU67" s="123">
        <f t="shared" si="22"/>
        <v>638.40350000000001</v>
      </c>
      <c r="CV67" s="123">
        <f t="shared" si="23"/>
        <v>420.95589999999999</v>
      </c>
      <c r="CW67" s="123">
        <f t="shared" si="24"/>
        <v>2265.4</v>
      </c>
      <c r="CX67" s="425"/>
      <c r="CY67" s="425"/>
    </row>
    <row r="68" spans="1:183" ht="13.5">
      <c r="A68" s="108"/>
      <c r="B68" s="772" t="s">
        <v>222</v>
      </c>
      <c r="C68" s="773"/>
      <c r="D68" s="774"/>
      <c r="E68" s="94">
        <v>15</v>
      </c>
      <c r="F68" s="16"/>
      <c r="G68" s="94"/>
      <c r="H68" s="94">
        <f t="shared" ref="H68:H75" si="96">F68-E68</f>
        <v>-15</v>
      </c>
      <c r="I68" s="94">
        <v>20</v>
      </c>
      <c r="J68" s="16"/>
      <c r="K68" s="94"/>
      <c r="L68" s="108">
        <f t="shared" si="78"/>
        <v>-20</v>
      </c>
      <c r="M68" s="94">
        <v>30</v>
      </c>
      <c r="N68" s="202"/>
      <c r="O68" s="429"/>
      <c r="P68" s="430">
        <f t="shared" si="29"/>
        <v>-30</v>
      </c>
      <c r="Q68" s="429">
        <v>30</v>
      </c>
      <c r="R68" s="202"/>
      <c r="S68" s="429"/>
      <c r="T68" s="430">
        <f t="shared" ref="T68:T75" si="97">R68-Q68</f>
        <v>-30</v>
      </c>
      <c r="U68" s="429">
        <v>15</v>
      </c>
      <c r="V68" s="708"/>
      <c r="W68" s="429"/>
      <c r="X68" s="430">
        <f t="shared" ref="X68:X75" si="98">V68-U68</f>
        <v>-15</v>
      </c>
      <c r="Y68" s="429">
        <v>25</v>
      </c>
      <c r="Z68" s="707">
        <v>8.3800000000000008</v>
      </c>
      <c r="AA68" s="429">
        <f t="shared" si="81"/>
        <v>33.520000000000003</v>
      </c>
      <c r="AB68" s="430">
        <f t="shared" si="76"/>
        <v>-16.619999999999997</v>
      </c>
      <c r="AC68" s="429">
        <v>20</v>
      </c>
      <c r="AD68" s="202">
        <v>1.65</v>
      </c>
      <c r="AE68" s="429">
        <f t="shared" si="82"/>
        <v>8.2499999999999982</v>
      </c>
      <c r="AF68" s="108">
        <f>AD68-AC68</f>
        <v>-18.350000000000001</v>
      </c>
      <c r="AG68" s="418">
        <f t="shared" si="3"/>
        <v>155</v>
      </c>
      <c r="AH68" s="419">
        <f t="shared" si="3"/>
        <v>10.030000000000001</v>
      </c>
      <c r="AI68" s="419">
        <f t="shared" si="83"/>
        <v>6.4709677419354854</v>
      </c>
      <c r="AJ68" s="428">
        <f t="shared" si="32"/>
        <v>-144.97</v>
      </c>
      <c r="AK68" s="94">
        <v>10</v>
      </c>
      <c r="AL68" s="202"/>
      <c r="AM68" s="429">
        <f>AL68/AK68*100</f>
        <v>0</v>
      </c>
      <c r="AN68" s="94">
        <f t="shared" ref="AN68:AN75" si="99">AL68-AK68</f>
        <v>-10</v>
      </c>
      <c r="AO68" s="94">
        <v>5</v>
      </c>
      <c r="AP68" s="432"/>
      <c r="AQ68" s="429"/>
      <c r="AR68" s="429">
        <f t="shared" ref="AR68:AR75" si="100">AP68-AO68</f>
        <v>-5</v>
      </c>
      <c r="AS68" s="429">
        <v>10</v>
      </c>
      <c r="AT68" s="432"/>
      <c r="AU68" s="429"/>
      <c r="AV68" s="429">
        <f t="shared" si="85"/>
        <v>-10</v>
      </c>
      <c r="AW68" s="429">
        <v>10</v>
      </c>
      <c r="AX68" s="202"/>
      <c r="AY68" s="429"/>
      <c r="AZ68" s="429">
        <f t="shared" ref="AZ68:AZ75" si="101">AX68-AW68</f>
        <v>-10</v>
      </c>
      <c r="BA68" s="418">
        <f t="shared" si="8"/>
        <v>35</v>
      </c>
      <c r="BB68" s="469">
        <f t="shared" si="94"/>
        <v>0</v>
      </c>
      <c r="BC68" s="419"/>
      <c r="BD68" s="419">
        <f t="shared" ref="BD68:BD75" si="102">BB68-BA68</f>
        <v>-35</v>
      </c>
      <c r="BE68" s="94">
        <v>5</v>
      </c>
      <c r="BF68" s="432"/>
      <c r="BG68" s="429"/>
      <c r="BH68" s="429">
        <f t="shared" ref="BH68:BH75" si="103">BF68-BE68</f>
        <v>-5</v>
      </c>
      <c r="BI68" s="429">
        <v>5</v>
      </c>
      <c r="BJ68" s="432"/>
      <c r="BK68" s="440"/>
      <c r="BL68" s="429">
        <f t="shared" ref="BL68:BL75" si="104">BJ68-BI68</f>
        <v>-5</v>
      </c>
      <c r="BM68" s="429">
        <v>5</v>
      </c>
      <c r="BN68" s="432"/>
      <c r="BO68" s="429"/>
      <c r="BP68" s="429">
        <f t="shared" si="86"/>
        <v>-5</v>
      </c>
      <c r="BQ68" s="429">
        <v>15</v>
      </c>
      <c r="BR68" s="432"/>
      <c r="BS68" s="436">
        <f t="shared" si="18"/>
        <v>0</v>
      </c>
      <c r="BT68" s="92">
        <f t="shared" si="19"/>
        <v>-15</v>
      </c>
      <c r="BU68" s="94"/>
      <c r="BV68" s="419"/>
      <c r="BW68" s="94"/>
      <c r="BX68" s="108"/>
      <c r="BY68" s="429"/>
      <c r="BZ68" s="202"/>
      <c r="CA68" s="441"/>
      <c r="CB68" s="430">
        <f t="shared" si="27"/>
        <v>0</v>
      </c>
      <c r="CC68" s="430"/>
      <c r="CD68" s="442"/>
      <c r="CE68" s="442"/>
      <c r="CF68" s="430"/>
      <c r="CG68" s="429"/>
      <c r="CH68" s="432"/>
      <c r="CI68" s="472"/>
      <c r="CJ68" s="430"/>
      <c r="CK68" s="435">
        <f t="shared" ref="CK68:CK75" si="105">AG68+BA68+BE68+BI68+BM68+BQ68+BU68+BY68+CC68+CG68</f>
        <v>220</v>
      </c>
      <c r="CL68" s="202">
        <f t="shared" si="90"/>
        <v>10.030000000000001</v>
      </c>
      <c r="CM68" s="419">
        <f t="shared" si="13"/>
        <v>4.5590909090909095</v>
      </c>
      <c r="CN68" s="419">
        <f t="shared" si="14"/>
        <v>-209.97</v>
      </c>
      <c r="CP68" s="128">
        <f t="shared" si="63"/>
        <v>10.030000000000001</v>
      </c>
      <c r="CQ68" s="123">
        <f t="shared" si="64"/>
        <v>205</v>
      </c>
      <c r="CS68" s="132">
        <f t="shared" si="65"/>
        <v>10.030000000000001</v>
      </c>
      <c r="CT68" s="123">
        <f t="shared" si="21"/>
        <v>10.030000000000001</v>
      </c>
      <c r="CU68" s="123">
        <f t="shared" si="22"/>
        <v>10.030000000000001</v>
      </c>
      <c r="CV68" s="123">
        <f t="shared" si="23"/>
        <v>10.030000000000001</v>
      </c>
      <c r="CW68" s="123">
        <f t="shared" si="24"/>
        <v>220</v>
      </c>
      <c r="CX68" s="425"/>
      <c r="CY68" s="425"/>
    </row>
    <row r="69" spans="1:183" ht="13.5">
      <c r="A69" s="108"/>
      <c r="B69" s="772" t="s">
        <v>822</v>
      </c>
      <c r="C69" s="773"/>
      <c r="D69" s="774"/>
      <c r="E69" s="94">
        <v>70</v>
      </c>
      <c r="F69" s="16"/>
      <c r="G69" s="94"/>
      <c r="H69" s="94">
        <f t="shared" si="96"/>
        <v>-70</v>
      </c>
      <c r="I69" s="94">
        <v>140</v>
      </c>
      <c r="J69" s="16"/>
      <c r="K69" s="94"/>
      <c r="L69" s="108">
        <f t="shared" si="78"/>
        <v>-140</v>
      </c>
      <c r="M69" s="94">
        <v>285</v>
      </c>
      <c r="N69" s="202">
        <v>11</v>
      </c>
      <c r="O69" s="429">
        <f t="shared" si="79"/>
        <v>3.8596491228070176</v>
      </c>
      <c r="P69" s="430">
        <f t="shared" si="29"/>
        <v>-274</v>
      </c>
      <c r="Q69" s="429">
        <v>270</v>
      </c>
      <c r="R69" s="202">
        <v>25</v>
      </c>
      <c r="S69" s="429">
        <f>R69/Q69*100</f>
        <v>9.2592592592592595</v>
      </c>
      <c r="T69" s="430">
        <f t="shared" si="97"/>
        <v>-245</v>
      </c>
      <c r="U69" s="429">
        <v>60</v>
      </c>
      <c r="V69" s="202"/>
      <c r="W69" s="429"/>
      <c r="X69" s="430">
        <f t="shared" si="98"/>
        <v>-60</v>
      </c>
      <c r="Y69" s="429">
        <v>180</v>
      </c>
      <c r="Z69" s="202">
        <v>8.1199999999999992</v>
      </c>
      <c r="AA69" s="429">
        <f t="shared" si="81"/>
        <v>4.5111111111111111</v>
      </c>
      <c r="AB69" s="430">
        <f t="shared" si="76"/>
        <v>-171.88</v>
      </c>
      <c r="AC69" s="429">
        <v>140</v>
      </c>
      <c r="AD69" s="202"/>
      <c r="AE69" s="429">
        <f>AD69/AC69*100</f>
        <v>0</v>
      </c>
      <c r="AF69" s="108">
        <f t="shared" ref="AF69:AF75" si="106">AD69-AC69</f>
        <v>-140</v>
      </c>
      <c r="AG69" s="418">
        <f t="shared" si="3"/>
        <v>1145</v>
      </c>
      <c r="AH69" s="419">
        <f t="shared" si="3"/>
        <v>44.12</v>
      </c>
      <c r="AI69" s="419">
        <f t="shared" si="83"/>
        <v>3.8532751091703052</v>
      </c>
      <c r="AJ69" s="428">
        <f t="shared" si="32"/>
        <v>-1100.8800000000001</v>
      </c>
      <c r="AK69" s="94">
        <v>15</v>
      </c>
      <c r="AL69" s="202"/>
      <c r="AM69" s="429">
        <f>AL69/AK69*100</f>
        <v>0</v>
      </c>
      <c r="AN69" s="94">
        <f t="shared" si="99"/>
        <v>-15</v>
      </c>
      <c r="AO69" s="94">
        <v>10</v>
      </c>
      <c r="AP69" s="432"/>
      <c r="AQ69" s="429"/>
      <c r="AR69" s="429">
        <f t="shared" si="100"/>
        <v>-10</v>
      </c>
      <c r="AS69" s="429">
        <v>20</v>
      </c>
      <c r="AT69" s="432"/>
      <c r="AU69" s="429"/>
      <c r="AV69" s="429">
        <f t="shared" si="85"/>
        <v>-20</v>
      </c>
      <c r="AW69" s="429">
        <v>20</v>
      </c>
      <c r="AX69" s="202"/>
      <c r="AY69" s="429">
        <f>AX69/AW69*100</f>
        <v>0</v>
      </c>
      <c r="AZ69" s="429">
        <f t="shared" si="101"/>
        <v>-20</v>
      </c>
      <c r="BA69" s="418">
        <f t="shared" si="8"/>
        <v>65</v>
      </c>
      <c r="BB69" s="469">
        <f t="shared" si="94"/>
        <v>0</v>
      </c>
      <c r="BC69" s="419">
        <f>BB69/BA69*100</f>
        <v>0</v>
      </c>
      <c r="BD69" s="419">
        <f t="shared" si="102"/>
        <v>-65</v>
      </c>
      <c r="BE69" s="94"/>
      <c r="BF69" s="432"/>
      <c r="BG69" s="429"/>
      <c r="BH69" s="429">
        <f t="shared" si="103"/>
        <v>0</v>
      </c>
      <c r="BI69" s="429"/>
      <c r="BJ69" s="432"/>
      <c r="BK69" s="440"/>
      <c r="BL69" s="429">
        <f t="shared" si="104"/>
        <v>0</v>
      </c>
      <c r="BM69" s="429"/>
      <c r="BN69" s="432"/>
      <c r="BO69" s="429"/>
      <c r="BP69" s="429">
        <f t="shared" si="86"/>
        <v>0</v>
      </c>
      <c r="BQ69" s="429">
        <v>150</v>
      </c>
      <c r="BR69" s="432"/>
      <c r="BS69" s="436">
        <f t="shared" si="18"/>
        <v>0</v>
      </c>
      <c r="BT69" s="92">
        <f t="shared" si="19"/>
        <v>-150</v>
      </c>
      <c r="BU69" s="94"/>
      <c r="BV69" s="419"/>
      <c r="BW69" s="94"/>
      <c r="BX69" s="108"/>
      <c r="BY69" s="429">
        <v>90</v>
      </c>
      <c r="BZ69" s="202">
        <v>80.334999999999994</v>
      </c>
      <c r="CA69" s="441"/>
      <c r="CB69" s="430">
        <f t="shared" si="27"/>
        <v>-9.6650000000000063</v>
      </c>
      <c r="CC69" s="430"/>
      <c r="CD69" s="442"/>
      <c r="CE69" s="430"/>
      <c r="CF69" s="430"/>
      <c r="CG69" s="429"/>
      <c r="CH69" s="432"/>
      <c r="CI69" s="472"/>
      <c r="CJ69" s="430"/>
      <c r="CK69" s="435">
        <f t="shared" si="105"/>
        <v>1450</v>
      </c>
      <c r="CL69" s="202">
        <f t="shared" si="90"/>
        <v>124.45499999999998</v>
      </c>
      <c r="CM69" s="419">
        <f t="shared" si="13"/>
        <v>8.5831034482758604</v>
      </c>
      <c r="CN69" s="419">
        <f t="shared" si="14"/>
        <v>-1325.5450000000001</v>
      </c>
      <c r="CP69" s="128">
        <f t="shared" si="63"/>
        <v>124.45499999999998</v>
      </c>
      <c r="CQ69" s="123">
        <f t="shared" si="64"/>
        <v>1300</v>
      </c>
      <c r="CS69" s="132">
        <f t="shared" si="65"/>
        <v>124.45499999999998</v>
      </c>
      <c r="CT69" s="123">
        <f t="shared" si="21"/>
        <v>124.45499999999998</v>
      </c>
      <c r="CU69" s="123">
        <f t="shared" si="22"/>
        <v>124.45499999999998</v>
      </c>
      <c r="CV69" s="123">
        <f t="shared" si="23"/>
        <v>44.12</v>
      </c>
      <c r="CW69" s="123">
        <f t="shared" si="24"/>
        <v>1450</v>
      </c>
      <c r="CX69" s="425"/>
      <c r="CY69" s="425"/>
    </row>
    <row r="70" spans="1:183" ht="13.5">
      <c r="A70" s="108"/>
      <c r="B70" s="772" t="s">
        <v>224</v>
      </c>
      <c r="C70" s="773"/>
      <c r="D70" s="774"/>
      <c r="E70" s="94"/>
      <c r="F70" s="16">
        <v>50</v>
      </c>
      <c r="G70" s="94"/>
      <c r="H70" s="94">
        <f t="shared" si="96"/>
        <v>50</v>
      </c>
      <c r="I70" s="94"/>
      <c r="J70" s="16">
        <v>6.431</v>
      </c>
      <c r="K70" s="94"/>
      <c r="L70" s="108">
        <f t="shared" si="78"/>
        <v>6.431</v>
      </c>
      <c r="M70" s="94"/>
      <c r="N70" s="202"/>
      <c r="O70" s="429"/>
      <c r="P70" s="430">
        <f t="shared" si="29"/>
        <v>0</v>
      </c>
      <c r="Q70" s="429"/>
      <c r="R70" s="202">
        <v>58.994999999999997</v>
      </c>
      <c r="S70" s="429"/>
      <c r="T70" s="430">
        <f t="shared" si="97"/>
        <v>58.994999999999997</v>
      </c>
      <c r="U70" s="429"/>
      <c r="V70" s="202">
        <v>14.25</v>
      </c>
      <c r="W70" s="429"/>
      <c r="X70" s="430">
        <f t="shared" si="98"/>
        <v>14.25</v>
      </c>
      <c r="Y70" s="429"/>
      <c r="Z70" s="202">
        <v>30</v>
      </c>
      <c r="AA70" s="429"/>
      <c r="AB70" s="430">
        <f t="shared" si="76"/>
        <v>30</v>
      </c>
      <c r="AC70" s="429"/>
      <c r="AD70" s="202">
        <v>37</v>
      </c>
      <c r="AE70" s="429"/>
      <c r="AF70" s="108">
        <f t="shared" si="106"/>
        <v>37</v>
      </c>
      <c r="AG70" s="418">
        <f t="shared" si="3"/>
        <v>0</v>
      </c>
      <c r="AH70" s="419">
        <f t="shared" si="3"/>
        <v>196.67599999999999</v>
      </c>
      <c r="AI70" s="419"/>
      <c r="AJ70" s="428">
        <f t="shared" si="32"/>
        <v>196.67599999999999</v>
      </c>
      <c r="AK70" s="94"/>
      <c r="AL70" s="202">
        <v>168.518</v>
      </c>
      <c r="AM70" s="429"/>
      <c r="AN70" s="94">
        <f t="shared" si="99"/>
        <v>168.518</v>
      </c>
      <c r="AO70" s="94"/>
      <c r="AP70" s="432"/>
      <c r="AQ70" s="429"/>
      <c r="AR70" s="429">
        <f t="shared" si="100"/>
        <v>0</v>
      </c>
      <c r="AS70" s="429"/>
      <c r="AT70" s="432">
        <v>55.65</v>
      </c>
      <c r="AU70" s="429"/>
      <c r="AV70" s="429">
        <f t="shared" si="85"/>
        <v>55.65</v>
      </c>
      <c r="AW70" s="429"/>
      <c r="AX70" s="202"/>
      <c r="AY70" s="429"/>
      <c r="AZ70" s="429">
        <f t="shared" si="101"/>
        <v>0</v>
      </c>
      <c r="BA70" s="418">
        <f t="shared" si="8"/>
        <v>0</v>
      </c>
      <c r="BB70" s="469">
        <f t="shared" si="94"/>
        <v>224.16800000000001</v>
      </c>
      <c r="BC70" s="419"/>
      <c r="BD70" s="419">
        <f t="shared" si="102"/>
        <v>224.16800000000001</v>
      </c>
      <c r="BE70" s="94"/>
      <c r="BF70" s="432"/>
      <c r="BG70" s="429"/>
      <c r="BH70" s="429">
        <f t="shared" si="103"/>
        <v>0</v>
      </c>
      <c r="BI70" s="429"/>
      <c r="BJ70" s="432"/>
      <c r="BK70" s="440"/>
      <c r="BL70" s="429">
        <f t="shared" si="104"/>
        <v>0</v>
      </c>
      <c r="BM70" s="429"/>
      <c r="BN70" s="432"/>
      <c r="BO70" s="429"/>
      <c r="BP70" s="429">
        <f t="shared" si="86"/>
        <v>0</v>
      </c>
      <c r="BQ70" s="429"/>
      <c r="BR70" s="432"/>
      <c r="BS70" s="436">
        <v>0</v>
      </c>
      <c r="BT70" s="92">
        <f t="shared" si="19"/>
        <v>0</v>
      </c>
      <c r="BU70" s="94">
        <v>2.4</v>
      </c>
      <c r="BV70" s="419"/>
      <c r="BW70" s="94"/>
      <c r="BX70" s="108"/>
      <c r="BY70" s="429">
        <v>190</v>
      </c>
      <c r="BZ70" s="202">
        <v>30</v>
      </c>
      <c r="CA70" s="441"/>
      <c r="CB70" s="430"/>
      <c r="CC70" s="430"/>
      <c r="CD70" s="442">
        <v>1.88</v>
      </c>
      <c r="CE70" s="430"/>
      <c r="CF70" s="430"/>
      <c r="CG70" s="429">
        <v>350</v>
      </c>
      <c r="CH70" s="432">
        <v>294.39463999999998</v>
      </c>
      <c r="CI70" s="472"/>
      <c r="CJ70" s="430"/>
      <c r="CK70" s="435">
        <f t="shared" si="105"/>
        <v>542.4</v>
      </c>
      <c r="CL70" s="202">
        <f t="shared" si="90"/>
        <v>747.11863999999991</v>
      </c>
      <c r="CM70" s="419">
        <f>CL70/CK70*100</f>
        <v>137.74311209439526</v>
      </c>
      <c r="CN70" s="419">
        <f>CL70-CK70</f>
        <v>204.71863999999994</v>
      </c>
      <c r="CP70" s="128">
        <f t="shared" si="63"/>
        <v>452.72399999999993</v>
      </c>
      <c r="CQ70" s="123">
        <f t="shared" si="64"/>
        <v>192.4</v>
      </c>
      <c r="CS70" s="132">
        <f t="shared" si="65"/>
        <v>452.72399999999993</v>
      </c>
      <c r="CT70" s="123">
        <f t="shared" si="21"/>
        <v>747.11863999999991</v>
      </c>
      <c r="CU70" s="123">
        <f t="shared" si="22"/>
        <v>747.11863999999991</v>
      </c>
      <c r="CV70" s="123">
        <f t="shared" si="23"/>
        <v>420.84399999999994</v>
      </c>
      <c r="CW70" s="123">
        <f t="shared" si="24"/>
        <v>542.4</v>
      </c>
      <c r="CX70" s="425"/>
      <c r="CY70" s="425"/>
    </row>
    <row r="71" spans="1:183" ht="13.5">
      <c r="A71" s="108"/>
      <c r="B71" s="772" t="s">
        <v>619</v>
      </c>
      <c r="C71" s="773"/>
      <c r="D71" s="774"/>
      <c r="E71" s="94"/>
      <c r="F71" s="16"/>
      <c r="G71" s="94"/>
      <c r="H71" s="94">
        <f t="shared" si="96"/>
        <v>0</v>
      </c>
      <c r="I71" s="94"/>
      <c r="J71" s="16"/>
      <c r="K71" s="94"/>
      <c r="L71" s="108">
        <f t="shared" si="78"/>
        <v>0</v>
      </c>
      <c r="M71" s="94"/>
      <c r="N71" s="202"/>
      <c r="O71" s="429"/>
      <c r="P71" s="430">
        <f t="shared" si="29"/>
        <v>0</v>
      </c>
      <c r="Q71" s="429"/>
      <c r="R71" s="202"/>
      <c r="S71" s="429"/>
      <c r="T71" s="430">
        <f t="shared" si="97"/>
        <v>0</v>
      </c>
      <c r="U71" s="429"/>
      <c r="V71" s="202"/>
      <c r="W71" s="429"/>
      <c r="X71" s="430">
        <f t="shared" si="98"/>
        <v>0</v>
      </c>
      <c r="Y71" s="429"/>
      <c r="Z71" s="202"/>
      <c r="AA71" s="429"/>
      <c r="AB71" s="430">
        <f t="shared" si="76"/>
        <v>0</v>
      </c>
      <c r="AC71" s="429"/>
      <c r="AD71" s="202"/>
      <c r="AE71" s="429"/>
      <c r="AF71" s="108">
        <f t="shared" si="106"/>
        <v>0</v>
      </c>
      <c r="AG71" s="418">
        <f t="shared" si="3"/>
        <v>0</v>
      </c>
      <c r="AH71" s="419">
        <f t="shared" si="3"/>
        <v>0</v>
      </c>
      <c r="AI71" s="419"/>
      <c r="AJ71" s="428">
        <f t="shared" si="32"/>
        <v>0</v>
      </c>
      <c r="AK71" s="94"/>
      <c r="AL71" s="202"/>
      <c r="AM71" s="429"/>
      <c r="AN71" s="94">
        <f t="shared" si="99"/>
        <v>0</v>
      </c>
      <c r="AO71" s="94"/>
      <c r="AP71" s="432"/>
      <c r="AQ71" s="429"/>
      <c r="AR71" s="429">
        <f t="shared" si="100"/>
        <v>0</v>
      </c>
      <c r="AS71" s="429"/>
      <c r="AT71" s="432"/>
      <c r="AU71" s="429"/>
      <c r="AV71" s="429">
        <f t="shared" si="85"/>
        <v>0</v>
      </c>
      <c r="AW71" s="429"/>
      <c r="AX71" s="202"/>
      <c r="AY71" s="429"/>
      <c r="AZ71" s="429">
        <f t="shared" si="101"/>
        <v>0</v>
      </c>
      <c r="BA71" s="418">
        <f t="shared" si="8"/>
        <v>0</v>
      </c>
      <c r="BB71" s="469">
        <f t="shared" si="94"/>
        <v>0</v>
      </c>
      <c r="BC71" s="419"/>
      <c r="BD71" s="419">
        <f t="shared" si="102"/>
        <v>0</v>
      </c>
      <c r="BE71" s="94"/>
      <c r="BF71" s="432"/>
      <c r="BG71" s="429"/>
      <c r="BH71" s="429">
        <f t="shared" si="103"/>
        <v>0</v>
      </c>
      <c r="BI71" s="429"/>
      <c r="BJ71" s="432"/>
      <c r="BK71" s="440"/>
      <c r="BL71" s="429">
        <f t="shared" si="104"/>
        <v>0</v>
      </c>
      <c r="BM71" s="429"/>
      <c r="BN71" s="432"/>
      <c r="BO71" s="429"/>
      <c r="BP71" s="429">
        <f t="shared" si="86"/>
        <v>0</v>
      </c>
      <c r="BQ71" s="429"/>
      <c r="BR71" s="432"/>
      <c r="BS71" s="436">
        <v>0</v>
      </c>
      <c r="BT71" s="92">
        <f t="shared" si="19"/>
        <v>0</v>
      </c>
      <c r="BU71" s="94"/>
      <c r="BV71" s="419"/>
      <c r="BW71" s="94"/>
      <c r="BX71" s="108"/>
      <c r="BY71" s="429"/>
      <c r="BZ71" s="202"/>
      <c r="CA71" s="441"/>
      <c r="CB71" s="430">
        <f t="shared" si="27"/>
        <v>0</v>
      </c>
      <c r="CC71" s="430"/>
      <c r="CD71" s="442"/>
      <c r="CE71" s="430"/>
      <c r="CF71" s="430"/>
      <c r="CG71" s="429"/>
      <c r="CH71" s="432"/>
      <c r="CI71" s="472"/>
      <c r="CJ71" s="430"/>
      <c r="CK71" s="435">
        <f t="shared" si="105"/>
        <v>0</v>
      </c>
      <c r="CL71" s="202">
        <f t="shared" si="90"/>
        <v>0</v>
      </c>
      <c r="CM71" s="419">
        <v>0</v>
      </c>
      <c r="CN71" s="419">
        <f>CL71-CK71</f>
        <v>0</v>
      </c>
      <c r="CP71" s="128">
        <f t="shared" si="63"/>
        <v>0</v>
      </c>
      <c r="CQ71" s="123">
        <f t="shared" si="64"/>
        <v>0</v>
      </c>
      <c r="CS71" s="132">
        <f t="shared" si="65"/>
        <v>0</v>
      </c>
      <c r="CT71" s="123">
        <f t="shared" si="21"/>
        <v>0</v>
      </c>
      <c r="CU71" s="123">
        <f t="shared" si="22"/>
        <v>0</v>
      </c>
      <c r="CV71" s="123">
        <f t="shared" si="23"/>
        <v>0</v>
      </c>
      <c r="CW71" s="123">
        <f t="shared" si="24"/>
        <v>0</v>
      </c>
      <c r="CX71" s="425"/>
      <c r="CY71" s="425"/>
    </row>
    <row r="72" spans="1:183" ht="13.5">
      <c r="A72" s="108"/>
      <c r="B72" s="772" t="s">
        <v>243</v>
      </c>
      <c r="C72" s="773"/>
      <c r="D72" s="774"/>
      <c r="E72" s="94"/>
      <c r="F72" s="16"/>
      <c r="G72" s="94"/>
      <c r="H72" s="94">
        <f t="shared" si="96"/>
        <v>0</v>
      </c>
      <c r="I72" s="94"/>
      <c r="J72" s="16"/>
      <c r="K72" s="94"/>
      <c r="L72" s="108">
        <f t="shared" si="78"/>
        <v>0</v>
      </c>
      <c r="M72" s="94"/>
      <c r="N72" s="202"/>
      <c r="O72" s="429"/>
      <c r="P72" s="430">
        <f t="shared" si="29"/>
        <v>0</v>
      </c>
      <c r="Q72" s="429"/>
      <c r="R72" s="202"/>
      <c r="S72" s="429"/>
      <c r="T72" s="430">
        <f t="shared" si="97"/>
        <v>0</v>
      </c>
      <c r="U72" s="429"/>
      <c r="V72" s="202"/>
      <c r="W72" s="429"/>
      <c r="X72" s="430">
        <f t="shared" si="98"/>
        <v>0</v>
      </c>
      <c r="Y72" s="429"/>
      <c r="Z72" s="202"/>
      <c r="AA72" s="429"/>
      <c r="AB72" s="430">
        <f t="shared" si="76"/>
        <v>0</v>
      </c>
      <c r="AC72" s="429"/>
      <c r="AD72" s="202"/>
      <c r="AE72" s="429"/>
      <c r="AF72" s="108">
        <f t="shared" si="106"/>
        <v>0</v>
      </c>
      <c r="AG72" s="418">
        <f t="shared" si="3"/>
        <v>0</v>
      </c>
      <c r="AH72" s="419">
        <f t="shared" si="3"/>
        <v>0</v>
      </c>
      <c r="AI72" s="419">
        <v>0</v>
      </c>
      <c r="AJ72" s="428">
        <f t="shared" si="32"/>
        <v>0</v>
      </c>
      <c r="AK72" s="94"/>
      <c r="AL72" s="202"/>
      <c r="AM72" s="429"/>
      <c r="AN72" s="94">
        <f t="shared" si="99"/>
        <v>0</v>
      </c>
      <c r="AO72" s="94"/>
      <c r="AP72" s="432"/>
      <c r="AQ72" s="429"/>
      <c r="AR72" s="429">
        <f t="shared" si="100"/>
        <v>0</v>
      </c>
      <c r="AS72" s="429"/>
      <c r="AT72" s="432"/>
      <c r="AU72" s="429"/>
      <c r="AV72" s="429">
        <f t="shared" si="85"/>
        <v>0</v>
      </c>
      <c r="AW72" s="429"/>
      <c r="AX72" s="202"/>
      <c r="AY72" s="429"/>
      <c r="AZ72" s="429">
        <f t="shared" si="101"/>
        <v>0</v>
      </c>
      <c r="BA72" s="418">
        <f t="shared" si="8"/>
        <v>0</v>
      </c>
      <c r="BB72" s="469">
        <f t="shared" si="94"/>
        <v>0</v>
      </c>
      <c r="BC72" s="419"/>
      <c r="BD72" s="419">
        <f t="shared" si="102"/>
        <v>0</v>
      </c>
      <c r="BE72" s="94"/>
      <c r="BF72" s="432"/>
      <c r="BG72" s="429"/>
      <c r="BH72" s="429">
        <f t="shared" si="103"/>
        <v>0</v>
      </c>
      <c r="BI72" s="429"/>
      <c r="BJ72" s="432"/>
      <c r="BK72" s="440"/>
      <c r="BL72" s="429">
        <f t="shared" si="104"/>
        <v>0</v>
      </c>
      <c r="BM72" s="429"/>
      <c r="BN72" s="432"/>
      <c r="BO72" s="429"/>
      <c r="BP72" s="429">
        <f t="shared" si="86"/>
        <v>0</v>
      </c>
      <c r="BQ72" s="429"/>
      <c r="BR72" s="432"/>
      <c r="BS72" s="436"/>
      <c r="BT72" s="92">
        <f t="shared" si="19"/>
        <v>0</v>
      </c>
      <c r="BU72" s="94"/>
      <c r="BV72" s="419"/>
      <c r="BW72" s="94"/>
      <c r="BX72" s="108"/>
      <c r="BY72" s="429"/>
      <c r="BZ72" s="202">
        <v>8.8000000000000007</v>
      </c>
      <c r="CA72" s="441">
        <v>0</v>
      </c>
      <c r="CB72" s="430"/>
      <c r="CC72" s="430"/>
      <c r="CD72" s="442"/>
      <c r="CE72" s="430"/>
      <c r="CF72" s="430"/>
      <c r="CG72" s="429"/>
      <c r="CH72" s="432"/>
      <c r="CI72" s="472"/>
      <c r="CJ72" s="430"/>
      <c r="CK72" s="435">
        <f t="shared" si="105"/>
        <v>0</v>
      </c>
      <c r="CL72" s="202">
        <f t="shared" si="90"/>
        <v>8.8000000000000007</v>
      </c>
      <c r="CM72" s="419">
        <v>0</v>
      </c>
      <c r="CN72" s="419">
        <f>CL72-CK72</f>
        <v>8.8000000000000007</v>
      </c>
      <c r="CP72" s="128">
        <f t="shared" si="63"/>
        <v>8.8000000000000007</v>
      </c>
      <c r="CQ72" s="123">
        <f t="shared" si="64"/>
        <v>0</v>
      </c>
      <c r="CS72" s="132">
        <f t="shared" si="65"/>
        <v>8.8000000000000007</v>
      </c>
      <c r="CT72" s="123">
        <f t="shared" si="21"/>
        <v>8.8000000000000007</v>
      </c>
      <c r="CU72" s="123">
        <f t="shared" si="22"/>
        <v>8.8000000000000007</v>
      </c>
      <c r="CV72" s="123">
        <f t="shared" si="23"/>
        <v>0</v>
      </c>
      <c r="CW72" s="123">
        <f t="shared" si="24"/>
        <v>0</v>
      </c>
      <c r="CX72" s="425"/>
      <c r="CY72" s="425"/>
    </row>
    <row r="73" spans="1:183" ht="13.5">
      <c r="A73" s="108"/>
      <c r="B73" s="772" t="s">
        <v>148</v>
      </c>
      <c r="C73" s="773"/>
      <c r="D73" s="774"/>
      <c r="E73" s="94"/>
      <c r="F73" s="16"/>
      <c r="G73" s="94"/>
      <c r="H73" s="94">
        <f t="shared" si="96"/>
        <v>0</v>
      </c>
      <c r="I73" s="94"/>
      <c r="J73" s="16"/>
      <c r="K73" s="94"/>
      <c r="L73" s="108">
        <f t="shared" si="78"/>
        <v>0</v>
      </c>
      <c r="M73" s="94"/>
      <c r="N73" s="202"/>
      <c r="O73" s="429"/>
      <c r="P73" s="430">
        <f t="shared" si="29"/>
        <v>0</v>
      </c>
      <c r="Q73" s="429"/>
      <c r="R73" s="202"/>
      <c r="S73" s="429"/>
      <c r="T73" s="430">
        <f t="shared" si="97"/>
        <v>0</v>
      </c>
      <c r="U73" s="429"/>
      <c r="V73" s="202"/>
      <c r="W73" s="429"/>
      <c r="X73" s="430">
        <f t="shared" si="98"/>
        <v>0</v>
      </c>
      <c r="Y73" s="429"/>
      <c r="Z73" s="202"/>
      <c r="AA73" s="429"/>
      <c r="AB73" s="430">
        <f t="shared" si="76"/>
        <v>0</v>
      </c>
      <c r="AC73" s="429"/>
      <c r="AD73" s="202"/>
      <c r="AE73" s="429"/>
      <c r="AF73" s="108">
        <f t="shared" si="106"/>
        <v>0</v>
      </c>
      <c r="AG73" s="418">
        <f t="shared" si="3"/>
        <v>0</v>
      </c>
      <c r="AH73" s="419">
        <f t="shared" si="3"/>
        <v>0</v>
      </c>
      <c r="AI73" s="419"/>
      <c r="AJ73" s="428">
        <f t="shared" si="32"/>
        <v>0</v>
      </c>
      <c r="AK73" s="94"/>
      <c r="AL73" s="202"/>
      <c r="AM73" s="429"/>
      <c r="AN73" s="94">
        <f t="shared" si="99"/>
        <v>0</v>
      </c>
      <c r="AO73" s="94"/>
      <c r="AP73" s="432"/>
      <c r="AQ73" s="429"/>
      <c r="AR73" s="429">
        <f t="shared" si="100"/>
        <v>0</v>
      </c>
      <c r="AS73" s="429"/>
      <c r="AT73" s="432"/>
      <c r="AU73" s="429"/>
      <c r="AV73" s="429">
        <f t="shared" si="85"/>
        <v>0</v>
      </c>
      <c r="AW73" s="429"/>
      <c r="AX73" s="202"/>
      <c r="AY73" s="429"/>
      <c r="AZ73" s="429">
        <f t="shared" si="101"/>
        <v>0</v>
      </c>
      <c r="BA73" s="418">
        <f t="shared" si="8"/>
        <v>0</v>
      </c>
      <c r="BB73" s="469">
        <f t="shared" si="94"/>
        <v>0</v>
      </c>
      <c r="BC73" s="419"/>
      <c r="BD73" s="419">
        <f t="shared" si="102"/>
        <v>0</v>
      </c>
      <c r="BE73" s="94"/>
      <c r="BF73" s="432"/>
      <c r="BG73" s="429"/>
      <c r="BH73" s="429">
        <f t="shared" si="103"/>
        <v>0</v>
      </c>
      <c r="BI73" s="429"/>
      <c r="BJ73" s="432"/>
      <c r="BK73" s="440"/>
      <c r="BL73" s="429">
        <f t="shared" si="104"/>
        <v>0</v>
      </c>
      <c r="BM73" s="429"/>
      <c r="BN73" s="432"/>
      <c r="BO73" s="429"/>
      <c r="BP73" s="429">
        <f t="shared" si="86"/>
        <v>0</v>
      </c>
      <c r="BQ73" s="429"/>
      <c r="BR73" s="432"/>
      <c r="BS73" s="436">
        <v>0</v>
      </c>
      <c r="BT73" s="92">
        <f t="shared" si="19"/>
        <v>0</v>
      </c>
      <c r="BU73" s="94"/>
      <c r="BV73" s="419"/>
      <c r="BW73" s="94"/>
      <c r="BX73" s="108"/>
      <c r="BY73" s="429">
        <v>25</v>
      </c>
      <c r="BZ73" s="202">
        <v>8</v>
      </c>
      <c r="CA73" s="441">
        <v>0</v>
      </c>
      <c r="CB73" s="430">
        <f t="shared" si="27"/>
        <v>-17</v>
      </c>
      <c r="CC73" s="430"/>
      <c r="CD73" s="442"/>
      <c r="CE73" s="430"/>
      <c r="CF73" s="430"/>
      <c r="CG73" s="429"/>
      <c r="CH73" s="432"/>
      <c r="CI73" s="472"/>
      <c r="CJ73" s="430"/>
      <c r="CK73" s="435">
        <f t="shared" si="105"/>
        <v>25</v>
      </c>
      <c r="CL73" s="202">
        <f t="shared" si="90"/>
        <v>8</v>
      </c>
      <c r="CM73" s="419">
        <v>0</v>
      </c>
      <c r="CN73" s="419">
        <f t="shared" si="14"/>
        <v>-17</v>
      </c>
      <c r="CP73" s="128">
        <f t="shared" si="63"/>
        <v>8</v>
      </c>
      <c r="CQ73" s="123">
        <f t="shared" si="64"/>
        <v>25</v>
      </c>
      <c r="CS73" s="132">
        <f t="shared" si="65"/>
        <v>8</v>
      </c>
      <c r="CT73" s="123">
        <f t="shared" si="21"/>
        <v>8</v>
      </c>
      <c r="CU73" s="123">
        <f t="shared" si="22"/>
        <v>8</v>
      </c>
      <c r="CV73" s="123">
        <f t="shared" si="23"/>
        <v>0</v>
      </c>
      <c r="CW73" s="123">
        <f t="shared" si="24"/>
        <v>25</v>
      </c>
      <c r="CX73" s="425"/>
      <c r="CY73" s="425"/>
    </row>
    <row r="74" spans="1:183" ht="13.5">
      <c r="A74" s="108"/>
      <c r="B74" s="772" t="s">
        <v>226</v>
      </c>
      <c r="C74" s="773"/>
      <c r="D74" s="774"/>
      <c r="E74" s="94">
        <v>40</v>
      </c>
      <c r="F74" s="16"/>
      <c r="G74" s="94"/>
      <c r="H74" s="94">
        <f t="shared" si="96"/>
        <v>-40</v>
      </c>
      <c r="I74" s="94">
        <v>100</v>
      </c>
      <c r="J74" s="16"/>
      <c r="K74" s="94"/>
      <c r="L74" s="108">
        <f t="shared" si="78"/>
        <v>-100</v>
      </c>
      <c r="M74" s="94">
        <v>150</v>
      </c>
      <c r="N74" s="202">
        <v>10.65</v>
      </c>
      <c r="O74" s="429">
        <f t="shared" ref="O74" si="107">N74/M74*100</f>
        <v>7.1000000000000005</v>
      </c>
      <c r="P74" s="430">
        <f t="shared" si="29"/>
        <v>-139.35</v>
      </c>
      <c r="Q74" s="429">
        <v>150</v>
      </c>
      <c r="R74" s="202"/>
      <c r="S74" s="429"/>
      <c r="T74" s="430">
        <f t="shared" si="97"/>
        <v>-150</v>
      </c>
      <c r="U74" s="429">
        <v>80</v>
      </c>
      <c r="V74" s="202"/>
      <c r="W74" s="429"/>
      <c r="X74" s="430">
        <f t="shared" si="98"/>
        <v>-80</v>
      </c>
      <c r="Y74" s="429">
        <v>100</v>
      </c>
      <c r="Z74" s="202">
        <v>5.7</v>
      </c>
      <c r="AA74" s="429">
        <f t="shared" ref="AA74" si="108">Z74/Y74*100</f>
        <v>5.7</v>
      </c>
      <c r="AB74" s="430">
        <f t="shared" si="76"/>
        <v>-94.3</v>
      </c>
      <c r="AC74" s="429">
        <v>100</v>
      </c>
      <c r="AD74" s="202"/>
      <c r="AE74" s="429"/>
      <c r="AF74" s="108">
        <f t="shared" si="106"/>
        <v>-100</v>
      </c>
      <c r="AG74" s="418">
        <f t="shared" si="3"/>
        <v>720</v>
      </c>
      <c r="AH74" s="419">
        <f t="shared" si="3"/>
        <v>16.350000000000001</v>
      </c>
      <c r="AI74" s="419"/>
      <c r="AJ74" s="428">
        <f t="shared" si="32"/>
        <v>-703.65</v>
      </c>
      <c r="AK74" s="94">
        <v>100</v>
      </c>
      <c r="AL74" s="202"/>
      <c r="AM74" s="429"/>
      <c r="AN74" s="94">
        <f t="shared" si="99"/>
        <v>-100</v>
      </c>
      <c r="AO74" s="94">
        <v>20</v>
      </c>
      <c r="AP74" s="432"/>
      <c r="AQ74" s="429"/>
      <c r="AR74" s="429">
        <f t="shared" si="100"/>
        <v>-20</v>
      </c>
      <c r="AS74" s="429">
        <v>100</v>
      </c>
      <c r="AT74" s="432"/>
      <c r="AU74" s="429"/>
      <c r="AV74" s="429">
        <f t="shared" si="85"/>
        <v>-100</v>
      </c>
      <c r="AW74" s="429">
        <v>100</v>
      </c>
      <c r="AX74" s="202"/>
      <c r="AY74" s="429"/>
      <c r="AZ74" s="429">
        <f t="shared" si="101"/>
        <v>-100</v>
      </c>
      <c r="BA74" s="418">
        <f t="shared" si="8"/>
        <v>320</v>
      </c>
      <c r="BB74" s="469">
        <f t="shared" si="94"/>
        <v>0</v>
      </c>
      <c r="BC74" s="419"/>
      <c r="BD74" s="419">
        <f t="shared" si="102"/>
        <v>-320</v>
      </c>
      <c r="BE74" s="94">
        <v>20</v>
      </c>
      <c r="BF74" s="432"/>
      <c r="BG74" s="429"/>
      <c r="BH74" s="429">
        <f t="shared" si="103"/>
        <v>-20</v>
      </c>
      <c r="BI74" s="429">
        <v>15</v>
      </c>
      <c r="BJ74" s="432"/>
      <c r="BK74" s="440"/>
      <c r="BL74" s="429">
        <f t="shared" si="104"/>
        <v>-15</v>
      </c>
      <c r="BM74" s="429">
        <v>15</v>
      </c>
      <c r="BN74" s="432"/>
      <c r="BO74" s="429"/>
      <c r="BP74" s="429">
        <f t="shared" si="86"/>
        <v>-15</v>
      </c>
      <c r="BQ74" s="429">
        <v>200</v>
      </c>
      <c r="BR74" s="432"/>
      <c r="BS74" s="436">
        <v>0</v>
      </c>
      <c r="BT74" s="92">
        <f t="shared" si="19"/>
        <v>-200</v>
      </c>
      <c r="BU74" s="94"/>
      <c r="BV74" s="419"/>
      <c r="BW74" s="94"/>
      <c r="BX74" s="108"/>
      <c r="BY74" s="429"/>
      <c r="BZ74" s="202"/>
      <c r="CA74" s="441"/>
      <c r="CB74" s="430">
        <f t="shared" si="27"/>
        <v>0</v>
      </c>
      <c r="CC74" s="430"/>
      <c r="CD74" s="442"/>
      <c r="CE74" s="430"/>
      <c r="CF74" s="430"/>
      <c r="CG74" s="429">
        <v>93.4</v>
      </c>
      <c r="CH74" s="432">
        <v>63.574680000000001</v>
      </c>
      <c r="CI74" s="472">
        <f t="shared" ref="CI74" si="109">CH74/CG74*100</f>
        <v>68.067109207708782</v>
      </c>
      <c r="CJ74" s="430"/>
      <c r="CK74" s="435">
        <f t="shared" si="105"/>
        <v>1383.4</v>
      </c>
      <c r="CL74" s="202">
        <f t="shared" si="90"/>
        <v>79.924679999999995</v>
      </c>
      <c r="CM74" s="419">
        <v>0</v>
      </c>
      <c r="CN74" s="419">
        <f t="shared" si="14"/>
        <v>-1303.47532</v>
      </c>
      <c r="CP74" s="128">
        <f t="shared" si="63"/>
        <v>16.350000000000001</v>
      </c>
      <c r="CQ74" s="123">
        <f t="shared" si="64"/>
        <v>1090</v>
      </c>
      <c r="CS74" s="132">
        <f t="shared" si="65"/>
        <v>16.350000000000001</v>
      </c>
      <c r="CT74" s="123">
        <f t="shared" si="21"/>
        <v>79.924679999999995</v>
      </c>
      <c r="CU74" s="123">
        <f t="shared" si="22"/>
        <v>79.924679999999995</v>
      </c>
      <c r="CV74" s="123">
        <f t="shared" si="23"/>
        <v>16.350000000000001</v>
      </c>
      <c r="CW74" s="123">
        <f t="shared" si="24"/>
        <v>1383.4</v>
      </c>
      <c r="CX74" s="425"/>
      <c r="CY74" s="425"/>
    </row>
    <row r="75" spans="1:183" ht="13.5">
      <c r="A75" s="108"/>
      <c r="B75" s="772" t="s">
        <v>227</v>
      </c>
      <c r="C75" s="773"/>
      <c r="D75" s="774"/>
      <c r="E75" s="94"/>
      <c r="F75" s="16"/>
      <c r="G75" s="94"/>
      <c r="H75" s="94">
        <f t="shared" si="96"/>
        <v>0</v>
      </c>
      <c r="I75" s="94">
        <f t="shared" ref="I75" si="110">J75</f>
        <v>0</v>
      </c>
      <c r="J75" s="16"/>
      <c r="K75" s="94"/>
      <c r="L75" s="108">
        <f t="shared" si="78"/>
        <v>0</v>
      </c>
      <c r="M75" s="94"/>
      <c r="N75" s="16"/>
      <c r="O75" s="94"/>
      <c r="P75" s="108">
        <f t="shared" si="29"/>
        <v>0</v>
      </c>
      <c r="Q75" s="94">
        <f t="shared" ref="Q75" si="111">R75</f>
        <v>0</v>
      </c>
      <c r="R75" s="16"/>
      <c r="S75" s="94"/>
      <c r="T75" s="108">
        <f t="shared" si="97"/>
        <v>0</v>
      </c>
      <c r="U75" s="94"/>
      <c r="V75" s="16"/>
      <c r="W75" s="94"/>
      <c r="X75" s="108">
        <f t="shared" si="98"/>
        <v>0</v>
      </c>
      <c r="Y75" s="94"/>
      <c r="Z75" s="16"/>
      <c r="AA75" s="94"/>
      <c r="AB75" s="108">
        <f t="shared" si="76"/>
        <v>0</v>
      </c>
      <c r="AC75" s="94"/>
      <c r="AD75" s="16"/>
      <c r="AE75" s="94"/>
      <c r="AF75" s="108">
        <f t="shared" si="106"/>
        <v>0</v>
      </c>
      <c r="AG75" s="418">
        <f t="shared" si="3"/>
        <v>0</v>
      </c>
      <c r="AH75" s="419">
        <f t="shared" si="3"/>
        <v>0</v>
      </c>
      <c r="AI75" s="419"/>
      <c r="AJ75" s="428">
        <f t="shared" si="32"/>
        <v>0</v>
      </c>
      <c r="AK75" s="94"/>
      <c r="AL75" s="16"/>
      <c r="AM75" s="94"/>
      <c r="AN75" s="94">
        <f t="shared" si="99"/>
        <v>0</v>
      </c>
      <c r="AO75" s="94"/>
      <c r="AP75" s="432"/>
      <c r="AQ75" s="429"/>
      <c r="AR75" s="429">
        <f t="shared" si="100"/>
        <v>0</v>
      </c>
      <c r="AS75" s="429"/>
      <c r="AT75" s="432"/>
      <c r="AU75" s="429"/>
      <c r="AV75" s="429">
        <f t="shared" si="85"/>
        <v>0</v>
      </c>
      <c r="AW75" s="429"/>
      <c r="AX75" s="202"/>
      <c r="AY75" s="429"/>
      <c r="AZ75" s="429">
        <f t="shared" si="101"/>
        <v>0</v>
      </c>
      <c r="BA75" s="418">
        <f t="shared" si="8"/>
        <v>0</v>
      </c>
      <c r="BB75" s="469">
        <f t="shared" si="94"/>
        <v>0</v>
      </c>
      <c r="BC75" s="419"/>
      <c r="BD75" s="419">
        <f t="shared" si="102"/>
        <v>0</v>
      </c>
      <c r="BE75" s="94"/>
      <c r="BF75" s="432"/>
      <c r="BG75" s="429"/>
      <c r="BH75" s="429">
        <f t="shared" si="103"/>
        <v>0</v>
      </c>
      <c r="BI75" s="429"/>
      <c r="BJ75" s="432"/>
      <c r="BK75" s="440"/>
      <c r="BL75" s="429">
        <f t="shared" si="104"/>
        <v>0</v>
      </c>
      <c r="BM75" s="429"/>
      <c r="BN75" s="432"/>
      <c r="BO75" s="429"/>
      <c r="BP75" s="429">
        <f t="shared" si="86"/>
        <v>0</v>
      </c>
      <c r="BQ75" s="429">
        <v>20</v>
      </c>
      <c r="BR75" s="432"/>
      <c r="BS75" s="436">
        <v>0</v>
      </c>
      <c r="BT75" s="92">
        <f t="shared" si="19"/>
        <v>-20</v>
      </c>
      <c r="BU75" s="94"/>
      <c r="BV75" s="419"/>
      <c r="BW75" s="94"/>
      <c r="BX75" s="108">
        <f>BV75-BU75</f>
        <v>0</v>
      </c>
      <c r="BY75" s="429">
        <v>232</v>
      </c>
      <c r="BZ75" s="202">
        <v>70</v>
      </c>
      <c r="CA75" s="441">
        <f>BZ75/BY75*100</f>
        <v>30.172413793103448</v>
      </c>
      <c r="CB75" s="430">
        <f t="shared" si="27"/>
        <v>-162</v>
      </c>
      <c r="CC75" s="430"/>
      <c r="CD75" s="442"/>
      <c r="CE75" s="430"/>
      <c r="CF75" s="430"/>
      <c r="CG75" s="430"/>
      <c r="CH75" s="442"/>
      <c r="CI75" s="472"/>
      <c r="CJ75" s="430"/>
      <c r="CK75" s="435">
        <f t="shared" si="105"/>
        <v>252</v>
      </c>
      <c r="CL75" s="202">
        <f t="shared" si="90"/>
        <v>70</v>
      </c>
      <c r="CM75" s="419">
        <f t="shared" si="13"/>
        <v>27.777777777777779</v>
      </c>
      <c r="CN75" s="419">
        <f t="shared" si="14"/>
        <v>-182</v>
      </c>
      <c r="CP75" s="128">
        <f t="shared" si="63"/>
        <v>70</v>
      </c>
      <c r="CQ75" s="123">
        <f t="shared" si="64"/>
        <v>232</v>
      </c>
      <c r="CS75" s="132">
        <f t="shared" si="65"/>
        <v>70</v>
      </c>
      <c r="CT75" s="123">
        <f t="shared" si="21"/>
        <v>70</v>
      </c>
      <c r="CU75" s="123">
        <f t="shared" si="22"/>
        <v>70</v>
      </c>
      <c r="CV75" s="123">
        <f t="shared" si="23"/>
        <v>0</v>
      </c>
      <c r="CW75" s="123">
        <f t="shared" si="24"/>
        <v>252</v>
      </c>
      <c r="CX75" s="425"/>
      <c r="CY75" s="425"/>
    </row>
    <row r="76" spans="1:183" s="123" customFormat="1">
      <c r="A76" s="100"/>
      <c r="B76" s="775" t="s">
        <v>228</v>
      </c>
      <c r="C76" s="776"/>
      <c r="D76" s="777"/>
      <c r="E76" s="99">
        <f>E5+E56</f>
        <v>1661</v>
      </c>
      <c r="F76" s="64">
        <f>F5+F56</f>
        <v>288.54509999999999</v>
      </c>
      <c r="G76" s="99">
        <f>F76/E76*100</f>
        <v>17.371770018061408</v>
      </c>
      <c r="H76" s="99">
        <f>F76-E76</f>
        <v>-1372.4549</v>
      </c>
      <c r="I76" s="99">
        <f>I5+I56</f>
        <v>3638</v>
      </c>
      <c r="J76" s="64">
        <f>J5+J56</f>
        <v>819.13725999999997</v>
      </c>
      <c r="K76" s="99">
        <f>J76/I76*100</f>
        <v>22.516142385926333</v>
      </c>
      <c r="L76" s="100">
        <f>J76-I76</f>
        <v>-2818.86274</v>
      </c>
      <c r="M76" s="99">
        <f>M5+M56</f>
        <v>6889</v>
      </c>
      <c r="N76" s="64">
        <f>N5+N56</f>
        <v>1780.422</v>
      </c>
      <c r="O76" s="100">
        <f>N76/M76*100</f>
        <v>25.844418638409056</v>
      </c>
      <c r="P76" s="100">
        <f t="shared" si="29"/>
        <v>-5108.5779999999995</v>
      </c>
      <c r="Q76" s="99">
        <f>Q5+Q56</f>
        <v>5793</v>
      </c>
      <c r="R76" s="64">
        <f>R5+R56</f>
        <v>1288.8424500000001</v>
      </c>
      <c r="S76" s="99">
        <f>R76/Q76*100</f>
        <v>22.24827291558778</v>
      </c>
      <c r="T76" s="100">
        <f>R76-Q76</f>
        <v>-4504.1575499999999</v>
      </c>
      <c r="U76" s="99">
        <f>U5+U56</f>
        <v>1556</v>
      </c>
      <c r="V76" s="64">
        <f>V5+V56</f>
        <v>311.20627999999999</v>
      </c>
      <c r="W76" s="99">
        <f>V76/U76*100</f>
        <v>20.000403598971722</v>
      </c>
      <c r="X76" s="100">
        <f>V76-U76</f>
        <v>-1244.7937200000001</v>
      </c>
      <c r="Y76" s="99">
        <f>Y5+Y56</f>
        <v>4734</v>
      </c>
      <c r="Z76" s="64">
        <f>Z5+Z56</f>
        <v>1132.8100200000001</v>
      </c>
      <c r="AA76" s="99">
        <f>Z76/Y76*100</f>
        <v>23.92923574144487</v>
      </c>
      <c r="AB76" s="100">
        <f>Z76-Y76</f>
        <v>-3601.1899800000001</v>
      </c>
      <c r="AC76" s="99">
        <f>AC5+AC56</f>
        <v>3634</v>
      </c>
      <c r="AD76" s="64">
        <f>AD5+AD56</f>
        <v>853.76326999999992</v>
      </c>
      <c r="AE76" s="99">
        <f>AD76/AC76*100</f>
        <v>23.493760869565214</v>
      </c>
      <c r="AF76" s="100">
        <f>AD76-AC76</f>
        <v>-2780.2367300000001</v>
      </c>
      <c r="AG76" s="99">
        <f>E76+I76+M76+Q76+U76+Y76+AC76</f>
        <v>27905</v>
      </c>
      <c r="AH76" s="64">
        <f>AH5+AH56</f>
        <v>6474.726380000001</v>
      </c>
      <c r="AI76" s="99">
        <f t="shared" si="83"/>
        <v>23.202746389535928</v>
      </c>
      <c r="AJ76" s="100">
        <f t="shared" si="32"/>
        <v>-21430.27362</v>
      </c>
      <c r="AK76" s="99">
        <f>AK5+AK56</f>
        <v>545</v>
      </c>
      <c r="AL76" s="64">
        <f>AL5+AL56</f>
        <v>179.24799999999999</v>
      </c>
      <c r="AM76" s="99">
        <f>AL76/AK76*100</f>
        <v>32.88954128440367</v>
      </c>
      <c r="AN76" s="99">
        <f>AL76-AK76</f>
        <v>-365.75200000000001</v>
      </c>
      <c r="AO76" s="99">
        <f>AO5+AO56</f>
        <v>150</v>
      </c>
      <c r="AP76" s="64">
        <f>AP5+AP56</f>
        <v>0</v>
      </c>
      <c r="AQ76" s="99">
        <f>AP76/AO76*100</f>
        <v>0</v>
      </c>
      <c r="AR76" s="99">
        <f>AP76-AO76</f>
        <v>-150</v>
      </c>
      <c r="AS76" s="99">
        <f>AS5+AS56</f>
        <v>470</v>
      </c>
      <c r="AT76" s="64">
        <f>AT5+AT56</f>
        <v>75.650000000000006</v>
      </c>
      <c r="AU76" s="99">
        <f>AT76/AS76*100</f>
        <v>16.095744680851066</v>
      </c>
      <c r="AV76" s="99">
        <f>AT76-AS76</f>
        <v>-394.35</v>
      </c>
      <c r="AW76" s="99">
        <f>AW5+AW56</f>
        <v>445</v>
      </c>
      <c r="AX76" s="234">
        <f>AX5+AX56</f>
        <v>22.8</v>
      </c>
      <c r="AY76" s="99">
        <f>AX76/AW76*100</f>
        <v>5.1235955056179776</v>
      </c>
      <c r="AZ76" s="99">
        <f>AX76-AW76</f>
        <v>-422.2</v>
      </c>
      <c r="BA76" s="99">
        <f>AK76+AO76+AS76+AW76</f>
        <v>1610</v>
      </c>
      <c r="BB76" s="64">
        <f>BB5+BB56</f>
        <v>277.69799999999998</v>
      </c>
      <c r="BC76" s="99">
        <f>BB76/BA76*100</f>
        <v>17.24832298136646</v>
      </c>
      <c r="BD76" s="99">
        <f>BB76-BA76</f>
        <v>-1332.3020000000001</v>
      </c>
      <c r="BE76" s="99">
        <f>BE5+BE56</f>
        <v>74</v>
      </c>
      <c r="BF76" s="709">
        <f>BF5+BF56</f>
        <v>31.14</v>
      </c>
      <c r="BG76" s="99">
        <f>BF76/BE76*100</f>
        <v>42.081081081081081</v>
      </c>
      <c r="BH76" s="99">
        <f>BF76-BE76</f>
        <v>-42.86</v>
      </c>
      <c r="BI76" s="99">
        <f>BI5+BI56</f>
        <v>39</v>
      </c>
      <c r="BJ76" s="99">
        <f>BJ5+BJ56</f>
        <v>0</v>
      </c>
      <c r="BK76" s="99">
        <f>BJ76/BI76*100</f>
        <v>0</v>
      </c>
      <c r="BL76" s="99">
        <f>BJ76-BI76</f>
        <v>-39</v>
      </c>
      <c r="BM76" s="99">
        <f>BM5+BM56</f>
        <v>54</v>
      </c>
      <c r="BN76" s="234">
        <f>BN5+BN56</f>
        <v>0</v>
      </c>
      <c r="BO76" s="99">
        <f>BN76/BM76*100</f>
        <v>0</v>
      </c>
      <c r="BP76" s="99">
        <f>BN76-BM76</f>
        <v>-54</v>
      </c>
      <c r="BQ76" s="99">
        <f>BQ5+BQ56</f>
        <v>705</v>
      </c>
      <c r="BR76" s="64">
        <f>BR5+BR56</f>
        <v>0</v>
      </c>
      <c r="BS76" s="99">
        <f t="shared" si="18"/>
        <v>0</v>
      </c>
      <c r="BT76" s="99">
        <f t="shared" si="19"/>
        <v>-705</v>
      </c>
      <c r="BU76" s="99">
        <f>BU5+BU56</f>
        <v>50</v>
      </c>
      <c r="BV76" s="706">
        <f>BV5+BV56</f>
        <v>2.2490000000000001</v>
      </c>
      <c r="BW76" s="99">
        <f>BV76/BU76*100</f>
        <v>4.4980000000000002</v>
      </c>
      <c r="BX76" s="100">
        <f>BV76-BU76</f>
        <v>-47.750999999999998</v>
      </c>
      <c r="BY76" s="234">
        <f>BY5+BY56</f>
        <v>2520</v>
      </c>
      <c r="BZ76" s="234">
        <f>BZ5+BZ56</f>
        <v>841.13406000000009</v>
      </c>
      <c r="CA76" s="444">
        <f>BZ76/BY76*100</f>
        <v>33.378335714285718</v>
      </c>
      <c r="CB76" s="445">
        <f t="shared" si="27"/>
        <v>-1678.8659399999999</v>
      </c>
      <c r="CC76" s="234">
        <f>CC5+CC56</f>
        <v>43</v>
      </c>
      <c r="CD76" s="234">
        <f>CD5+CD56</f>
        <v>10.379999999999999</v>
      </c>
      <c r="CE76" s="444">
        <f>CD76/CC76*100</f>
        <v>24.139534883720927</v>
      </c>
      <c r="CF76" s="445">
        <f>CD76-CC76</f>
        <v>-32.620000000000005</v>
      </c>
      <c r="CG76" s="234">
        <f>CG5+CG56</f>
        <v>806.4</v>
      </c>
      <c r="CH76" s="234">
        <f>CH5+CH56</f>
        <v>538.89270999999997</v>
      </c>
      <c r="CI76" s="444">
        <f>CH76/CG76*100</f>
        <v>66.826972966269835</v>
      </c>
      <c r="CJ76" s="445">
        <f>CH76-CG76</f>
        <v>-267.50729000000001</v>
      </c>
      <c r="CK76" s="234">
        <f>AG76+BA76+BE76+BI76+BM76+BQ76++BU76+BY76+CC76+CG76</f>
        <v>33806.400000000001</v>
      </c>
      <c r="CL76" s="234">
        <f>CL5+CL56</f>
        <v>8176.220150000001</v>
      </c>
      <c r="CM76" s="99">
        <f t="shared" si="13"/>
        <v>24.185420955795355</v>
      </c>
      <c r="CN76" s="99">
        <f t="shared" si="14"/>
        <v>-25630.17985</v>
      </c>
      <c r="CO76" s="119"/>
      <c r="CP76" s="123">
        <f>F76+J76+N76+R76+V76+Z76+AD76+AL76+AP76+AT76+AX76+BF76+BJ76+BN76+BV76+BZ76+CD76</f>
        <v>7637.32744</v>
      </c>
      <c r="CQ76" s="123">
        <f t="shared" si="64"/>
        <v>32295</v>
      </c>
      <c r="CS76" s="123">
        <f t="shared" si="65"/>
        <v>7637.32744</v>
      </c>
      <c r="CT76" s="123">
        <f t="shared" si="21"/>
        <v>8176.2201500000001</v>
      </c>
      <c r="CU76" s="123">
        <f t="shared" si="22"/>
        <v>8176.2201500000001</v>
      </c>
      <c r="CV76" s="333">
        <f t="shared" si="23"/>
        <v>6783.5643799999998</v>
      </c>
      <c r="CW76" s="123">
        <f t="shared" si="24"/>
        <v>33806.400000000001</v>
      </c>
      <c r="CY76" s="333"/>
    </row>
    <row r="77" spans="1:183">
      <c r="J77" s="427"/>
      <c r="S77" s="115"/>
      <c r="Z77" s="427"/>
      <c r="CB77" s="115"/>
      <c r="CK77" s="115"/>
      <c r="CL77" s="115"/>
      <c r="CM77" s="115"/>
      <c r="CP77" s="115"/>
      <c r="CQ77" s="115"/>
      <c r="CR77" s="115"/>
      <c r="CS77" s="115"/>
      <c r="CT77" s="115"/>
      <c r="CU77" s="115"/>
      <c r="CV77" s="115"/>
      <c r="CW77" s="115"/>
      <c r="CX77" s="422"/>
      <c r="CY77" s="422"/>
      <c r="CZ77" s="422"/>
      <c r="DA77" s="422"/>
      <c r="DB77" s="422"/>
      <c r="DC77" s="422"/>
      <c r="DD77" s="422"/>
      <c r="DE77" s="422"/>
      <c r="DF77" s="422"/>
      <c r="DG77" s="422"/>
      <c r="DH77" s="422"/>
      <c r="DI77" s="422"/>
      <c r="DJ77" s="422"/>
      <c r="DK77" s="422"/>
      <c r="DL77" s="422"/>
      <c r="DM77" s="422"/>
      <c r="DN77" s="422"/>
      <c r="DO77" s="422"/>
      <c r="DP77" s="422"/>
      <c r="DQ77" s="422"/>
      <c r="DR77" s="422"/>
      <c r="DS77" s="422"/>
      <c r="DT77" s="422"/>
      <c r="DU77" s="422"/>
      <c r="DV77" s="422"/>
      <c r="DW77" s="422"/>
      <c r="DX77" s="422"/>
      <c r="DY77" s="422"/>
      <c r="DZ77" s="422"/>
      <c r="EA77" s="422"/>
      <c r="EB77" s="422"/>
      <c r="EC77" s="422"/>
      <c r="ED77" s="422"/>
      <c r="EE77" s="422"/>
      <c r="EF77" s="422"/>
      <c r="EG77" s="422"/>
      <c r="EH77" s="422"/>
      <c r="EI77" s="422"/>
      <c r="EJ77" s="422"/>
      <c r="EK77" s="422"/>
      <c r="EL77" s="422"/>
      <c r="EM77" s="422"/>
      <c r="EN77" s="422"/>
      <c r="EO77" s="422"/>
      <c r="EP77" s="422"/>
      <c r="EQ77" s="422"/>
      <c r="ER77" s="422"/>
      <c r="ES77" s="422"/>
      <c r="ET77" s="422"/>
      <c r="EU77" s="422"/>
      <c r="EV77" s="422"/>
      <c r="EW77" s="422"/>
      <c r="EX77" s="422"/>
      <c r="EY77" s="422"/>
      <c r="EZ77" s="422"/>
      <c r="FA77" s="422"/>
      <c r="FB77" s="422"/>
      <c r="FC77" s="422"/>
      <c r="FD77" s="422"/>
      <c r="FE77" s="422"/>
      <c r="FF77" s="422"/>
      <c r="FG77" s="422"/>
      <c r="FH77" s="422"/>
      <c r="FI77" s="422"/>
      <c r="FJ77" s="422"/>
      <c r="FK77" s="422"/>
      <c r="FL77" s="422"/>
      <c r="FM77" s="422"/>
      <c r="FN77" s="422"/>
      <c r="FO77" s="422"/>
      <c r="FP77" s="422"/>
      <c r="FQ77" s="422"/>
      <c r="FR77" s="422"/>
      <c r="FS77" s="422"/>
      <c r="FT77" s="422"/>
      <c r="FU77" s="422"/>
      <c r="FV77" s="422"/>
      <c r="FW77" s="422"/>
      <c r="FX77" s="422"/>
      <c r="FY77" s="422"/>
      <c r="FZ77" s="422"/>
      <c r="GA77" s="422"/>
    </row>
    <row r="78" spans="1:183">
      <c r="E78" s="423"/>
      <c r="G78" s="98"/>
      <c r="U78" s="423"/>
      <c r="AC78" s="423"/>
      <c r="AG78" s="423"/>
      <c r="AT78" s="4"/>
      <c r="BA78" s="423"/>
      <c r="CB78" s="115"/>
      <c r="CD78" s="423"/>
      <c r="CH78" s="423"/>
    </row>
    <row r="79" spans="1:183">
      <c r="CB79" s="115"/>
    </row>
    <row r="80" spans="1:183">
      <c r="AH80" s="427"/>
      <c r="CB80" s="115"/>
    </row>
    <row r="81" spans="2:89">
      <c r="B81" s="423"/>
      <c r="CB81" s="115"/>
      <c r="CK81" s="427"/>
    </row>
    <row r="82" spans="2:89">
      <c r="B82" s="423"/>
      <c r="AG82" s="258"/>
      <c r="CB82" s="115"/>
    </row>
    <row r="83" spans="2:89">
      <c r="CB83" s="115"/>
    </row>
    <row r="84" spans="2:89">
      <c r="CB84" s="115"/>
    </row>
    <row r="85" spans="2:89">
      <c r="CB85" s="115"/>
    </row>
    <row r="86" spans="2:89">
      <c r="CB86" s="115"/>
    </row>
    <row r="87" spans="2:89">
      <c r="CB87" s="115"/>
    </row>
    <row r="88" spans="2:89">
      <c r="CB88" s="115"/>
    </row>
    <row r="89" spans="2:89">
      <c r="CB89" s="115"/>
    </row>
    <row r="90" spans="2:89">
      <c r="CB90" s="115"/>
    </row>
    <row r="91" spans="2:89">
      <c r="CB91" s="115"/>
    </row>
    <row r="92" spans="2:89">
      <c r="CB92" s="115"/>
    </row>
    <row r="93" spans="2:89">
      <c r="CB93" s="115"/>
    </row>
    <row r="94" spans="2:89">
      <c r="CB94" s="115"/>
    </row>
    <row r="95" spans="2:89">
      <c r="CB95" s="115"/>
    </row>
    <row r="96" spans="2:89">
      <c r="CB96" s="115"/>
    </row>
    <row r="97" spans="80:80">
      <c r="CB97" s="115"/>
    </row>
    <row r="98" spans="80:80">
      <c r="CB98" s="115"/>
    </row>
    <row r="99" spans="80:80">
      <c r="CB99" s="115"/>
    </row>
    <row r="100" spans="80:80">
      <c r="CB100" s="115"/>
    </row>
    <row r="101" spans="80:80">
      <c r="CB101" s="115"/>
    </row>
    <row r="102" spans="80:80">
      <c r="CB102" s="115"/>
    </row>
    <row r="103" spans="80:80">
      <c r="CB103" s="115"/>
    </row>
    <row r="104" spans="80:80">
      <c r="CB104" s="115"/>
    </row>
    <row r="105" spans="80:80">
      <c r="CB105" s="115"/>
    </row>
    <row r="106" spans="80:80">
      <c r="CB106" s="115"/>
    </row>
    <row r="107" spans="80:80">
      <c r="CB107" s="115"/>
    </row>
    <row r="108" spans="80:80">
      <c r="CB108" s="115"/>
    </row>
    <row r="109" spans="80:80">
      <c r="CB109" s="115"/>
    </row>
    <row r="110" spans="80:80">
      <c r="CB110" s="115"/>
    </row>
    <row r="111" spans="80:80">
      <c r="CB111" s="115"/>
    </row>
    <row r="112" spans="80:80">
      <c r="CB112" s="115"/>
    </row>
    <row r="113" spans="80:80">
      <c r="CB113" s="115"/>
    </row>
    <row r="114" spans="80:80">
      <c r="CB114" s="115"/>
    </row>
    <row r="115" spans="80:80">
      <c r="CB115" s="115"/>
    </row>
    <row r="116" spans="80:80">
      <c r="CB116" s="115"/>
    </row>
    <row r="117" spans="80:80">
      <c r="CB117" s="115"/>
    </row>
    <row r="118" spans="80:80">
      <c r="CB118" s="115"/>
    </row>
    <row r="119" spans="80:80">
      <c r="CB119" s="115"/>
    </row>
    <row r="120" spans="80:80">
      <c r="CB120" s="115"/>
    </row>
    <row r="121" spans="80:80">
      <c r="CB121" s="115"/>
    </row>
    <row r="122" spans="80:80">
      <c r="CB122" s="115"/>
    </row>
    <row r="123" spans="80:80">
      <c r="CB123" s="115"/>
    </row>
    <row r="124" spans="80:80">
      <c r="CB124" s="115"/>
    </row>
    <row r="125" spans="80:80">
      <c r="CB125" s="115"/>
    </row>
    <row r="126" spans="80:80">
      <c r="CB126" s="115"/>
    </row>
    <row r="127" spans="80:80">
      <c r="CB127" s="115"/>
    </row>
    <row r="128" spans="80:80">
      <c r="CB128" s="115"/>
    </row>
    <row r="129" spans="80:80">
      <c r="CB129" s="115"/>
    </row>
    <row r="130" spans="80:80">
      <c r="CB130" s="115"/>
    </row>
    <row r="131" spans="80:80">
      <c r="CB131" s="115"/>
    </row>
    <row r="132" spans="80:80">
      <c r="CB132" s="115"/>
    </row>
    <row r="133" spans="80:80">
      <c r="CB133" s="115"/>
    </row>
    <row r="134" spans="80:80">
      <c r="CB134" s="115"/>
    </row>
    <row r="135" spans="80:80">
      <c r="CB135" s="115"/>
    </row>
    <row r="136" spans="80:80">
      <c r="CB136" s="115"/>
    </row>
    <row r="137" spans="80:80">
      <c r="CB137" s="115"/>
    </row>
    <row r="138" spans="80:80">
      <c r="CB138" s="115"/>
    </row>
    <row r="139" spans="80:80">
      <c r="CB139" s="115"/>
    </row>
    <row r="140" spans="80:80">
      <c r="CB140" s="115"/>
    </row>
    <row r="141" spans="80:80">
      <c r="CB141" s="115"/>
    </row>
    <row r="142" spans="80:80">
      <c r="CB142" s="115"/>
    </row>
    <row r="143" spans="80:80">
      <c r="CB143" s="115"/>
    </row>
    <row r="144" spans="80:80">
      <c r="CB144" s="115"/>
    </row>
    <row r="145" spans="80:80">
      <c r="CB145" s="115"/>
    </row>
    <row r="146" spans="80:80">
      <c r="CB146" s="115"/>
    </row>
    <row r="147" spans="80:80">
      <c r="CB147" s="115"/>
    </row>
    <row r="148" spans="80:80">
      <c r="CB148" s="115"/>
    </row>
    <row r="149" spans="80:80">
      <c r="CB149" s="115"/>
    </row>
    <row r="150" spans="80:80">
      <c r="CB150" s="115"/>
    </row>
    <row r="151" spans="80:80">
      <c r="CB151" s="115"/>
    </row>
    <row r="152" spans="80:80">
      <c r="CB152" s="115"/>
    </row>
    <row r="153" spans="80:80">
      <c r="CB153" s="115"/>
    </row>
    <row r="154" spans="80:80">
      <c r="CB154" s="115"/>
    </row>
    <row r="155" spans="80:80">
      <c r="CB155" s="115"/>
    </row>
    <row r="156" spans="80:80">
      <c r="CB156" s="115"/>
    </row>
    <row r="157" spans="80:80">
      <c r="CB157" s="115"/>
    </row>
    <row r="158" spans="80:80">
      <c r="CB158" s="115"/>
    </row>
    <row r="159" spans="80:80">
      <c r="CB159" s="115"/>
    </row>
    <row r="160" spans="80:80">
      <c r="CB160" s="115"/>
    </row>
    <row r="161" spans="80:80">
      <c r="CB161" s="115"/>
    </row>
    <row r="162" spans="80:80">
      <c r="CB162" s="115"/>
    </row>
    <row r="163" spans="80:80">
      <c r="CB163" s="115"/>
    </row>
    <row r="164" spans="80:80">
      <c r="CB164" s="115"/>
    </row>
    <row r="165" spans="80:80">
      <c r="CB165" s="115"/>
    </row>
    <row r="166" spans="80:80">
      <c r="CB166" s="115"/>
    </row>
    <row r="167" spans="80:80">
      <c r="CB167" s="115"/>
    </row>
    <row r="168" spans="80:80">
      <c r="CB168" s="115"/>
    </row>
    <row r="169" spans="80:80">
      <c r="CB169" s="115"/>
    </row>
    <row r="170" spans="80:80">
      <c r="CB170" s="115"/>
    </row>
    <row r="171" spans="80:80">
      <c r="CB171" s="115"/>
    </row>
    <row r="172" spans="80:80">
      <c r="CB172" s="115"/>
    </row>
    <row r="173" spans="80:80">
      <c r="CB173" s="115"/>
    </row>
    <row r="174" spans="80:80">
      <c r="CB174" s="115"/>
    </row>
    <row r="175" spans="80:80">
      <c r="CB175" s="115"/>
    </row>
    <row r="176" spans="80:80">
      <c r="CB176" s="115"/>
    </row>
    <row r="177" spans="80:80">
      <c r="CB177" s="115"/>
    </row>
    <row r="178" spans="80:80">
      <c r="CB178" s="115"/>
    </row>
    <row r="179" spans="80:80">
      <c r="CB179" s="115"/>
    </row>
    <row r="180" spans="80:80">
      <c r="CB180" s="115"/>
    </row>
    <row r="181" spans="80:80">
      <c r="CB181" s="115"/>
    </row>
    <row r="182" spans="80:80">
      <c r="CB182" s="115"/>
    </row>
    <row r="183" spans="80:80">
      <c r="CB183" s="115"/>
    </row>
    <row r="184" spans="80:80">
      <c r="CB184" s="115"/>
    </row>
    <row r="185" spans="80:80">
      <c r="CB185" s="115"/>
    </row>
    <row r="186" spans="80:80">
      <c r="CB186" s="115"/>
    </row>
    <row r="187" spans="80:80">
      <c r="CB187" s="115"/>
    </row>
    <row r="188" spans="80:80">
      <c r="CB188" s="115"/>
    </row>
    <row r="189" spans="80:80">
      <c r="CB189" s="115"/>
    </row>
    <row r="190" spans="80:80">
      <c r="CB190" s="115"/>
    </row>
    <row r="191" spans="80:80">
      <c r="CB191" s="115"/>
    </row>
    <row r="192" spans="80:80">
      <c r="CB192" s="115"/>
    </row>
    <row r="193" spans="80:80">
      <c r="CB193" s="115"/>
    </row>
    <row r="194" spans="80:80">
      <c r="CB194" s="115"/>
    </row>
    <row r="195" spans="80:80">
      <c r="CB195" s="115"/>
    </row>
    <row r="196" spans="80:80">
      <c r="CB196" s="115"/>
    </row>
    <row r="197" spans="80:80">
      <c r="CB197" s="115"/>
    </row>
    <row r="198" spans="80:80">
      <c r="CB198" s="115"/>
    </row>
    <row r="199" spans="80:80">
      <c r="CB199" s="115"/>
    </row>
    <row r="200" spans="80:80">
      <c r="CB200" s="115"/>
    </row>
    <row r="201" spans="80:80">
      <c r="CB201" s="115"/>
    </row>
    <row r="202" spans="80:80">
      <c r="CB202" s="115"/>
    </row>
    <row r="203" spans="80:80">
      <c r="CB203" s="115"/>
    </row>
    <row r="204" spans="80:80">
      <c r="CB204" s="115"/>
    </row>
    <row r="205" spans="80:80">
      <c r="CB205" s="115"/>
    </row>
    <row r="206" spans="80:80">
      <c r="CB206" s="115"/>
    </row>
    <row r="207" spans="80:80">
      <c r="CB207" s="115"/>
    </row>
    <row r="208" spans="80:80">
      <c r="CB208" s="115"/>
    </row>
    <row r="209" spans="80:80">
      <c r="CB209" s="115"/>
    </row>
    <row r="210" spans="80:80">
      <c r="CB210" s="115"/>
    </row>
    <row r="211" spans="80:80">
      <c r="CB211" s="115"/>
    </row>
    <row r="212" spans="80:80">
      <c r="CB212" s="115"/>
    </row>
    <row r="213" spans="80:80">
      <c r="CB213" s="115"/>
    </row>
    <row r="214" spans="80:80">
      <c r="CB214" s="115"/>
    </row>
    <row r="215" spans="80:80">
      <c r="CB215" s="115"/>
    </row>
    <row r="216" spans="80:80">
      <c r="CB216" s="115"/>
    </row>
    <row r="217" spans="80:80">
      <c r="CB217" s="115"/>
    </row>
    <row r="218" spans="80:80">
      <c r="CB218" s="115"/>
    </row>
    <row r="219" spans="80:80">
      <c r="CB219" s="115"/>
    </row>
    <row r="220" spans="80:80">
      <c r="CB220" s="115"/>
    </row>
    <row r="221" spans="80:80">
      <c r="CB221" s="115"/>
    </row>
    <row r="222" spans="80:80">
      <c r="CB222" s="115"/>
    </row>
    <row r="223" spans="80:80">
      <c r="CB223" s="115"/>
    </row>
    <row r="224" spans="80:80">
      <c r="CB224" s="115"/>
    </row>
    <row r="225" spans="80:80">
      <c r="CB225" s="115"/>
    </row>
    <row r="226" spans="80:80">
      <c r="CB226" s="115"/>
    </row>
    <row r="227" spans="80:80">
      <c r="CB227" s="115"/>
    </row>
    <row r="228" spans="80:80">
      <c r="CB228" s="115"/>
    </row>
    <row r="229" spans="80:80">
      <c r="CB229" s="115"/>
    </row>
    <row r="230" spans="80:80">
      <c r="CB230" s="115"/>
    </row>
    <row r="231" spans="80:80">
      <c r="CB231" s="115"/>
    </row>
    <row r="232" spans="80:80">
      <c r="CB232" s="115"/>
    </row>
    <row r="233" spans="80:80">
      <c r="CB233" s="115"/>
    </row>
    <row r="234" spans="80:80">
      <c r="CB234" s="115"/>
    </row>
    <row r="235" spans="80:80">
      <c r="CB235" s="115"/>
    </row>
    <row r="236" spans="80:80">
      <c r="CB236" s="115"/>
    </row>
    <row r="237" spans="80:80">
      <c r="CB237" s="115"/>
    </row>
    <row r="238" spans="80:80">
      <c r="CB238" s="115"/>
    </row>
    <row r="239" spans="80:80">
      <c r="CB239" s="115"/>
    </row>
    <row r="240" spans="80:80">
      <c r="CB240" s="115"/>
    </row>
    <row r="241" spans="80:80">
      <c r="CB241" s="115"/>
    </row>
    <row r="242" spans="80:80">
      <c r="CB242" s="115"/>
    </row>
    <row r="243" spans="80:80">
      <c r="CB243" s="115"/>
    </row>
    <row r="244" spans="80:80">
      <c r="CB244" s="115"/>
    </row>
    <row r="245" spans="80:80">
      <c r="CB245" s="115"/>
    </row>
    <row r="246" spans="80:80">
      <c r="CB246" s="115"/>
    </row>
    <row r="247" spans="80:80">
      <c r="CB247" s="115"/>
    </row>
    <row r="248" spans="80:80">
      <c r="CB248" s="115"/>
    </row>
    <row r="249" spans="80:80">
      <c r="CB249" s="115"/>
    </row>
    <row r="250" spans="80:80">
      <c r="CB250" s="115"/>
    </row>
    <row r="251" spans="80:80">
      <c r="CB251" s="115"/>
    </row>
    <row r="252" spans="80:80">
      <c r="CB252" s="115"/>
    </row>
    <row r="253" spans="80:80">
      <c r="CB253" s="115"/>
    </row>
    <row r="254" spans="80:80">
      <c r="CB254" s="115"/>
    </row>
    <row r="255" spans="80:80">
      <c r="CB255" s="115"/>
    </row>
    <row r="256" spans="80:80">
      <c r="CB256" s="115"/>
    </row>
    <row r="257" spans="80:80">
      <c r="CB257" s="115"/>
    </row>
    <row r="258" spans="80:80">
      <c r="CB258" s="115"/>
    </row>
    <row r="259" spans="80:80">
      <c r="CB259" s="115"/>
    </row>
    <row r="260" spans="80:80">
      <c r="CB260" s="115"/>
    </row>
    <row r="261" spans="80:80">
      <c r="CB261" s="115"/>
    </row>
    <row r="262" spans="80:80">
      <c r="CB262" s="115"/>
    </row>
    <row r="263" spans="80:80">
      <c r="CB263" s="115"/>
    </row>
    <row r="264" spans="80:80">
      <c r="CB264" s="115"/>
    </row>
    <row r="265" spans="80:80">
      <c r="CB265" s="115"/>
    </row>
    <row r="266" spans="80:80">
      <c r="CB266" s="115"/>
    </row>
    <row r="267" spans="80:80">
      <c r="CB267" s="115"/>
    </row>
    <row r="268" spans="80:80">
      <c r="CB268" s="115"/>
    </row>
    <row r="269" spans="80:80">
      <c r="CB269" s="115"/>
    </row>
    <row r="270" spans="80:80">
      <c r="CB270" s="115"/>
    </row>
    <row r="271" spans="80:80">
      <c r="CB271" s="115"/>
    </row>
    <row r="272" spans="80:80">
      <c r="CB272" s="115"/>
    </row>
    <row r="273" spans="80:80">
      <c r="CB273" s="115"/>
    </row>
    <row r="274" spans="80:80">
      <c r="CB274" s="115"/>
    </row>
    <row r="275" spans="80:80">
      <c r="CB275" s="115"/>
    </row>
    <row r="276" spans="80:80">
      <c r="CB276" s="115"/>
    </row>
    <row r="277" spans="80:80">
      <c r="CB277" s="115"/>
    </row>
    <row r="278" spans="80:80">
      <c r="CB278" s="115"/>
    </row>
    <row r="279" spans="80:80">
      <c r="CB279" s="115"/>
    </row>
    <row r="280" spans="80:80">
      <c r="CB280" s="115"/>
    </row>
    <row r="281" spans="80:80">
      <c r="CB281" s="115"/>
    </row>
    <row r="282" spans="80:80">
      <c r="CB282" s="115"/>
    </row>
    <row r="283" spans="80:80">
      <c r="CB283" s="115"/>
    </row>
    <row r="284" spans="80:80">
      <c r="CB284" s="115"/>
    </row>
    <row r="285" spans="80:80">
      <c r="CB285" s="115"/>
    </row>
    <row r="286" spans="80:80">
      <c r="CB286" s="115"/>
    </row>
    <row r="287" spans="80:80">
      <c r="CB287" s="115"/>
    </row>
    <row r="288" spans="80:80">
      <c r="CB288" s="115"/>
    </row>
    <row r="289" spans="80:80">
      <c r="CB289" s="115"/>
    </row>
    <row r="290" spans="80:80">
      <c r="CB290" s="115"/>
    </row>
    <row r="291" spans="80:80">
      <c r="CB291" s="115"/>
    </row>
    <row r="292" spans="80:80">
      <c r="CB292" s="115"/>
    </row>
    <row r="293" spans="80:80">
      <c r="CB293" s="115"/>
    </row>
    <row r="294" spans="80:80">
      <c r="CB294" s="115"/>
    </row>
    <row r="295" spans="80:80">
      <c r="CB295" s="115"/>
    </row>
    <row r="296" spans="80:80">
      <c r="CB296" s="115"/>
    </row>
    <row r="297" spans="80:80">
      <c r="CB297" s="115"/>
    </row>
    <row r="298" spans="80:80">
      <c r="CB298" s="115"/>
    </row>
    <row r="299" spans="80:80">
      <c r="CB299" s="115"/>
    </row>
    <row r="300" spans="80:80">
      <c r="CB300" s="115"/>
    </row>
    <row r="301" spans="80:80">
      <c r="CB301" s="115"/>
    </row>
    <row r="302" spans="80:80">
      <c r="CB302" s="115"/>
    </row>
    <row r="303" spans="80:80">
      <c r="CB303" s="115"/>
    </row>
    <row r="304" spans="80:80">
      <c r="CB304" s="115"/>
    </row>
    <row r="305" spans="80:80">
      <c r="CB305" s="115"/>
    </row>
    <row r="306" spans="80:80">
      <c r="CB306" s="115"/>
    </row>
    <row r="307" spans="80:80">
      <c r="CB307" s="115"/>
    </row>
    <row r="308" spans="80:80">
      <c r="CB308" s="115"/>
    </row>
    <row r="309" spans="80:80">
      <c r="CB309" s="115"/>
    </row>
    <row r="310" spans="80:80">
      <c r="CB310" s="115"/>
    </row>
    <row r="311" spans="80:80">
      <c r="CB311" s="115"/>
    </row>
    <row r="312" spans="80:80">
      <c r="CB312" s="115"/>
    </row>
    <row r="313" spans="80:80">
      <c r="CB313" s="115"/>
    </row>
    <row r="314" spans="80:80">
      <c r="CB314" s="115"/>
    </row>
    <row r="315" spans="80:80">
      <c r="CB315" s="115"/>
    </row>
    <row r="316" spans="80:80">
      <c r="CB316" s="115"/>
    </row>
    <row r="317" spans="80:80">
      <c r="CB317" s="115"/>
    </row>
    <row r="318" spans="80:80">
      <c r="CB318" s="115"/>
    </row>
    <row r="319" spans="80:80">
      <c r="CB319" s="115"/>
    </row>
    <row r="320" spans="80:80">
      <c r="CB320" s="115"/>
    </row>
    <row r="321" spans="80:80">
      <c r="CB321" s="115"/>
    </row>
    <row r="322" spans="80:80">
      <c r="CB322" s="115"/>
    </row>
    <row r="323" spans="80:80">
      <c r="CB323" s="115"/>
    </row>
    <row r="324" spans="80:80">
      <c r="CB324" s="115"/>
    </row>
    <row r="325" spans="80:80">
      <c r="CB325" s="115"/>
    </row>
    <row r="326" spans="80:80">
      <c r="CB326" s="115"/>
    </row>
    <row r="327" spans="80:80">
      <c r="CB327" s="115"/>
    </row>
    <row r="328" spans="80:80">
      <c r="CB328" s="115"/>
    </row>
    <row r="329" spans="80:80">
      <c r="CB329" s="115"/>
    </row>
    <row r="330" spans="80:80">
      <c r="CB330" s="115"/>
    </row>
    <row r="331" spans="80:80">
      <c r="CB331" s="115"/>
    </row>
    <row r="332" spans="80:80">
      <c r="CB332" s="115"/>
    </row>
    <row r="333" spans="80:80">
      <c r="CB333" s="115"/>
    </row>
    <row r="334" spans="80:80">
      <c r="CB334" s="115"/>
    </row>
    <row r="335" spans="80:80">
      <c r="CB335" s="115"/>
    </row>
    <row r="336" spans="80:80">
      <c r="CB336" s="115"/>
    </row>
    <row r="337" spans="80:80">
      <c r="CB337" s="115"/>
    </row>
    <row r="338" spans="80:80">
      <c r="CB338" s="115"/>
    </row>
    <row r="339" spans="80:80">
      <c r="CB339" s="115"/>
    </row>
    <row r="340" spans="80:80">
      <c r="CB340" s="115"/>
    </row>
    <row r="341" spans="80:80">
      <c r="CB341" s="115"/>
    </row>
    <row r="342" spans="80:80">
      <c r="CB342" s="115"/>
    </row>
    <row r="343" spans="80:80">
      <c r="CB343" s="115"/>
    </row>
    <row r="344" spans="80:80">
      <c r="CB344" s="115"/>
    </row>
    <row r="345" spans="80:80">
      <c r="CB345" s="115"/>
    </row>
    <row r="346" spans="80:80">
      <c r="CB346" s="115"/>
    </row>
    <row r="347" spans="80:80">
      <c r="CB347" s="115"/>
    </row>
    <row r="348" spans="80:80">
      <c r="CB348" s="115"/>
    </row>
    <row r="349" spans="80:80">
      <c r="CB349" s="115"/>
    </row>
    <row r="350" spans="80:80">
      <c r="CB350" s="115"/>
    </row>
    <row r="351" spans="80:80">
      <c r="CB351" s="115"/>
    </row>
    <row r="352" spans="80:80">
      <c r="CB352" s="115"/>
    </row>
    <row r="353" spans="80:80">
      <c r="CB353" s="115"/>
    </row>
    <row r="354" spans="80:80">
      <c r="CB354" s="115"/>
    </row>
    <row r="355" spans="80:80">
      <c r="CB355" s="115"/>
    </row>
    <row r="356" spans="80:80">
      <c r="CB356" s="115"/>
    </row>
    <row r="357" spans="80:80">
      <c r="CB357" s="115"/>
    </row>
    <row r="358" spans="80:80">
      <c r="CB358" s="115"/>
    </row>
    <row r="359" spans="80:80">
      <c r="CB359" s="115"/>
    </row>
    <row r="360" spans="80:80">
      <c r="CB360" s="115"/>
    </row>
    <row r="361" spans="80:80">
      <c r="CB361" s="115"/>
    </row>
    <row r="362" spans="80:80">
      <c r="CB362" s="115"/>
    </row>
    <row r="363" spans="80:80">
      <c r="CB363" s="115"/>
    </row>
    <row r="364" spans="80:80">
      <c r="CB364" s="115"/>
    </row>
    <row r="365" spans="80:80">
      <c r="CB365" s="115"/>
    </row>
    <row r="366" spans="80:80">
      <c r="CB366" s="115"/>
    </row>
    <row r="367" spans="80:80">
      <c r="CB367" s="115"/>
    </row>
    <row r="368" spans="80:80">
      <c r="CB368" s="115"/>
    </row>
    <row r="369" spans="80:80">
      <c r="CB369" s="115"/>
    </row>
    <row r="370" spans="80:80">
      <c r="CB370" s="115"/>
    </row>
    <row r="371" spans="80:80">
      <c r="CB371" s="115"/>
    </row>
    <row r="372" spans="80:80">
      <c r="CB372" s="115"/>
    </row>
    <row r="373" spans="80:80">
      <c r="CB373" s="115"/>
    </row>
    <row r="374" spans="80:80">
      <c r="CB374" s="115"/>
    </row>
    <row r="375" spans="80:80">
      <c r="CB375" s="115"/>
    </row>
    <row r="376" spans="80:80">
      <c r="CB376" s="115"/>
    </row>
    <row r="377" spans="80:80">
      <c r="CB377" s="115"/>
    </row>
    <row r="378" spans="80:80">
      <c r="CB378" s="115"/>
    </row>
    <row r="379" spans="80:80">
      <c r="CB379" s="115"/>
    </row>
    <row r="380" spans="80:80">
      <c r="CB380" s="115"/>
    </row>
    <row r="381" spans="80:80">
      <c r="CB381" s="115"/>
    </row>
    <row r="382" spans="80:80">
      <c r="CB382" s="115"/>
    </row>
    <row r="383" spans="80:80">
      <c r="CB383" s="115"/>
    </row>
    <row r="384" spans="80:80">
      <c r="CB384" s="115"/>
    </row>
    <row r="385" spans="80:80">
      <c r="CB385" s="115"/>
    </row>
    <row r="386" spans="80:80">
      <c r="CB386" s="115"/>
    </row>
    <row r="387" spans="80:80">
      <c r="CB387" s="115"/>
    </row>
    <row r="388" spans="80:80">
      <c r="CB388" s="115"/>
    </row>
    <row r="389" spans="80:80">
      <c r="CB389" s="115"/>
    </row>
    <row r="390" spans="80:80">
      <c r="CB390" s="115"/>
    </row>
    <row r="391" spans="80:80">
      <c r="CB391" s="115"/>
    </row>
    <row r="392" spans="80:80">
      <c r="CB392" s="115"/>
    </row>
    <row r="393" spans="80:80">
      <c r="CB393" s="115"/>
    </row>
    <row r="394" spans="80:80">
      <c r="CB394" s="115"/>
    </row>
    <row r="395" spans="80:80">
      <c r="CB395" s="115"/>
    </row>
    <row r="396" spans="80:80">
      <c r="CB396" s="115"/>
    </row>
    <row r="397" spans="80:80">
      <c r="CB397" s="115"/>
    </row>
    <row r="398" spans="80:80">
      <c r="CB398" s="115"/>
    </row>
    <row r="399" spans="80:80">
      <c r="CB399" s="115"/>
    </row>
    <row r="400" spans="80:80">
      <c r="CB400" s="115"/>
    </row>
    <row r="401" spans="80:80">
      <c r="CB401" s="115"/>
    </row>
    <row r="402" spans="80:80">
      <c r="CB402" s="115"/>
    </row>
    <row r="403" spans="80:80">
      <c r="CB403" s="115"/>
    </row>
    <row r="404" spans="80:80">
      <c r="CB404" s="115"/>
    </row>
    <row r="405" spans="80:80">
      <c r="CB405" s="115"/>
    </row>
    <row r="406" spans="80:80">
      <c r="CB406" s="115"/>
    </row>
    <row r="407" spans="80:80">
      <c r="CB407" s="115"/>
    </row>
    <row r="408" spans="80:80">
      <c r="CB408" s="115"/>
    </row>
    <row r="409" spans="80:80">
      <c r="CB409" s="115"/>
    </row>
    <row r="410" spans="80:80">
      <c r="CB410" s="115"/>
    </row>
    <row r="411" spans="80:80">
      <c r="CB411" s="115"/>
    </row>
    <row r="412" spans="80:80">
      <c r="CB412" s="115"/>
    </row>
    <row r="413" spans="80:80">
      <c r="CB413" s="115"/>
    </row>
    <row r="414" spans="80:80">
      <c r="CB414" s="115"/>
    </row>
    <row r="415" spans="80:80">
      <c r="CB415" s="115"/>
    </row>
    <row r="416" spans="80:80">
      <c r="CB416" s="115"/>
    </row>
    <row r="417" spans="80:80">
      <c r="CB417" s="115"/>
    </row>
    <row r="418" spans="80:80">
      <c r="CB418" s="115"/>
    </row>
    <row r="419" spans="80:80">
      <c r="CB419" s="115"/>
    </row>
    <row r="420" spans="80:80">
      <c r="CB420" s="115"/>
    </row>
    <row r="421" spans="80:80">
      <c r="CB421" s="115"/>
    </row>
    <row r="422" spans="80:80">
      <c r="CB422" s="115"/>
    </row>
    <row r="423" spans="80:80">
      <c r="CB423" s="115"/>
    </row>
    <row r="424" spans="80:80">
      <c r="CB424" s="115"/>
    </row>
    <row r="425" spans="80:80">
      <c r="CB425" s="115"/>
    </row>
    <row r="426" spans="80:80">
      <c r="CB426" s="115"/>
    </row>
    <row r="427" spans="80:80">
      <c r="CB427" s="115"/>
    </row>
    <row r="428" spans="80:80">
      <c r="CB428" s="115"/>
    </row>
    <row r="429" spans="80:80">
      <c r="CB429" s="115"/>
    </row>
    <row r="430" spans="80:80">
      <c r="CB430" s="115"/>
    </row>
    <row r="431" spans="80:80">
      <c r="CB431" s="115"/>
    </row>
    <row r="432" spans="80:80">
      <c r="CB432" s="115"/>
    </row>
    <row r="433" spans="80:80">
      <c r="CB433" s="115"/>
    </row>
    <row r="434" spans="80:80">
      <c r="CB434" s="115"/>
    </row>
    <row r="435" spans="80:80">
      <c r="CB435" s="115"/>
    </row>
    <row r="436" spans="80:80">
      <c r="CB436" s="115"/>
    </row>
    <row r="437" spans="80:80">
      <c r="CB437" s="115"/>
    </row>
    <row r="438" spans="80:80">
      <c r="CB438" s="115"/>
    </row>
    <row r="439" spans="80:80">
      <c r="CB439" s="115"/>
    </row>
    <row r="440" spans="80:80">
      <c r="CB440" s="115"/>
    </row>
    <row r="441" spans="80:80">
      <c r="CB441" s="115"/>
    </row>
    <row r="442" spans="80:80">
      <c r="CB442" s="115"/>
    </row>
    <row r="443" spans="80:80">
      <c r="CB443" s="115"/>
    </row>
    <row r="444" spans="80:80">
      <c r="CB444" s="115"/>
    </row>
    <row r="445" spans="80:80">
      <c r="CB445" s="115"/>
    </row>
    <row r="446" spans="80:80">
      <c r="CB446" s="115"/>
    </row>
    <row r="447" spans="80:80">
      <c r="CB447" s="115"/>
    </row>
    <row r="448" spans="80:80">
      <c r="CB448" s="115"/>
    </row>
    <row r="449" spans="80:80">
      <c r="CB449" s="115"/>
    </row>
    <row r="450" spans="80:80">
      <c r="CB450" s="115"/>
    </row>
    <row r="451" spans="80:80">
      <c r="CB451" s="115"/>
    </row>
    <row r="452" spans="80:80">
      <c r="CB452" s="115"/>
    </row>
    <row r="453" spans="80:80">
      <c r="CB453" s="115"/>
    </row>
    <row r="454" spans="80:80">
      <c r="CB454" s="115"/>
    </row>
    <row r="455" spans="80:80">
      <c r="CB455" s="115"/>
    </row>
    <row r="456" spans="80:80">
      <c r="CB456" s="115"/>
    </row>
    <row r="457" spans="80:80">
      <c r="CB457" s="115"/>
    </row>
    <row r="458" spans="80:80">
      <c r="CB458" s="115"/>
    </row>
    <row r="459" spans="80:80">
      <c r="CB459" s="115"/>
    </row>
    <row r="460" spans="80:80">
      <c r="CB460" s="115"/>
    </row>
    <row r="461" spans="80:80">
      <c r="CB461" s="115"/>
    </row>
    <row r="462" spans="80:80">
      <c r="CB462" s="115"/>
    </row>
    <row r="463" spans="80:80">
      <c r="CB463" s="115"/>
    </row>
    <row r="464" spans="80:80">
      <c r="CB464" s="115"/>
    </row>
    <row r="465" spans="80:80">
      <c r="CB465" s="115"/>
    </row>
    <row r="466" spans="80:80">
      <c r="CB466" s="115"/>
    </row>
    <row r="467" spans="80:80">
      <c r="CB467" s="115"/>
    </row>
    <row r="468" spans="80:80">
      <c r="CB468" s="115"/>
    </row>
    <row r="469" spans="80:80">
      <c r="CB469" s="115"/>
    </row>
    <row r="470" spans="80:80">
      <c r="CB470" s="115"/>
    </row>
    <row r="471" spans="80:80">
      <c r="CB471" s="115"/>
    </row>
    <row r="472" spans="80:80">
      <c r="CB472" s="115"/>
    </row>
    <row r="473" spans="80:80">
      <c r="CB473" s="115"/>
    </row>
    <row r="474" spans="80:80">
      <c r="CB474" s="115"/>
    </row>
    <row r="475" spans="80:80">
      <c r="CB475" s="115"/>
    </row>
    <row r="476" spans="80:80">
      <c r="CB476" s="115"/>
    </row>
    <row r="477" spans="80:80">
      <c r="CB477" s="115"/>
    </row>
    <row r="478" spans="80:80">
      <c r="CB478" s="115"/>
    </row>
    <row r="479" spans="80:80">
      <c r="CB479" s="115"/>
    </row>
    <row r="480" spans="80:80">
      <c r="CB480" s="115"/>
    </row>
    <row r="481" spans="80:80">
      <c r="CB481" s="115"/>
    </row>
    <row r="482" spans="80:80">
      <c r="CB482" s="115"/>
    </row>
    <row r="483" spans="80:80">
      <c r="CB483" s="115"/>
    </row>
    <row r="484" spans="80:80">
      <c r="CB484" s="115"/>
    </row>
    <row r="485" spans="80:80">
      <c r="CB485" s="115"/>
    </row>
    <row r="486" spans="80:80">
      <c r="CB486" s="115"/>
    </row>
    <row r="487" spans="80:80">
      <c r="CB487" s="115"/>
    </row>
    <row r="488" spans="80:80">
      <c r="CB488" s="115"/>
    </row>
    <row r="489" spans="80:80">
      <c r="CB489" s="115"/>
    </row>
    <row r="490" spans="80:80">
      <c r="CB490" s="115"/>
    </row>
    <row r="491" spans="80:80">
      <c r="CB491" s="115"/>
    </row>
    <row r="492" spans="80:80">
      <c r="CB492" s="115"/>
    </row>
    <row r="493" spans="80:80">
      <c r="CB493" s="115"/>
    </row>
    <row r="494" spans="80:80">
      <c r="CB494" s="115"/>
    </row>
    <row r="495" spans="80:80">
      <c r="CB495" s="115"/>
    </row>
    <row r="496" spans="80:80">
      <c r="CB496" s="115"/>
    </row>
    <row r="497" spans="80:80">
      <c r="CB497" s="115"/>
    </row>
    <row r="498" spans="80:80">
      <c r="CB498" s="115"/>
    </row>
    <row r="499" spans="80:80">
      <c r="CB499" s="115"/>
    </row>
    <row r="500" spans="80:80">
      <c r="CB500" s="115"/>
    </row>
    <row r="501" spans="80:80">
      <c r="CB501" s="115"/>
    </row>
    <row r="502" spans="80:80">
      <c r="CB502" s="115"/>
    </row>
    <row r="503" spans="80:80">
      <c r="CB503" s="115"/>
    </row>
    <row r="504" spans="80:80">
      <c r="CB504" s="115"/>
    </row>
    <row r="505" spans="80:80">
      <c r="CB505" s="115"/>
    </row>
    <row r="506" spans="80:80">
      <c r="CB506" s="115"/>
    </row>
    <row r="507" spans="80:80">
      <c r="CB507" s="115"/>
    </row>
    <row r="508" spans="80:80">
      <c r="CB508" s="115"/>
    </row>
    <row r="509" spans="80:80">
      <c r="CB509" s="115"/>
    </row>
    <row r="510" spans="80:80">
      <c r="CB510" s="115"/>
    </row>
    <row r="511" spans="80:80">
      <c r="CB511" s="115"/>
    </row>
    <row r="512" spans="80:80">
      <c r="CB512" s="115"/>
    </row>
    <row r="513" spans="80:80">
      <c r="CB513" s="115"/>
    </row>
    <row r="514" spans="80:80">
      <c r="CB514" s="115"/>
    </row>
    <row r="515" spans="80:80">
      <c r="CB515" s="115"/>
    </row>
    <row r="516" spans="80:80">
      <c r="CB516" s="115"/>
    </row>
    <row r="517" spans="80:80">
      <c r="CB517" s="115"/>
    </row>
    <row r="518" spans="80:80">
      <c r="CB518" s="115"/>
    </row>
    <row r="519" spans="80:80">
      <c r="CB519" s="115"/>
    </row>
    <row r="520" spans="80:80">
      <c r="CB520" s="115"/>
    </row>
    <row r="521" spans="80:80">
      <c r="CB521" s="115"/>
    </row>
    <row r="522" spans="80:80">
      <c r="CB522" s="115"/>
    </row>
    <row r="523" spans="80:80">
      <c r="CB523" s="115"/>
    </row>
    <row r="524" spans="80:80">
      <c r="CB524" s="115"/>
    </row>
    <row r="525" spans="80:80">
      <c r="CB525" s="115"/>
    </row>
    <row r="526" spans="80:80">
      <c r="CB526" s="115"/>
    </row>
    <row r="527" spans="80:80">
      <c r="CB527" s="115"/>
    </row>
    <row r="528" spans="80:80">
      <c r="CB528" s="115"/>
    </row>
    <row r="529" spans="80:80">
      <c r="CB529" s="115"/>
    </row>
    <row r="530" spans="80:80">
      <c r="CB530" s="115"/>
    </row>
    <row r="531" spans="80:80">
      <c r="CB531" s="115"/>
    </row>
    <row r="532" spans="80:80">
      <c r="CB532" s="115"/>
    </row>
    <row r="533" spans="80:80">
      <c r="CB533" s="115"/>
    </row>
    <row r="534" spans="80:80">
      <c r="CB534" s="115"/>
    </row>
    <row r="535" spans="80:80">
      <c r="CB535" s="115"/>
    </row>
    <row r="536" spans="80:80">
      <c r="CB536" s="115"/>
    </row>
    <row r="537" spans="80:80">
      <c r="CB537" s="115"/>
    </row>
    <row r="538" spans="80:80">
      <c r="CB538" s="115"/>
    </row>
    <row r="539" spans="80:80">
      <c r="CB539" s="115"/>
    </row>
    <row r="540" spans="80:80">
      <c r="CB540" s="115"/>
    </row>
    <row r="541" spans="80:80">
      <c r="CB541" s="115"/>
    </row>
    <row r="542" spans="80:80">
      <c r="CB542" s="115"/>
    </row>
    <row r="543" spans="80:80">
      <c r="CB543" s="115"/>
    </row>
    <row r="544" spans="80:80">
      <c r="CB544" s="115"/>
    </row>
    <row r="545" spans="80:80">
      <c r="CB545" s="115"/>
    </row>
    <row r="546" spans="80:80">
      <c r="CB546" s="115"/>
    </row>
    <row r="547" spans="80:80">
      <c r="CB547" s="115"/>
    </row>
    <row r="548" spans="80:80">
      <c r="CB548" s="115"/>
    </row>
    <row r="549" spans="80:80">
      <c r="CB549" s="115"/>
    </row>
    <row r="550" spans="80:80">
      <c r="CB550" s="115"/>
    </row>
    <row r="551" spans="80:80">
      <c r="CB551" s="115"/>
    </row>
    <row r="552" spans="80:80">
      <c r="CB552" s="115"/>
    </row>
    <row r="553" spans="80:80">
      <c r="CB553" s="115"/>
    </row>
    <row r="554" spans="80:80">
      <c r="CB554" s="115"/>
    </row>
    <row r="555" spans="80:80">
      <c r="CB555" s="115"/>
    </row>
    <row r="556" spans="80:80">
      <c r="CB556" s="115"/>
    </row>
    <row r="557" spans="80:80">
      <c r="CB557" s="115"/>
    </row>
    <row r="558" spans="80:80">
      <c r="CB558" s="115"/>
    </row>
    <row r="559" spans="80:80">
      <c r="CB559" s="115"/>
    </row>
    <row r="560" spans="80:80">
      <c r="CB560" s="115"/>
    </row>
    <row r="561" spans="80:80">
      <c r="CB561" s="115"/>
    </row>
    <row r="562" spans="80:80">
      <c r="CB562" s="115"/>
    </row>
    <row r="563" spans="80:80">
      <c r="CB563" s="115"/>
    </row>
    <row r="564" spans="80:80">
      <c r="CB564" s="115"/>
    </row>
    <row r="565" spans="80:80">
      <c r="CB565" s="115"/>
    </row>
    <row r="566" spans="80:80">
      <c r="CB566" s="115"/>
    </row>
    <row r="567" spans="80:80">
      <c r="CB567" s="115"/>
    </row>
    <row r="568" spans="80:80">
      <c r="CB568" s="115"/>
    </row>
    <row r="569" spans="80:80">
      <c r="CB569" s="115"/>
    </row>
    <row r="570" spans="80:80">
      <c r="CB570" s="115"/>
    </row>
    <row r="571" spans="80:80">
      <c r="CB571" s="115"/>
    </row>
    <row r="572" spans="80:80">
      <c r="CB572" s="115"/>
    </row>
    <row r="573" spans="80:80">
      <c r="CB573" s="115"/>
    </row>
    <row r="574" spans="80:80">
      <c r="CB574" s="115"/>
    </row>
    <row r="575" spans="80:80">
      <c r="CB575" s="115"/>
    </row>
    <row r="576" spans="80:80">
      <c r="CB576" s="115"/>
    </row>
    <row r="577" spans="80:80">
      <c r="CB577" s="115"/>
    </row>
    <row r="578" spans="80:80">
      <c r="CB578" s="115"/>
    </row>
    <row r="579" spans="80:80">
      <c r="CB579" s="115"/>
    </row>
    <row r="580" spans="80:80">
      <c r="CB580" s="115"/>
    </row>
    <row r="581" spans="80:80">
      <c r="CB581" s="115"/>
    </row>
    <row r="582" spans="80:80">
      <c r="CB582" s="115"/>
    </row>
    <row r="583" spans="80:80">
      <c r="CB583" s="115"/>
    </row>
    <row r="584" spans="80:80">
      <c r="CB584" s="115"/>
    </row>
    <row r="585" spans="80:80">
      <c r="CB585" s="115"/>
    </row>
    <row r="586" spans="80:80">
      <c r="CB586" s="115"/>
    </row>
    <row r="587" spans="80:80">
      <c r="CB587" s="115"/>
    </row>
    <row r="588" spans="80:80">
      <c r="CB588" s="115"/>
    </row>
    <row r="589" spans="80:80">
      <c r="CB589" s="115"/>
    </row>
    <row r="590" spans="80:80">
      <c r="CB590" s="115"/>
    </row>
    <row r="591" spans="80:80">
      <c r="CB591" s="115"/>
    </row>
    <row r="592" spans="80:80">
      <c r="CB592" s="115"/>
    </row>
    <row r="593" spans="80:80">
      <c r="CB593" s="115"/>
    </row>
    <row r="594" spans="80:80">
      <c r="CB594" s="115"/>
    </row>
    <row r="595" spans="80:80">
      <c r="CB595" s="115"/>
    </row>
    <row r="596" spans="80:80">
      <c r="CB596" s="115"/>
    </row>
    <row r="597" spans="80:80">
      <c r="CB597" s="115"/>
    </row>
    <row r="598" spans="80:80">
      <c r="CB598" s="115"/>
    </row>
    <row r="599" spans="80:80">
      <c r="CB599" s="115"/>
    </row>
    <row r="600" spans="80:80">
      <c r="CB600" s="115"/>
    </row>
    <row r="601" spans="80:80">
      <c r="CB601" s="115"/>
    </row>
    <row r="602" spans="80:80">
      <c r="CB602" s="115"/>
    </row>
    <row r="603" spans="80:80">
      <c r="CB603" s="115"/>
    </row>
    <row r="604" spans="80:80">
      <c r="CB604" s="115"/>
    </row>
    <row r="605" spans="80:80">
      <c r="CB605" s="115"/>
    </row>
    <row r="606" spans="80:80">
      <c r="CB606" s="115"/>
    </row>
    <row r="607" spans="80:80">
      <c r="CB607" s="115"/>
    </row>
    <row r="608" spans="80:80">
      <c r="CB608" s="115"/>
    </row>
    <row r="609" spans="80:80">
      <c r="CB609" s="115"/>
    </row>
    <row r="610" spans="80:80">
      <c r="CB610" s="115"/>
    </row>
    <row r="611" spans="80:80">
      <c r="CB611" s="115"/>
    </row>
    <row r="612" spans="80:80">
      <c r="CB612" s="115"/>
    </row>
    <row r="613" spans="80:80">
      <c r="CB613" s="115"/>
    </row>
    <row r="614" spans="80:80">
      <c r="CB614" s="115"/>
    </row>
    <row r="615" spans="80:80">
      <c r="CB615" s="115"/>
    </row>
    <row r="616" spans="80:80">
      <c r="CB616" s="115"/>
    </row>
    <row r="617" spans="80:80">
      <c r="CB617" s="115"/>
    </row>
    <row r="618" spans="80:80">
      <c r="CB618" s="115"/>
    </row>
    <row r="619" spans="80:80">
      <c r="CB619" s="115"/>
    </row>
    <row r="620" spans="80:80">
      <c r="CB620" s="115"/>
    </row>
    <row r="621" spans="80:80">
      <c r="CB621" s="115"/>
    </row>
    <row r="622" spans="80:80">
      <c r="CB622" s="115"/>
    </row>
    <row r="623" spans="80:80">
      <c r="CB623" s="115"/>
    </row>
    <row r="624" spans="80:80">
      <c r="CB624" s="115"/>
    </row>
    <row r="625" spans="80:80">
      <c r="CB625" s="115"/>
    </row>
    <row r="626" spans="80:80">
      <c r="CB626" s="115"/>
    </row>
    <row r="627" spans="80:80">
      <c r="CB627" s="115"/>
    </row>
    <row r="628" spans="80:80">
      <c r="CB628" s="115"/>
    </row>
    <row r="629" spans="80:80">
      <c r="CB629" s="115"/>
    </row>
    <row r="630" spans="80:80">
      <c r="CB630" s="115"/>
    </row>
    <row r="631" spans="80:80">
      <c r="CB631" s="115"/>
    </row>
    <row r="632" spans="80:80">
      <c r="CB632" s="115"/>
    </row>
    <row r="633" spans="80:80">
      <c r="CB633" s="115"/>
    </row>
    <row r="634" spans="80:80">
      <c r="CB634" s="115"/>
    </row>
    <row r="635" spans="80:80">
      <c r="CB635" s="115"/>
    </row>
    <row r="636" spans="80:80">
      <c r="CB636" s="115"/>
    </row>
    <row r="637" spans="80:80">
      <c r="CB637" s="115"/>
    </row>
    <row r="638" spans="80:80">
      <c r="CB638" s="115"/>
    </row>
    <row r="639" spans="80:80">
      <c r="CB639" s="115"/>
    </row>
    <row r="640" spans="80:80">
      <c r="CB640" s="115"/>
    </row>
    <row r="641" spans="80:80">
      <c r="CB641" s="115"/>
    </row>
    <row r="642" spans="80:80">
      <c r="CB642" s="115"/>
    </row>
    <row r="643" spans="80:80">
      <c r="CB643" s="115"/>
    </row>
    <row r="644" spans="80:80">
      <c r="CB644" s="115"/>
    </row>
    <row r="645" spans="80:80">
      <c r="CB645" s="115"/>
    </row>
    <row r="646" spans="80:80">
      <c r="CB646" s="115"/>
    </row>
    <row r="647" spans="80:80">
      <c r="CB647" s="115"/>
    </row>
    <row r="648" spans="80:80">
      <c r="CB648" s="115"/>
    </row>
    <row r="649" spans="80:80">
      <c r="CB649" s="115"/>
    </row>
    <row r="650" spans="80:80">
      <c r="CB650" s="115"/>
    </row>
    <row r="651" spans="80:80">
      <c r="CB651" s="115"/>
    </row>
    <row r="652" spans="80:80">
      <c r="CB652" s="115"/>
    </row>
    <row r="653" spans="80:80">
      <c r="CB653" s="115"/>
    </row>
    <row r="654" spans="80:80">
      <c r="CB654" s="115"/>
    </row>
    <row r="655" spans="80:80">
      <c r="CB655" s="115"/>
    </row>
    <row r="656" spans="80:80">
      <c r="CB656" s="115"/>
    </row>
    <row r="657" spans="80:80">
      <c r="CB657" s="115"/>
    </row>
    <row r="658" spans="80:80">
      <c r="CB658" s="115"/>
    </row>
    <row r="659" spans="80:80">
      <c r="CB659" s="115"/>
    </row>
    <row r="660" spans="80:80">
      <c r="CB660" s="115"/>
    </row>
    <row r="661" spans="80:80">
      <c r="CB661" s="115"/>
    </row>
    <row r="662" spans="80:80">
      <c r="CB662" s="115"/>
    </row>
    <row r="663" spans="80:80">
      <c r="CB663" s="115"/>
    </row>
    <row r="664" spans="80:80">
      <c r="CB664" s="115"/>
    </row>
    <row r="665" spans="80:80">
      <c r="CB665" s="115"/>
    </row>
    <row r="666" spans="80:80">
      <c r="CB666" s="115"/>
    </row>
    <row r="667" spans="80:80">
      <c r="CB667" s="115"/>
    </row>
    <row r="668" spans="80:80">
      <c r="CB668" s="115"/>
    </row>
    <row r="669" spans="80:80">
      <c r="CB669" s="115"/>
    </row>
    <row r="670" spans="80:80">
      <c r="CB670" s="115"/>
    </row>
    <row r="671" spans="80:80">
      <c r="CB671" s="115"/>
    </row>
    <row r="672" spans="80:80">
      <c r="CB672" s="115"/>
    </row>
    <row r="673" spans="80:80">
      <c r="CB673" s="115"/>
    </row>
    <row r="674" spans="80:80">
      <c r="CB674" s="115"/>
    </row>
    <row r="675" spans="80:80">
      <c r="CB675" s="115"/>
    </row>
    <row r="676" spans="80:80">
      <c r="CB676" s="115"/>
    </row>
    <row r="677" spans="80:80">
      <c r="CB677" s="115"/>
    </row>
    <row r="678" spans="80:80">
      <c r="CB678" s="115"/>
    </row>
    <row r="679" spans="80:80">
      <c r="CB679" s="115"/>
    </row>
    <row r="680" spans="80:80">
      <c r="CB680" s="115"/>
    </row>
    <row r="681" spans="80:80">
      <c r="CB681" s="115"/>
    </row>
    <row r="682" spans="80:80">
      <c r="CB682" s="115"/>
    </row>
    <row r="683" spans="80:80">
      <c r="CB683" s="115"/>
    </row>
    <row r="684" spans="80:80">
      <c r="CB684" s="115"/>
    </row>
    <row r="685" spans="80:80">
      <c r="CB685" s="115"/>
    </row>
    <row r="686" spans="80:80">
      <c r="CB686" s="115"/>
    </row>
    <row r="687" spans="80:80">
      <c r="CB687" s="115"/>
    </row>
    <row r="688" spans="80:80">
      <c r="CB688" s="115"/>
    </row>
    <row r="689" spans="80:80">
      <c r="CB689" s="115"/>
    </row>
    <row r="690" spans="80:80">
      <c r="CB690" s="115"/>
    </row>
    <row r="691" spans="80:80">
      <c r="CB691" s="115"/>
    </row>
    <row r="692" spans="80:80">
      <c r="CB692" s="115"/>
    </row>
    <row r="693" spans="80:80">
      <c r="CB693" s="115"/>
    </row>
    <row r="694" spans="80:80">
      <c r="CB694" s="115"/>
    </row>
    <row r="695" spans="80:80">
      <c r="CB695" s="115"/>
    </row>
    <row r="696" spans="80:80">
      <c r="CB696" s="115"/>
    </row>
    <row r="697" spans="80:80">
      <c r="CB697" s="115"/>
    </row>
    <row r="698" spans="80:80">
      <c r="CB698" s="115"/>
    </row>
    <row r="699" spans="80:80">
      <c r="CB699" s="115"/>
    </row>
    <row r="700" spans="80:80">
      <c r="CB700" s="115"/>
    </row>
    <row r="701" spans="80:80">
      <c r="CB701" s="115"/>
    </row>
    <row r="702" spans="80:80">
      <c r="CB702" s="115"/>
    </row>
    <row r="703" spans="80:80">
      <c r="CB703" s="115"/>
    </row>
    <row r="704" spans="80:80">
      <c r="CB704" s="115"/>
    </row>
    <row r="705" spans="80:80">
      <c r="CB705" s="115"/>
    </row>
    <row r="706" spans="80:80">
      <c r="CB706" s="115"/>
    </row>
    <row r="707" spans="80:80">
      <c r="CB707" s="115"/>
    </row>
    <row r="708" spans="80:80">
      <c r="CB708" s="115"/>
    </row>
    <row r="709" spans="80:80">
      <c r="CB709" s="115"/>
    </row>
    <row r="710" spans="80:80">
      <c r="CB710" s="115"/>
    </row>
    <row r="711" spans="80:80">
      <c r="CB711" s="115"/>
    </row>
    <row r="712" spans="80:80">
      <c r="CB712" s="115"/>
    </row>
    <row r="713" spans="80:80">
      <c r="CB713" s="115"/>
    </row>
    <row r="714" spans="80:80">
      <c r="CB714" s="115"/>
    </row>
    <row r="715" spans="80:80">
      <c r="CB715" s="115"/>
    </row>
    <row r="716" spans="80:80">
      <c r="CB716" s="115"/>
    </row>
    <row r="717" spans="80:80">
      <c r="CB717" s="115"/>
    </row>
    <row r="718" spans="80:80">
      <c r="CB718" s="115"/>
    </row>
    <row r="719" spans="80:80">
      <c r="CB719" s="115"/>
    </row>
    <row r="720" spans="80:80">
      <c r="CB720" s="115"/>
    </row>
    <row r="721" spans="80:80">
      <c r="CB721" s="115"/>
    </row>
    <row r="722" spans="80:80">
      <c r="CB722" s="115"/>
    </row>
    <row r="723" spans="80:80">
      <c r="CB723" s="115"/>
    </row>
    <row r="724" spans="80:80">
      <c r="CB724" s="115"/>
    </row>
    <row r="725" spans="80:80">
      <c r="CB725" s="115"/>
    </row>
    <row r="726" spans="80:80">
      <c r="CB726" s="115"/>
    </row>
    <row r="727" spans="80:80">
      <c r="CB727" s="115"/>
    </row>
    <row r="728" spans="80:80">
      <c r="CB728" s="115"/>
    </row>
    <row r="729" spans="80:80">
      <c r="CB729" s="115"/>
    </row>
    <row r="730" spans="80:80">
      <c r="CB730" s="115"/>
    </row>
    <row r="731" spans="80:80">
      <c r="CB731" s="115"/>
    </row>
    <row r="732" spans="80:80">
      <c r="CB732" s="115"/>
    </row>
    <row r="733" spans="80:80">
      <c r="CB733" s="115"/>
    </row>
    <row r="734" spans="80:80">
      <c r="CB734" s="115"/>
    </row>
    <row r="735" spans="80:80">
      <c r="CB735" s="115"/>
    </row>
    <row r="736" spans="80:80">
      <c r="CB736" s="115"/>
    </row>
    <row r="737" spans="80:80">
      <c r="CB737" s="115"/>
    </row>
    <row r="738" spans="80:80">
      <c r="CB738" s="115"/>
    </row>
    <row r="739" spans="80:80">
      <c r="CB739" s="115"/>
    </row>
    <row r="740" spans="80:80">
      <c r="CB740" s="115"/>
    </row>
    <row r="741" spans="80:80">
      <c r="CB741" s="115"/>
    </row>
    <row r="742" spans="80:80">
      <c r="CB742" s="115"/>
    </row>
    <row r="743" spans="80:80">
      <c r="CB743" s="115"/>
    </row>
    <row r="744" spans="80:80">
      <c r="CB744" s="115"/>
    </row>
    <row r="745" spans="80:80">
      <c r="CB745" s="115"/>
    </row>
    <row r="746" spans="80:80">
      <c r="CB746" s="115"/>
    </row>
    <row r="747" spans="80:80">
      <c r="CB747" s="115"/>
    </row>
    <row r="748" spans="80:80">
      <c r="CB748" s="115"/>
    </row>
    <row r="749" spans="80:80">
      <c r="CB749" s="115"/>
    </row>
    <row r="750" spans="80:80">
      <c r="CB750" s="115"/>
    </row>
    <row r="751" spans="80:80">
      <c r="CB751" s="115"/>
    </row>
    <row r="752" spans="80:80">
      <c r="CB752" s="115"/>
    </row>
    <row r="753" spans="80:80">
      <c r="CB753" s="115"/>
    </row>
    <row r="754" spans="80:80">
      <c r="CB754" s="115"/>
    </row>
    <row r="755" spans="80:80">
      <c r="CB755" s="115"/>
    </row>
    <row r="756" spans="80:80">
      <c r="CB756" s="115"/>
    </row>
    <row r="757" spans="80:80">
      <c r="CB757" s="115"/>
    </row>
    <row r="758" spans="80:80">
      <c r="CB758" s="115"/>
    </row>
    <row r="759" spans="80:80">
      <c r="CB759" s="115"/>
    </row>
    <row r="760" spans="80:80">
      <c r="CB760" s="115"/>
    </row>
    <row r="761" spans="80:80">
      <c r="CB761" s="115"/>
    </row>
    <row r="762" spans="80:80">
      <c r="CB762" s="115"/>
    </row>
    <row r="763" spans="80:80">
      <c r="CB763" s="115"/>
    </row>
    <row r="764" spans="80:80">
      <c r="CB764" s="115"/>
    </row>
    <row r="765" spans="80:80">
      <c r="CB765" s="115"/>
    </row>
    <row r="766" spans="80:80">
      <c r="CB766" s="115"/>
    </row>
    <row r="767" spans="80:80">
      <c r="CB767" s="115"/>
    </row>
    <row r="768" spans="80:80">
      <c r="CB768" s="115"/>
    </row>
    <row r="769" spans="80:80">
      <c r="CB769" s="115"/>
    </row>
    <row r="770" spans="80:80">
      <c r="CB770" s="115"/>
    </row>
    <row r="771" spans="80:80">
      <c r="CB771" s="115"/>
    </row>
    <row r="772" spans="80:80">
      <c r="CB772" s="115"/>
    </row>
    <row r="773" spans="80:80">
      <c r="CB773" s="115"/>
    </row>
    <row r="774" spans="80:80">
      <c r="CB774" s="115"/>
    </row>
    <row r="775" spans="80:80">
      <c r="CB775" s="115"/>
    </row>
    <row r="776" spans="80:80">
      <c r="CB776" s="115"/>
    </row>
    <row r="777" spans="80:80">
      <c r="CB777" s="115"/>
    </row>
    <row r="778" spans="80:80">
      <c r="CB778" s="115"/>
    </row>
    <row r="779" spans="80:80">
      <c r="CB779" s="115"/>
    </row>
    <row r="780" spans="80:80">
      <c r="CB780" s="115"/>
    </row>
    <row r="781" spans="80:80">
      <c r="CB781" s="115"/>
    </row>
    <row r="782" spans="80:80">
      <c r="CB782" s="115"/>
    </row>
    <row r="783" spans="80:80">
      <c r="CB783" s="115"/>
    </row>
    <row r="784" spans="80:80">
      <c r="CB784" s="115"/>
    </row>
    <row r="785" spans="80:80">
      <c r="CB785" s="115"/>
    </row>
    <row r="786" spans="80:80">
      <c r="CB786" s="115"/>
    </row>
    <row r="787" spans="80:80">
      <c r="CB787" s="115"/>
    </row>
    <row r="788" spans="80:80">
      <c r="CB788" s="115"/>
    </row>
    <row r="789" spans="80:80">
      <c r="CB789" s="115"/>
    </row>
    <row r="790" spans="80:80">
      <c r="CB790" s="115"/>
    </row>
    <row r="791" spans="80:80">
      <c r="CB791" s="115"/>
    </row>
    <row r="792" spans="80:80">
      <c r="CB792" s="115"/>
    </row>
    <row r="793" spans="80:80">
      <c r="CB793" s="115"/>
    </row>
    <row r="794" spans="80:80">
      <c r="CB794" s="115"/>
    </row>
    <row r="795" spans="80:80">
      <c r="CB795" s="115"/>
    </row>
    <row r="796" spans="80:80">
      <c r="CB796" s="115"/>
    </row>
    <row r="797" spans="80:80">
      <c r="CB797" s="115"/>
    </row>
    <row r="798" spans="80:80">
      <c r="CB798" s="115"/>
    </row>
    <row r="799" spans="80:80">
      <c r="CB799" s="115"/>
    </row>
    <row r="800" spans="80:80">
      <c r="CB800" s="115"/>
    </row>
    <row r="801" spans="80:80">
      <c r="CB801" s="115"/>
    </row>
    <row r="802" spans="80:80">
      <c r="CB802" s="115"/>
    </row>
    <row r="803" spans="80:80">
      <c r="CB803" s="115"/>
    </row>
    <row r="804" spans="80:80">
      <c r="CB804" s="115"/>
    </row>
    <row r="805" spans="80:80">
      <c r="CB805" s="115"/>
    </row>
    <row r="806" spans="80:80">
      <c r="CB806" s="115"/>
    </row>
    <row r="807" spans="80:80">
      <c r="CB807" s="115"/>
    </row>
    <row r="808" spans="80:80">
      <c r="CB808" s="115"/>
    </row>
    <row r="809" spans="80:80">
      <c r="CB809" s="115"/>
    </row>
    <row r="810" spans="80:80">
      <c r="CB810" s="115"/>
    </row>
    <row r="811" spans="80:80">
      <c r="CB811" s="115"/>
    </row>
    <row r="812" spans="80:80">
      <c r="CB812" s="115"/>
    </row>
    <row r="813" spans="80:80">
      <c r="CB813" s="115"/>
    </row>
    <row r="814" spans="80:80">
      <c r="CB814" s="115"/>
    </row>
    <row r="815" spans="80:80">
      <c r="CB815" s="115"/>
    </row>
    <row r="816" spans="80:80">
      <c r="CB816" s="115"/>
    </row>
    <row r="817" spans="80:80">
      <c r="CB817" s="115"/>
    </row>
    <row r="818" spans="80:80">
      <c r="CB818" s="115"/>
    </row>
    <row r="819" spans="80:80">
      <c r="CB819" s="115"/>
    </row>
    <row r="820" spans="80:80">
      <c r="CB820" s="115"/>
    </row>
    <row r="821" spans="80:80">
      <c r="CB821" s="115"/>
    </row>
    <row r="822" spans="80:80">
      <c r="CB822" s="115"/>
    </row>
    <row r="823" spans="80:80">
      <c r="CB823" s="115"/>
    </row>
    <row r="824" spans="80:80">
      <c r="CB824" s="115"/>
    </row>
    <row r="825" spans="80:80">
      <c r="CB825" s="115"/>
    </row>
    <row r="826" spans="80:80">
      <c r="CB826" s="115"/>
    </row>
    <row r="827" spans="80:80">
      <c r="CB827" s="115"/>
    </row>
    <row r="828" spans="80:80">
      <c r="CB828" s="115"/>
    </row>
    <row r="829" spans="80:80">
      <c r="CB829" s="115"/>
    </row>
    <row r="830" spans="80:80">
      <c r="CB830" s="115"/>
    </row>
    <row r="831" spans="80:80">
      <c r="CB831" s="115"/>
    </row>
    <row r="832" spans="80:80">
      <c r="CB832" s="115"/>
    </row>
    <row r="833" spans="80:80">
      <c r="CB833" s="115"/>
    </row>
    <row r="834" spans="80:80">
      <c r="CB834" s="115"/>
    </row>
    <row r="835" spans="80:80">
      <c r="CB835" s="115"/>
    </row>
    <row r="836" spans="80:80">
      <c r="CB836" s="115"/>
    </row>
    <row r="837" spans="80:80">
      <c r="CB837" s="115"/>
    </row>
    <row r="838" spans="80:80">
      <c r="CB838" s="115"/>
    </row>
    <row r="839" spans="80:80">
      <c r="CB839" s="115"/>
    </row>
    <row r="840" spans="80:80">
      <c r="CB840" s="115"/>
    </row>
    <row r="841" spans="80:80">
      <c r="CB841" s="115"/>
    </row>
    <row r="842" spans="80:80">
      <c r="CB842" s="115"/>
    </row>
    <row r="843" spans="80:80">
      <c r="CB843" s="115"/>
    </row>
    <row r="844" spans="80:80">
      <c r="CB844" s="115"/>
    </row>
    <row r="845" spans="80:80">
      <c r="CB845" s="115"/>
    </row>
    <row r="846" spans="80:80">
      <c r="CB846" s="115"/>
    </row>
    <row r="847" spans="80:80">
      <c r="CB847" s="115"/>
    </row>
    <row r="848" spans="80:80">
      <c r="CB848" s="115"/>
    </row>
    <row r="849" spans="80:80">
      <c r="CB849" s="115"/>
    </row>
    <row r="850" spans="80:80">
      <c r="CB850" s="115"/>
    </row>
    <row r="851" spans="80:80">
      <c r="CB851" s="115"/>
    </row>
    <row r="852" spans="80:80">
      <c r="CB852" s="115"/>
    </row>
    <row r="853" spans="80:80">
      <c r="CB853" s="115"/>
    </row>
    <row r="854" spans="80:80">
      <c r="CB854" s="115"/>
    </row>
    <row r="855" spans="80:80">
      <c r="CB855" s="115"/>
    </row>
    <row r="856" spans="80:80">
      <c r="CB856" s="115"/>
    </row>
    <row r="857" spans="80:80">
      <c r="CB857" s="115"/>
    </row>
    <row r="858" spans="80:80">
      <c r="CB858" s="115"/>
    </row>
    <row r="859" spans="80:80">
      <c r="CB859" s="115"/>
    </row>
    <row r="860" spans="80:80">
      <c r="CB860" s="115"/>
    </row>
    <row r="861" spans="80:80">
      <c r="CB861" s="115"/>
    </row>
    <row r="862" spans="80:80">
      <c r="CB862" s="115"/>
    </row>
    <row r="863" spans="80:80">
      <c r="CB863" s="115"/>
    </row>
    <row r="864" spans="80:80">
      <c r="CB864" s="115"/>
    </row>
    <row r="865" spans="80:80">
      <c r="CB865" s="115"/>
    </row>
    <row r="866" spans="80:80">
      <c r="CB866" s="115"/>
    </row>
    <row r="867" spans="80:80">
      <c r="CB867" s="115"/>
    </row>
    <row r="868" spans="80:80">
      <c r="CB868" s="115"/>
    </row>
    <row r="869" spans="80:80">
      <c r="CB869" s="115"/>
    </row>
    <row r="870" spans="80:80">
      <c r="CB870" s="115"/>
    </row>
    <row r="871" spans="80:80">
      <c r="CB871" s="115"/>
    </row>
    <row r="872" spans="80:80">
      <c r="CB872" s="115"/>
    </row>
    <row r="873" spans="80:80">
      <c r="CB873" s="115"/>
    </row>
    <row r="874" spans="80:80">
      <c r="CB874" s="115"/>
    </row>
    <row r="875" spans="80:80">
      <c r="CB875" s="115"/>
    </row>
    <row r="876" spans="80:80">
      <c r="CB876" s="115"/>
    </row>
    <row r="877" spans="80:80">
      <c r="CB877" s="115"/>
    </row>
    <row r="878" spans="80:80">
      <c r="CB878" s="115"/>
    </row>
    <row r="879" spans="80:80">
      <c r="CB879" s="115"/>
    </row>
    <row r="880" spans="80:80">
      <c r="CB880" s="115"/>
    </row>
    <row r="881" spans="80:80">
      <c r="CB881" s="115"/>
    </row>
    <row r="882" spans="80:80">
      <c r="CB882" s="115"/>
    </row>
    <row r="883" spans="80:80">
      <c r="CB883" s="115"/>
    </row>
    <row r="884" spans="80:80">
      <c r="CB884" s="115"/>
    </row>
    <row r="885" spans="80:80">
      <c r="CB885" s="115"/>
    </row>
    <row r="886" spans="80:80">
      <c r="CB886" s="115"/>
    </row>
    <row r="887" spans="80:80">
      <c r="CB887" s="115"/>
    </row>
    <row r="888" spans="80:80">
      <c r="CB888" s="115"/>
    </row>
    <row r="889" spans="80:80">
      <c r="CB889" s="115"/>
    </row>
    <row r="890" spans="80:80">
      <c r="CB890" s="115"/>
    </row>
  </sheetData>
  <mergeCells count="99">
    <mergeCell ref="B59:D59"/>
    <mergeCell ref="B60:D60"/>
    <mergeCell ref="B61:D61"/>
    <mergeCell ref="B62:D62"/>
    <mergeCell ref="CT3:CT4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B65:D65"/>
    <mergeCell ref="B47:D47"/>
    <mergeCell ref="B48:D48"/>
    <mergeCell ref="B46:D46"/>
    <mergeCell ref="B40:D40"/>
    <mergeCell ref="B63:D63"/>
    <mergeCell ref="B52:D52"/>
    <mergeCell ref="B49:D49"/>
    <mergeCell ref="B50:D50"/>
    <mergeCell ref="B51:D51"/>
    <mergeCell ref="B54:D54"/>
    <mergeCell ref="B56:D56"/>
    <mergeCell ref="B41:D41"/>
    <mergeCell ref="B42:D42"/>
    <mergeCell ref="B43:D43"/>
    <mergeCell ref="B58:D58"/>
    <mergeCell ref="B76:D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22:D22"/>
    <mergeCell ref="CW3:CW4"/>
    <mergeCell ref="CX3:CX4"/>
    <mergeCell ref="CY3:CY4"/>
    <mergeCell ref="B57:D57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</mergeCells>
  <pageMargins left="0" right="0" top="0" bottom="0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5_</vt:lpstr>
      <vt:lpstr>пр7</vt:lpstr>
      <vt:lpstr>9_</vt:lpstr>
      <vt:lpstr>2.2.</vt:lpstr>
      <vt:lpstr>2.</vt:lpstr>
      <vt:lpstr>6</vt:lpstr>
      <vt:lpstr>9пр</vt:lpstr>
      <vt:lpstr>9</vt:lpstr>
      <vt:lpstr>7</vt:lpstr>
      <vt:lpstr>2.2</vt:lpstr>
      <vt:lpstr>2</vt:lpstr>
      <vt:lpstr>6 (3)</vt:lpstr>
      <vt:lpstr>пр6</vt:lpstr>
      <vt:lpstr>'2'!Область_печати</vt:lpstr>
      <vt:lpstr>'2.'!Область_печати</vt:lpstr>
      <vt:lpstr>'2.2'!Область_печати</vt:lpstr>
      <vt:lpstr>'2.2.'!Область_печати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'9_'!Область_печати</vt:lpstr>
      <vt:lpstr>пр6!Область_печати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2021-04-16T10:04:36Z</cp:lastPrinted>
  <dcterms:created xsi:type="dcterms:W3CDTF">1996-10-08T23:32:33Z</dcterms:created>
  <dcterms:modified xsi:type="dcterms:W3CDTF">2021-04-16T10:04:43Z</dcterms:modified>
</cp:coreProperties>
</file>